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450" tabRatio="788" activeTab="0"/>
  </bookViews>
  <sheets>
    <sheet name="Filed Reconcilement" sheetId="1" r:id="rId1"/>
    <sheet name="Rate Base" sheetId="2" r:id="rId2"/>
    <sheet name="RateofReturn" sheetId="3" r:id="rId3"/>
    <sheet name="Rev.Requirement" sheetId="4" r:id="rId4"/>
    <sheet name="PerBooks" sheetId="5" r:id="rId5"/>
    <sheet name="IncomeAdj.s" sheetId="6" r:id="rId6"/>
    <sheet name="IncomeStat." sheetId="7" r:id="rId7"/>
    <sheet name="Depreciation" sheetId="8" r:id="rId8"/>
    <sheet name="Reconcilement" sheetId="9" r:id="rId9"/>
    <sheet name="OPCNOI" sheetId="10" r:id="rId10"/>
  </sheets>
  <definedNames>
    <definedName name="_xlnm.Print_Area" localSheetId="4">'PerBooks'!$A$1:$U$163</definedName>
    <definedName name="_xlnm.Print_Area" localSheetId="2">'RateofReturn'!$A$1:$M$116</definedName>
    <definedName name="_xlnm.Print_Area" localSheetId="8">'Reconcilement'!$A$1:$J$159</definedName>
  </definedNames>
  <calcPr fullCalcOnLoad="1"/>
</workbook>
</file>

<file path=xl/comments3.xml><?xml version="1.0" encoding="utf-8"?>
<comments xmlns="http://schemas.openxmlformats.org/spreadsheetml/2006/main">
  <authors>
    <author>psc</author>
  </authors>
  <commentList>
    <comment ref="A39" authorId="0">
      <text>
        <r>
          <rPr>
            <b/>
            <sz val="8"/>
            <rFont val="Tahoma"/>
            <family val="0"/>
          </rPr>
          <t>psc: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psc: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psc: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psc</author>
  </authors>
  <commentList>
    <comment ref="B654" authorId="0">
      <text>
        <r>
          <rPr>
            <b/>
            <sz val="8"/>
            <rFont val="Tahoma"/>
            <family val="0"/>
          </rPr>
          <t>psc: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<sst xmlns="http://schemas.openxmlformats.org/spreadsheetml/2006/main" count="1705" uniqueCount="917">
  <si>
    <t xml:space="preserve">Rate of Return and Capital Structure </t>
  </si>
  <si>
    <t>Reconcilement</t>
  </si>
  <si>
    <t>Long Term Debt</t>
  </si>
  <si>
    <t>Preferred Stock</t>
  </si>
  <si>
    <t>Common Equity</t>
  </si>
  <si>
    <t>--------------</t>
  </si>
  <si>
    <t>Capital</t>
  </si>
  <si>
    <t>Percent</t>
  </si>
  <si>
    <t>Short Term Debt</t>
  </si>
  <si>
    <t>Total</t>
  </si>
  <si>
    <t>Cost</t>
  </si>
  <si>
    <t>---------------</t>
  </si>
  <si>
    <t>Weighted</t>
  </si>
  <si>
    <t>Rate Base Reconcilement</t>
  </si>
  <si>
    <t>Plant in Service:</t>
  </si>
  <si>
    <t>Total Plant</t>
  </si>
  <si>
    <t>Company</t>
  </si>
  <si>
    <t>Staff</t>
  </si>
  <si>
    <t>Input</t>
  </si>
  <si>
    <t>Difference</t>
  </si>
  <si>
    <t>OPC</t>
  </si>
  <si>
    <t>Depreciation Reserve</t>
  </si>
  <si>
    <t>Total Depreciation Reserve</t>
  </si>
  <si>
    <t>Plant not at Issue</t>
  </si>
  <si>
    <t>Depr. Reserve not at issue</t>
  </si>
  <si>
    <t>Materials &amp; Supplies</t>
  </si>
  <si>
    <t>Cash Working Capital</t>
  </si>
  <si>
    <t>Income Tax Offsets</t>
  </si>
  <si>
    <t>Interest Offset</t>
  </si>
  <si>
    <t>Customer Advances</t>
  </si>
  <si>
    <t>Customer Deposits</t>
  </si>
  <si>
    <t>---------------------</t>
  </si>
  <si>
    <t>Rate of Return</t>
  </si>
  <si>
    <t>Requirement</t>
  </si>
  <si>
    <t>Revenue</t>
  </si>
  <si>
    <t>Issues</t>
  </si>
  <si>
    <t>Staff / OPC</t>
  </si>
  <si>
    <t>Total Rate Base</t>
  </si>
  <si>
    <t>===========</t>
  </si>
  <si>
    <t>==========</t>
  </si>
  <si>
    <t>Factor</t>
  </si>
  <si>
    <t>Rate Base</t>
  </si>
  <si>
    <t>--------------------</t>
  </si>
  <si>
    <t>-------------------</t>
  </si>
  <si>
    <t>------------------</t>
  </si>
  <si>
    <t>(Input)</t>
  </si>
  <si>
    <t>OPC  Rate Base</t>
  </si>
  <si>
    <t>Rate of Return Difference</t>
  </si>
  <si>
    <t>Staff Capital Structure / OPC Return on Equity</t>
  </si>
  <si>
    <t>Capital Structure : Company / Staff</t>
  </si>
  <si>
    <t>-------------------------------------------------------</t>
  </si>
  <si>
    <t>------------------------------------------------</t>
  </si>
  <si>
    <t>OPC Capital Structure  / OPC Return on Equity</t>
  </si>
  <si>
    <t>Tax</t>
  </si>
  <si>
    <t>Cost of Removal</t>
  </si>
  <si>
    <t>Taxable Income</t>
  </si>
  <si>
    <t>-----------------</t>
  </si>
  <si>
    <t>Net Income</t>
  </si>
  <si>
    <t>-----------------------</t>
  </si>
  <si>
    <t>NOI</t>
  </si>
  <si>
    <t>Tax Rate</t>
  </si>
  <si>
    <t>----------------</t>
  </si>
  <si>
    <t>Income Statement Reconcilement</t>
  </si>
  <si>
    <t>--------------------------------------------</t>
  </si>
  <si>
    <t>----------------------</t>
  </si>
  <si>
    <t>Revenue  Issues</t>
  </si>
  <si>
    <t>Booked Revenue - Unadjusted</t>
  </si>
  <si>
    <t>Income</t>
  </si>
  <si>
    <t>Net Operating</t>
  </si>
  <si>
    <t>Impact on</t>
  </si>
  <si>
    <t>Conversion</t>
  </si>
  <si>
    <t>Impact</t>
  </si>
  <si>
    <t>Revenue as Adjusted</t>
  </si>
  <si>
    <t>Check</t>
  </si>
  <si>
    <t>Income Before Income Tax</t>
  </si>
  <si>
    <t>Current Income Tax :</t>
  </si>
  <si>
    <t>Add</t>
  </si>
  <si>
    <t>Less</t>
  </si>
  <si>
    <t>Tax Straight Line Depreciation</t>
  </si>
  <si>
    <t>Tax Depreciation in Excess of S/L</t>
  </si>
  <si>
    <t>Repair Allowance</t>
  </si>
  <si>
    <t>Current Income Tax</t>
  </si>
  <si>
    <t>Deferred Income Tax :</t>
  </si>
  <si>
    <t>Total Amounts to be Deferred</t>
  </si>
  <si>
    <t>Deferred Income Tax</t>
  </si>
  <si>
    <t>Amortization of ITC</t>
  </si>
  <si>
    <t>Total Income Tax</t>
  </si>
  <si>
    <t>Net Operating Income</t>
  </si>
  <si>
    <t>============</t>
  </si>
  <si>
    <t>Company/Staff</t>
  </si>
  <si>
    <t>Net Income Required</t>
  </si>
  <si>
    <t>Net Income Available</t>
  </si>
  <si>
    <t>Additional Net Income Required</t>
  </si>
  <si>
    <t>Income Tax Factor</t>
  </si>
  <si>
    <t>Gross  Revenue Requirement</t>
  </si>
  <si>
    <t>Rate  Base, Rate of Return, Capital Structure Issues :</t>
  </si>
  <si>
    <t>(1)</t>
  </si>
  <si>
    <t>Revenue Requirement Value - Rate Base, ROR, Cap. Structure</t>
  </si>
  <si>
    <t>(2)</t>
  </si>
  <si>
    <t>Income Statement Issues</t>
  </si>
  <si>
    <t>(3)</t>
  </si>
  <si>
    <t>(4)</t>
  </si>
  <si>
    <t>Revenue Requirement Value - Income Statement Issues</t>
  </si>
  <si>
    <t xml:space="preserve">      Revenue Requirement Comparison</t>
  </si>
  <si>
    <t>=============</t>
  </si>
  <si>
    <t>Net Operating Income Impact</t>
  </si>
  <si>
    <t>Summary of Rate Base,ROR, and Cap. Structure Issues</t>
  </si>
  <si>
    <t xml:space="preserve">              Case No. ER 99-247</t>
  </si>
  <si>
    <t>Rev. Req. Value of Capital Structure Issues (Above)</t>
  </si>
  <si>
    <t>Rev. Req. Value of  Return on Equity Issues (Above)</t>
  </si>
  <si>
    <t>Rev. Req. Value of Rate Base Issues (Rate Base Reconcilement)</t>
  </si>
  <si>
    <t>Total Value of Rate Base,Rate of Return,Cap. Structure Issues</t>
  </si>
  <si>
    <t>Note</t>
  </si>
  <si>
    <t>Note : (These Summary Values should tie to Rev. Requirement Schedule)</t>
  </si>
  <si>
    <t>Amortization of Excess Deferred Tax</t>
  </si>
  <si>
    <t>-------------------------------------------------</t>
  </si>
  <si>
    <t>Juris.</t>
  </si>
  <si>
    <t>Adjustment</t>
  </si>
  <si>
    <t>Jurisdictional</t>
  </si>
  <si>
    <t>-------------------------------------------</t>
  </si>
  <si>
    <t>-----------</t>
  </si>
  <si>
    <t>---------------------------------------------------</t>
  </si>
  <si>
    <t>Acct No.</t>
  </si>
  <si>
    <t>Revenue Accounts</t>
  </si>
  <si>
    <t>Total Company</t>
  </si>
  <si>
    <t>Amount</t>
  </si>
  <si>
    <t>Allocation</t>
  </si>
  <si>
    <t>---------------------------------</t>
  </si>
  <si>
    <t>Customer Accts. Expense</t>
  </si>
  <si>
    <t>Customer Serv. / Information</t>
  </si>
  <si>
    <t>Sales Expense</t>
  </si>
  <si>
    <t>Admin. &amp; General Expense</t>
  </si>
  <si>
    <t>Depreciation Expense</t>
  </si>
  <si>
    <t>Taxes Other than Income Tax</t>
  </si>
  <si>
    <t>------------------------</t>
  </si>
  <si>
    <t>-------------------------</t>
  </si>
  <si>
    <t>Total O&amp; M Expense (Unadjusted)</t>
  </si>
  <si>
    <t>Allocation of Booked Revenue &amp; Expense - (Unadjusted)</t>
  </si>
  <si>
    <t>Add: Jurisdictional Adjustments - (Income Statement Adj. Sheet)</t>
  </si>
  <si>
    <t>Jurisdictional O &amp; M - Adjusted - (Ties to Income Statement - EMS)</t>
  </si>
  <si>
    <t>Customer Accts. Exp. - Unadjusted</t>
  </si>
  <si>
    <t>Cust. Serv./ Information-Unadjusted</t>
  </si>
  <si>
    <t>Sales Expense-Unadjusted</t>
  </si>
  <si>
    <t>Operations &amp; Maintenance - Unadjusted</t>
  </si>
  <si>
    <t>----------------------------------------------------------------</t>
  </si>
  <si>
    <t>Total Oper.&amp; Maint. Expense - Unadjusted</t>
  </si>
  <si>
    <t>Operations &amp; Maintenance Adjustments</t>
  </si>
  <si>
    <t>-----------------------------------------------------------------</t>
  </si>
  <si>
    <t>Total Operations &amp; Maintenance Adjustments</t>
  </si>
  <si>
    <t>Line No.</t>
  </si>
  <si>
    <t>Acct.</t>
  </si>
  <si>
    <t>No.</t>
  </si>
  <si>
    <t>Source</t>
  </si>
  <si>
    <t>Sched.</t>
  </si>
  <si>
    <t>------------------------------------------------------</t>
  </si>
  <si>
    <t>---------------------------------------------</t>
  </si>
  <si>
    <t>Note:</t>
  </si>
  <si>
    <t>This Schedule is your proof sheet. If all data input is correct, the revenue requirement amounts on this schedule</t>
  </si>
  <si>
    <t xml:space="preserve">will agree with the revenue requirement calculations for each party (EMS run for Staff) If they don't agree, you </t>
  </si>
  <si>
    <t xml:space="preserve">can quickly identify which schedule has incorrect data. </t>
  </si>
  <si>
    <t>Income Statement Issues between Staff and OPC</t>
  </si>
  <si>
    <t>Description of Issue :</t>
  </si>
  <si>
    <t>Revenue Issues:</t>
  </si>
  <si>
    <t xml:space="preserve">Tax </t>
  </si>
  <si>
    <t xml:space="preserve">Revenue </t>
  </si>
  <si>
    <t>Expense Issues :</t>
  </si>
  <si>
    <t>--------------------------</t>
  </si>
  <si>
    <t>Income Tax Timing Differences</t>
  </si>
  <si>
    <t>Subtracted from Taxable Income  - Pre Tax Amounts</t>
  </si>
  <si>
    <t>----------------------------------------------------------------------------</t>
  </si>
  <si>
    <t>Added Back to Taxable Income  - Pre Tax Amounts</t>
  </si>
  <si>
    <t>---------------------------------------------------------------------------</t>
  </si>
  <si>
    <t>----------------------------------------------------------------------------------</t>
  </si>
  <si>
    <t>Total Net Income and Revenue Requirement Value</t>
  </si>
  <si>
    <t>The only cells that can be changed on this schedule is the Company name &amp; Case No.</t>
  </si>
  <si>
    <t>Amortization of Repair Allowance</t>
  </si>
  <si>
    <t>(5)</t>
  </si>
  <si>
    <t>(6)</t>
  </si>
  <si>
    <t>----------</t>
  </si>
  <si>
    <t>Acct.No.</t>
  </si>
  <si>
    <t>-------------</t>
  </si>
  <si>
    <t>Adj.No.</t>
  </si>
  <si>
    <t>Expense Adjustments</t>
  </si>
  <si>
    <t>Revenue Adjustments</t>
  </si>
  <si>
    <t>Total Revenue Adjusts.</t>
  </si>
  <si>
    <t>Adj. No.</t>
  </si>
  <si>
    <t>----------------------------------------------------</t>
  </si>
  <si>
    <t>Total Staff Adjs. - Expense</t>
  </si>
  <si>
    <t>Total Co. Adjs.- Expense</t>
  </si>
  <si>
    <t>Total Operations &amp; Maintenance Expense</t>
  </si>
  <si>
    <t>Other Expenses</t>
  </si>
  <si>
    <t>Supervision - Customer Accounts</t>
  </si>
  <si>
    <t>Meter Reading Expense</t>
  </si>
  <si>
    <t>Customer Records  / Collections</t>
  </si>
  <si>
    <t>Uncollectible Accounts</t>
  </si>
  <si>
    <t>Supervision - Customer Service</t>
  </si>
  <si>
    <t>Customer Assistance Expense</t>
  </si>
  <si>
    <t>Informational / Instructional Advertising</t>
  </si>
  <si>
    <t>Supervision - Sales</t>
  </si>
  <si>
    <t>Demonstrating and Sales Expense</t>
  </si>
  <si>
    <t>Advertising Expense</t>
  </si>
  <si>
    <t>Admin. &amp; General Expense  - Salaries</t>
  </si>
  <si>
    <t>Office Supplies and Expense</t>
  </si>
  <si>
    <t>Admin. &amp; Gen. Expense - Construction</t>
  </si>
  <si>
    <t>Outside Services</t>
  </si>
  <si>
    <t>Property Insurance</t>
  </si>
  <si>
    <t>Injuries and Damages Expense</t>
  </si>
  <si>
    <t>Pensions and Benefits</t>
  </si>
  <si>
    <t>Regulatory Commission Expense</t>
  </si>
  <si>
    <t>Duplicate Charges</t>
  </si>
  <si>
    <t>Misc. General Expense</t>
  </si>
  <si>
    <t>Rents - General &amp; Administrative</t>
  </si>
  <si>
    <t>Maintenance of General Plant</t>
  </si>
  <si>
    <t>Jurisdictional O &amp; M Expense - (Company Income Statement as Adjusted)</t>
  </si>
  <si>
    <t>Total Staff Adj.s - per EMS Run</t>
  </si>
  <si>
    <t>Juris.Book</t>
  </si>
  <si>
    <t>Juris-EMS</t>
  </si>
  <si>
    <t>Juris Adjs</t>
  </si>
  <si>
    <t>(1)+(2)</t>
  </si>
  <si>
    <t>Revenue Requirement Reconcilement</t>
  </si>
  <si>
    <t>------------------------------</t>
  </si>
  <si>
    <t>Filed</t>
  </si>
  <si>
    <t>Direct Filing</t>
  </si>
  <si>
    <t>Staff -  Direct Filing</t>
  </si>
  <si>
    <t>----------------------------------------------</t>
  </si>
  <si>
    <t>------------------------------------------------------------------------------------</t>
  </si>
  <si>
    <t>Update</t>
  </si>
  <si>
    <t>Add to Net Plant</t>
  </si>
  <si>
    <t>Subtract from Net Plant</t>
  </si>
  <si>
    <t>Staff Cap. Structure/Staff ROE</t>
  </si>
  <si>
    <t>OPC  Cap. Structure/ OPC ROE</t>
  </si>
  <si>
    <t xml:space="preserve">              Case No. GR 2001-292</t>
  </si>
  <si>
    <t xml:space="preserve">Rev. Req. Value of Return on Equity </t>
  </si>
  <si>
    <t>Misc. Customer Accts. Expense</t>
  </si>
  <si>
    <t>Misc. Sales Expense</t>
  </si>
  <si>
    <t>Payroll Taxes</t>
  </si>
  <si>
    <t>Property Taxes</t>
  </si>
  <si>
    <t>Amortization Expense</t>
  </si>
  <si>
    <t>Line No</t>
  </si>
  <si>
    <t>-----------------------------------------------------------</t>
  </si>
  <si>
    <t>------------</t>
  </si>
  <si>
    <t>Updated Filing</t>
  </si>
  <si>
    <t>Add Tax Factor Gross Up Difference</t>
  </si>
  <si>
    <t>Add Uncollectible Gross Up Difference</t>
  </si>
  <si>
    <t>Total Revenue Requirement Difference (before Gross Up Differences)</t>
  </si>
  <si>
    <t>Total Revenue Requirement Differences</t>
  </si>
  <si>
    <t>Rate of Return &amp; Capital Structure</t>
  </si>
  <si>
    <t>Capital Structure impact on Interest Expense Deduction</t>
  </si>
  <si>
    <t>Missouri Public Service Division</t>
  </si>
  <si>
    <t>MPS</t>
  </si>
  <si>
    <t>Mo. Juris.</t>
  </si>
  <si>
    <t>Include Jeffrey Common Plant</t>
  </si>
  <si>
    <t>Prepayments - MPS</t>
  </si>
  <si>
    <t>Fuel Inventory - Oil &amp; Propane</t>
  </si>
  <si>
    <t>Fuel Inventory - Coal</t>
  </si>
  <si>
    <t>Fuel Inventory - Coke</t>
  </si>
  <si>
    <t>AAO-Def. Sibley Rebuild - 1990</t>
  </si>
  <si>
    <t>AAO-Def. Sibley Rebuild - 1993</t>
  </si>
  <si>
    <t>Deferred Income Tax - MPS</t>
  </si>
  <si>
    <t>Unamortized ITC</t>
  </si>
  <si>
    <t>Sales to Retail Customers</t>
  </si>
  <si>
    <t>Sales to Municipals - Non Jurisdictional</t>
  </si>
  <si>
    <t>Off System Sales</t>
  </si>
  <si>
    <t>Forfeited Discounts</t>
  </si>
  <si>
    <t>Misc. Service Revenues</t>
  </si>
  <si>
    <t>Rent from Electric Property</t>
  </si>
  <si>
    <t>Other Electric Revenues</t>
  </si>
  <si>
    <t>Steam Operating supervision &amp; Engineering</t>
  </si>
  <si>
    <t>Fuel</t>
  </si>
  <si>
    <t>Steam Expenses</t>
  </si>
  <si>
    <t>Steam Oper. Electric Expense</t>
  </si>
  <si>
    <t>Misc. Other Power Expense</t>
  </si>
  <si>
    <t>Steam Oper. Expense - Rents</t>
  </si>
  <si>
    <t>Allowances</t>
  </si>
  <si>
    <t>Steam Maintenance Supervision &amp; Engin.</t>
  </si>
  <si>
    <t>Maintenance of Structures</t>
  </si>
  <si>
    <t xml:space="preserve">Maintenance of Boiler Plant </t>
  </si>
  <si>
    <t>Maintenance of Electric Plant</t>
  </si>
  <si>
    <t>Other Gen. Oper. Supervision &amp; Engineering</t>
  </si>
  <si>
    <t>Other Generation Fuel Expense</t>
  </si>
  <si>
    <t>Other Power Generation Expense</t>
  </si>
  <si>
    <t>Misc. Other Power Generation Expense</t>
  </si>
  <si>
    <t>Other Generation Rents</t>
  </si>
  <si>
    <t>Other Generation Maint. Super. &amp; Engin.</t>
  </si>
  <si>
    <t>Other Gen. Maint. of Structures</t>
  </si>
  <si>
    <t>Other Gen. Maint. of General Plant</t>
  </si>
  <si>
    <t>Other Gen. Maint. Misc. Other Plant</t>
  </si>
  <si>
    <t>Purchased Power - Energy Costs</t>
  </si>
  <si>
    <t>Purchased Power - Demand Costs</t>
  </si>
  <si>
    <t>System Control /Load Dispatch</t>
  </si>
  <si>
    <t>Transmission. Oper. Super. &amp; Engineering</t>
  </si>
  <si>
    <t>Transmission Expenses</t>
  </si>
  <si>
    <t>Production Expenses</t>
  </si>
  <si>
    <t>Total Production Expenses</t>
  </si>
  <si>
    <t>Transmission Oper. Load Dispatch</t>
  </si>
  <si>
    <t>Transmission Oper. Station Expenses</t>
  </si>
  <si>
    <t>Transmission Oper. OH Line Expense</t>
  </si>
  <si>
    <t>Transmission Oper. Underground Line Exp.</t>
  </si>
  <si>
    <t>Transmission of Electricity by Others</t>
  </si>
  <si>
    <t>Misc. Transmission Expense</t>
  </si>
  <si>
    <t>Transmission Operating Rents</t>
  </si>
  <si>
    <t>Transmission Maint. Supver. &amp; Engineering</t>
  </si>
  <si>
    <t>Transmission Maint. of Structures</t>
  </si>
  <si>
    <t>Transmission Maint. of Station Expense</t>
  </si>
  <si>
    <t>Transmission Maintenance - OH Lines</t>
  </si>
  <si>
    <t>Transmission Maintenance - UG Lines</t>
  </si>
  <si>
    <t xml:space="preserve">Transmission Maint.-Misc. Trans. Plant </t>
  </si>
  <si>
    <t>Total Transmission Expense</t>
  </si>
  <si>
    <t>Distribution Expenses</t>
  </si>
  <si>
    <t>Distr. Operation Station Equipment</t>
  </si>
  <si>
    <t>Distr. Operation Load Dispatching</t>
  </si>
  <si>
    <t>Distr. Operation Supervision &amp; Engin.</t>
  </si>
  <si>
    <t>Distr. Operation OH Line Expense</t>
  </si>
  <si>
    <t>Distr. Operation UG Line Expense</t>
  </si>
  <si>
    <t>Distr. Operation Street Light &amp; Signals</t>
  </si>
  <si>
    <t>Distr. Operation Meter Expenses</t>
  </si>
  <si>
    <t>Distr. Operation Customer Install Expense</t>
  </si>
  <si>
    <t>Distr. Operation Misc. Distr. Expense</t>
  </si>
  <si>
    <t>Distr. Operations Rents</t>
  </si>
  <si>
    <t>Dsitr. Maint. Supervision &amp; Engineering</t>
  </si>
  <si>
    <t>Distr. Maintenance of Structures</t>
  </si>
  <si>
    <t>Dsitr. Maintenance of Station Equipment</t>
  </si>
  <si>
    <t>Distr. Maintenance of OH Lines</t>
  </si>
  <si>
    <t>Distr. Maintenance of UG Lines</t>
  </si>
  <si>
    <t>Distr. Maintenance of Line Transformers</t>
  </si>
  <si>
    <t>Distr. Maintenance of Street Lights</t>
  </si>
  <si>
    <t>Dsitr. Maintenance of Meters</t>
  </si>
  <si>
    <t>Distr. Maintenance of Misc. Plant</t>
  </si>
  <si>
    <t>Total Distribution Expense</t>
  </si>
  <si>
    <t>General Advertising Expense</t>
  </si>
  <si>
    <t>Total Administrative &amp; General Expense</t>
  </si>
  <si>
    <t>Cost of Removal / Salvage</t>
  </si>
  <si>
    <t>City Franchise Taxes</t>
  </si>
  <si>
    <t>Other Taxes</t>
  </si>
  <si>
    <t>A &amp; G Loading</t>
  </si>
  <si>
    <t>Total Taxes Other</t>
  </si>
  <si>
    <t>MPS  - Updated Filing</t>
  </si>
  <si>
    <t>Eliminate Unbilled Revenue - Test Year</t>
  </si>
  <si>
    <t>Normalize Test Year for Weather</t>
  </si>
  <si>
    <t>To Adjust for EDR Credits</t>
  </si>
  <si>
    <t>To Remove City Franchise Taxes</t>
  </si>
  <si>
    <t>-------------------------------------------------------------</t>
  </si>
  <si>
    <t xml:space="preserve">Annualize Fuel Expense </t>
  </si>
  <si>
    <t>Maintenance Expense Normalization</t>
  </si>
  <si>
    <t>Annualize Incentive Compensation</t>
  </si>
  <si>
    <r>
      <t>Staff</t>
    </r>
    <r>
      <rPr>
        <sz val="10"/>
        <rFont val="Arial"/>
        <family val="2"/>
      </rPr>
      <t xml:space="preserve"> /Company</t>
    </r>
  </si>
  <si>
    <r>
      <t>Staff. /</t>
    </r>
    <r>
      <rPr>
        <sz val="10"/>
        <rFont val="Arial"/>
        <family val="2"/>
      </rPr>
      <t xml:space="preserve"> Company</t>
    </r>
  </si>
  <si>
    <r>
      <t xml:space="preserve">Value of Capital Structure Issue - Staff / </t>
    </r>
    <r>
      <rPr>
        <sz val="10"/>
        <rFont val="Arial"/>
        <family val="2"/>
      </rPr>
      <t>Company</t>
    </r>
  </si>
  <si>
    <t>Interdepartmental Sales</t>
  </si>
  <si>
    <t>Dues &amp; Donations</t>
  </si>
  <si>
    <t>Annualize Bad Debt Expense</t>
  </si>
  <si>
    <t>PSC Assessment</t>
  </si>
  <si>
    <t>Annualize Purchased Power-Energy Costs</t>
  </si>
  <si>
    <t>Interest on Accounts Receivable</t>
  </si>
  <si>
    <t>Annualize Payroll Taxes</t>
  </si>
  <si>
    <t>Annualize Rate Case Expense</t>
  </si>
  <si>
    <t>Annualize Property Tax Expense</t>
  </si>
  <si>
    <t>Annualize Depreciation Expense</t>
  </si>
  <si>
    <t>Elimination of Greenwood Lease Costs</t>
  </si>
  <si>
    <t>Annualize Interest on Customer Deposits</t>
  </si>
  <si>
    <t>Book Depreciation - EMS Income Statement</t>
  </si>
  <si>
    <t>Annualize Purchased Power Demand Costs</t>
  </si>
  <si>
    <t>Contributions in Aid of Construction</t>
  </si>
  <si>
    <t>Advances for Construction</t>
  </si>
  <si>
    <t>----------------------------------</t>
  </si>
  <si>
    <t>-----------------------------</t>
  </si>
  <si>
    <r>
      <t>Sub-Total</t>
    </r>
    <r>
      <rPr>
        <sz val="10"/>
        <rFont val="Arial"/>
        <family val="0"/>
      </rPr>
      <t xml:space="preserve"> Rate of Return and Capital Structure Differences</t>
    </r>
  </si>
  <si>
    <t>Total Value of  All Issues</t>
  </si>
  <si>
    <t xml:space="preserve">Staff Revenue Requirement </t>
  </si>
  <si>
    <t>===============</t>
  </si>
  <si>
    <t>Effective Tax Rate</t>
  </si>
  <si>
    <t>Income Tax Deduction</t>
  </si>
  <si>
    <t>Net Income Impact</t>
  </si>
  <si>
    <t>(1) - (2)</t>
  </si>
  <si>
    <t>Tax Gross Up Factor</t>
  </si>
  <si>
    <t>-----------------------------------------------</t>
  </si>
  <si>
    <t>Straight Line Tax Depreciation Issue:</t>
  </si>
  <si>
    <t>-----------------------------------------------------</t>
  </si>
  <si>
    <t>Depreciation Expense Issue:</t>
  </si>
  <si>
    <t>MPS Actual Straight Line Tax Deduction per Filing</t>
  </si>
  <si>
    <t>Lower Straight Line Tax Deduction - MPS Method</t>
  </si>
  <si>
    <t>Income Tax - Difference in S/L Tax Deduction</t>
  </si>
  <si>
    <t>Income Tax - Difference in Add Back Book Depreciation</t>
  </si>
  <si>
    <t>Depreciation Expense Difference</t>
  </si>
  <si>
    <t>Difference in Allocation of Unadjusted Book Depreciation</t>
  </si>
  <si>
    <t>Total per Income Statement Reconcilement</t>
  </si>
  <si>
    <t>MPS Model</t>
  </si>
  <si>
    <t>Amortization &amp;  Expense</t>
  </si>
  <si>
    <t>Total Amortization &amp; Net Salvage</t>
  </si>
  <si>
    <t>Total Depreciation Expense</t>
  </si>
  <si>
    <t>Reconciliation - Income Statement Check:</t>
  </si>
  <si>
    <t>Depr. Issue</t>
  </si>
  <si>
    <t>Timing Difference</t>
  </si>
  <si>
    <t>Capital Structure</t>
  </si>
  <si>
    <t>Def. Income Tax</t>
  </si>
  <si>
    <t>Amortization of Deferred Income Tax</t>
  </si>
  <si>
    <t xml:space="preserve">Tax Rate Difference </t>
  </si>
  <si>
    <t>Deprec. Issue</t>
  </si>
  <si>
    <t>Less Depreciation</t>
  </si>
  <si>
    <t>To Reconcilement</t>
  </si>
  <si>
    <t>50 % Meals &amp; Entertainment</t>
  </si>
  <si>
    <t>Amortz. Def. Tax</t>
  </si>
  <si>
    <t>Annualize Postage Expense</t>
  </si>
  <si>
    <t>Maint. of Miscellaneous Steam Plant</t>
  </si>
  <si>
    <r>
      <t>Plant not at Issue (</t>
    </r>
    <r>
      <rPr>
        <b/>
        <sz val="10"/>
        <rFont val="Arial"/>
        <family val="2"/>
      </rPr>
      <t>Formula)</t>
    </r>
  </si>
  <si>
    <t>Return on Equity : Staff / Company</t>
  </si>
  <si>
    <t>Return on Equity : Staff / OPC</t>
  </si>
  <si>
    <t xml:space="preserve"> OPC / Staff</t>
  </si>
  <si>
    <t>OPC Rate Base</t>
  </si>
  <si>
    <t>Staff Cap. Structure / OPC ROE</t>
  </si>
  <si>
    <t>Staff Cap. Structure / Staff ROE</t>
  </si>
  <si>
    <t>Staff / Company</t>
  </si>
  <si>
    <t>Capital Structure :  OPC / Staff</t>
  </si>
  <si>
    <t>Rev. Req. Value of Capital Structure - OPC / Staff</t>
  </si>
  <si>
    <t>OPC / Staff</t>
  </si>
  <si>
    <t xml:space="preserve">Staff Net Income Available </t>
  </si>
  <si>
    <t xml:space="preserve">OPC Net Income Available </t>
  </si>
  <si>
    <t>OPC Issues:</t>
  </si>
  <si>
    <t>Return on Equity</t>
  </si>
  <si>
    <t>Revenue:</t>
  </si>
  <si>
    <t>Expenses:</t>
  </si>
  <si>
    <t>Income Tax:</t>
  </si>
  <si>
    <t>OPC Revenue Requirement</t>
  </si>
  <si>
    <t>Change ITC /Excess Tax Amortz..  - after Tax Amounts - (input as negative value)</t>
  </si>
  <si>
    <t xml:space="preserve">Total Adjustment </t>
  </si>
  <si>
    <t>Total Adjustment</t>
  </si>
  <si>
    <t>==============</t>
  </si>
  <si>
    <t>Adjustments to the Income Statement</t>
  </si>
  <si>
    <t xml:space="preserve">Issue Value - Depreciation Expense &amp; Straight Line Depreciation Deduction </t>
  </si>
  <si>
    <r>
      <t>MPS</t>
    </r>
    <r>
      <rPr>
        <sz val="10"/>
        <rFont val="Arial"/>
        <family val="0"/>
      </rPr>
      <t xml:space="preserve"> Rate Base</t>
    </r>
  </si>
  <si>
    <t>Line</t>
  </si>
  <si>
    <r>
      <t xml:space="preserve">Straight Line Tax Depreciation - </t>
    </r>
    <r>
      <rPr>
        <b/>
        <sz val="10"/>
        <rFont val="Arial"/>
        <family val="2"/>
      </rPr>
      <t>Filed Positions</t>
    </r>
  </si>
  <si>
    <t>Revenue Requirement - Total Depreciation Expense Issue</t>
  </si>
  <si>
    <t xml:space="preserve">MPS Straight Line Tax Deduction - Staff Method  </t>
  </si>
  <si>
    <t>(3)-(4)</t>
  </si>
  <si>
    <r>
      <t xml:space="preserve">Revenue Requirement - </t>
    </r>
    <r>
      <rPr>
        <b/>
        <sz val="10"/>
        <rFont val="Arial"/>
        <family val="2"/>
      </rPr>
      <t>S/L Tax Methodology</t>
    </r>
  </si>
  <si>
    <r>
      <t xml:space="preserve">Revenue Requirement - </t>
    </r>
    <r>
      <rPr>
        <b/>
        <sz val="10"/>
        <rFont val="Arial"/>
        <family val="2"/>
      </rPr>
      <t>Recommended Depreciation Rates</t>
    </r>
  </si>
  <si>
    <t>Staff Cap. Structure/Co.ROE</t>
  </si>
  <si>
    <t>Company Cap. Structure/ Co. ROE</t>
  </si>
  <si>
    <t>Staff Capital Structure/OPC ROE</t>
  </si>
  <si>
    <r>
      <t xml:space="preserve">Company </t>
    </r>
    <r>
      <rPr>
        <sz val="10"/>
        <rFont val="Arial"/>
        <family val="0"/>
      </rPr>
      <t>Rate Base</t>
    </r>
  </si>
  <si>
    <t xml:space="preserve">         Case No. ER 2004-0034</t>
  </si>
  <si>
    <t>Emission Allowances</t>
  </si>
  <si>
    <t>AAO-Ice Storm</t>
  </si>
  <si>
    <t>Regulatory Asset-FAS 109</t>
  </si>
  <si>
    <t>Deferred Income Tax -AAO</t>
  </si>
  <si>
    <t>Deferred Income Taxes-Synergies</t>
  </si>
  <si>
    <t>FAS 109-Deferred Tax Liability</t>
  </si>
  <si>
    <t>Prepayments - MPS of UCU</t>
  </si>
  <si>
    <t>Prepaid Pension Asset</t>
  </si>
  <si>
    <t>Purchased Power-For Resale</t>
  </si>
  <si>
    <t>Revenue from Plant Lease</t>
  </si>
  <si>
    <t>Other Electric Rev-Trans Ele</t>
  </si>
  <si>
    <t>Customer Growth/Annualization</t>
  </si>
  <si>
    <t>Gas Cost Cap Adj</t>
  </si>
  <si>
    <t>O&amp;M L&amp;P Synergies</t>
  </si>
  <si>
    <t>Elimination of Trans UCU</t>
  </si>
  <si>
    <t>Write-Off Pre 2002 Misc Payroll Exp</t>
  </si>
  <si>
    <t>Synergies from Joint Dispatch</t>
  </si>
  <si>
    <t>MPS Share of JEC' Employee Expense</t>
  </si>
  <si>
    <t>Merger Synergies</t>
  </si>
  <si>
    <t>Unexplained Deferred Tax Difference</t>
  </si>
  <si>
    <t>S-9.1</t>
  </si>
  <si>
    <t xml:space="preserve">Annualize Payroll at Sept. 30, 2003 </t>
  </si>
  <si>
    <t>S-11.1</t>
  </si>
  <si>
    <t>S-12.1</t>
  </si>
  <si>
    <t>S-13.1</t>
  </si>
  <si>
    <t>S-16.1</t>
  </si>
  <si>
    <t>S-17.1</t>
  </si>
  <si>
    <t>S-18.1</t>
  </si>
  <si>
    <t>S-19.1</t>
  </si>
  <si>
    <t>S-20.1</t>
  </si>
  <si>
    <t>S-21.1</t>
  </si>
  <si>
    <t>S-23.1</t>
  </si>
  <si>
    <t>S-24.1</t>
  </si>
  <si>
    <t>S-26.1</t>
  </si>
  <si>
    <t>S-27.1</t>
  </si>
  <si>
    <t>S-28.1</t>
  </si>
  <si>
    <t>S-33.1</t>
  </si>
  <si>
    <t>S-34.1</t>
  </si>
  <si>
    <t>S-35.1</t>
  </si>
  <si>
    <t>S-36.1</t>
  </si>
  <si>
    <t>S-37.1</t>
  </si>
  <si>
    <t>S-38.1</t>
  </si>
  <si>
    <t>S-40.1</t>
  </si>
  <si>
    <t>S-42.1</t>
  </si>
  <si>
    <t>S-43.1</t>
  </si>
  <si>
    <t>S-44.1</t>
  </si>
  <si>
    <t>S-45.1</t>
  </si>
  <si>
    <t>S-47.1</t>
  </si>
  <si>
    <t>S-48.1</t>
  </si>
  <si>
    <t>S-49.1</t>
  </si>
  <si>
    <t>S-50.1</t>
  </si>
  <si>
    <t>S-51.1</t>
  </si>
  <si>
    <t>S-52.1</t>
  </si>
  <si>
    <t>S-53.2</t>
  </si>
  <si>
    <t>S-54.1</t>
  </si>
  <si>
    <t>S-55.1</t>
  </si>
  <si>
    <t>S-56.1</t>
  </si>
  <si>
    <t>S-58.1</t>
  </si>
  <si>
    <t>S-60.1</t>
  </si>
  <si>
    <t>S-61.1</t>
  </si>
  <si>
    <t>S-62.1</t>
  </si>
  <si>
    <t>S-63.1</t>
  </si>
  <si>
    <t>S-64.1</t>
  </si>
  <si>
    <t>S-65.1</t>
  </si>
  <si>
    <t>S-66.1</t>
  </si>
  <si>
    <t>S-67.1</t>
  </si>
  <si>
    <t>S-68.1</t>
  </si>
  <si>
    <t>S-69.1</t>
  </si>
  <si>
    <t>S-72.1</t>
  </si>
  <si>
    <t>S-73.1</t>
  </si>
  <si>
    <t>S-74.1</t>
  </si>
  <si>
    <t>S-75.1</t>
  </si>
  <si>
    <t>S-76.1</t>
  </si>
  <si>
    <t>S-77.1</t>
  </si>
  <si>
    <t>S-78.1</t>
  </si>
  <si>
    <t>S-79.1</t>
  </si>
  <si>
    <t>S-81.1</t>
  </si>
  <si>
    <t>S-88.1</t>
  </si>
  <si>
    <t>S-90.1</t>
  </si>
  <si>
    <t>Reflect disallowance of specific Corp. Depts</t>
  </si>
  <si>
    <t>Eliminate Payroll - Restrucuring</t>
  </si>
  <si>
    <t>S-11.2</t>
  </si>
  <si>
    <t>S-12.2</t>
  </si>
  <si>
    <t>S-13.4</t>
  </si>
  <si>
    <t>S-16.3</t>
  </si>
  <si>
    <t>S-17.5</t>
  </si>
  <si>
    <t>S-18.3</t>
  </si>
  <si>
    <t>S-19.4</t>
  </si>
  <si>
    <t>S-20.3</t>
  </si>
  <si>
    <t>S-23.3</t>
  </si>
  <si>
    <t>S-24.4</t>
  </si>
  <si>
    <t>S-26.3</t>
  </si>
  <si>
    <t>S-27.3</t>
  </si>
  <si>
    <t>S-28.4</t>
  </si>
  <si>
    <t>S-33.3</t>
  </si>
  <si>
    <t>S-34.3</t>
  </si>
  <si>
    <t>S-35.3</t>
  </si>
  <si>
    <t>S-36.4</t>
  </si>
  <si>
    <t>S-37.2</t>
  </si>
  <si>
    <t>S-38.3</t>
  </si>
  <si>
    <t>S-40.3</t>
  </si>
  <si>
    <t>S-42.3</t>
  </si>
  <si>
    <t>S-43.3</t>
  </si>
  <si>
    <t>S-44.4</t>
  </si>
  <si>
    <t>S-45.4</t>
  </si>
  <si>
    <t>S-47.4</t>
  </si>
  <si>
    <t>S-48.3</t>
  </si>
  <si>
    <t>S-49.3</t>
  </si>
  <si>
    <t>S-50.2</t>
  </si>
  <si>
    <t>S-51.3</t>
  </si>
  <si>
    <t>S-52.3</t>
  </si>
  <si>
    <t>S-54.4</t>
  </si>
  <si>
    <t>S-55.3</t>
  </si>
  <si>
    <t>S-56.3</t>
  </si>
  <si>
    <t>S-58.3</t>
  </si>
  <si>
    <t>S-60.4</t>
  </si>
  <si>
    <t>S-61.4</t>
  </si>
  <si>
    <t>S-62.4</t>
  </si>
  <si>
    <t>S-63.3</t>
  </si>
  <si>
    <t>S-64.3</t>
  </si>
  <si>
    <t>S-65.4</t>
  </si>
  <si>
    <t>S-66.4</t>
  </si>
  <si>
    <t>S-67.3</t>
  </si>
  <si>
    <t>S-68.3</t>
  </si>
  <si>
    <t>S-69.6</t>
  </si>
  <si>
    <t>S-72.3</t>
  </si>
  <si>
    <t>S-73.3</t>
  </si>
  <si>
    <t>S-74.3</t>
  </si>
  <si>
    <t>S-75.3</t>
  </si>
  <si>
    <t>S-76.3</t>
  </si>
  <si>
    <t>S-77.4</t>
  </si>
  <si>
    <t>S-78.4</t>
  </si>
  <si>
    <t>S-79.4</t>
  </si>
  <si>
    <t>S-81.4</t>
  </si>
  <si>
    <t>S-88.3</t>
  </si>
  <si>
    <t>S-90.3</t>
  </si>
  <si>
    <t>ESF/IBU Allocations-August Factors</t>
  </si>
  <si>
    <t>S-9.2</t>
  </si>
  <si>
    <t>S-13.2</t>
  </si>
  <si>
    <t>S-15.1</t>
  </si>
  <si>
    <t>S-17.2</t>
  </si>
  <si>
    <t>S-21.2</t>
  </si>
  <si>
    <t>S-23.2</t>
  </si>
  <si>
    <t>S-24.2</t>
  </si>
  <si>
    <t>S-33.2</t>
  </si>
  <si>
    <t>S-34.2</t>
  </si>
  <si>
    <t>S-35.2</t>
  </si>
  <si>
    <t>S-36.2</t>
  </si>
  <si>
    <t>S-38.2</t>
  </si>
  <si>
    <t>S-40.2</t>
  </si>
  <si>
    <t>S-41.1</t>
  </si>
  <si>
    <t>S-44.2</t>
  </si>
  <si>
    <t>S-45.2</t>
  </si>
  <si>
    <t>S-47.2</t>
  </si>
  <si>
    <t>S-48.2</t>
  </si>
  <si>
    <t>S-49.2</t>
  </si>
  <si>
    <t>S-51.2</t>
  </si>
  <si>
    <t>S-52.2</t>
  </si>
  <si>
    <t>S-54.2</t>
  </si>
  <si>
    <t>S-55.2</t>
  </si>
  <si>
    <t>S-56.2</t>
  </si>
  <si>
    <t>S-57.1</t>
  </si>
  <si>
    <t>S-60.2</t>
  </si>
  <si>
    <t>S-61.2</t>
  </si>
  <si>
    <t>S-62.2</t>
  </si>
  <si>
    <t>S-65.2</t>
  </si>
  <si>
    <t>S-66.2</t>
  </si>
  <si>
    <t>S-67.2</t>
  </si>
  <si>
    <t>S-68.2</t>
  </si>
  <si>
    <t>S-69.2</t>
  </si>
  <si>
    <t>S-70.1</t>
  </si>
  <si>
    <t>S-71.1</t>
  </si>
  <si>
    <t>S-72.2</t>
  </si>
  <si>
    <t>S-73.2</t>
  </si>
  <si>
    <t>S-74.2</t>
  </si>
  <si>
    <t>S-75.2</t>
  </si>
  <si>
    <t>S-76.2</t>
  </si>
  <si>
    <t>S-77.2</t>
  </si>
  <si>
    <t>S-78.2</t>
  </si>
  <si>
    <t>S-79.2</t>
  </si>
  <si>
    <t>S-80.1</t>
  </si>
  <si>
    <t>S-81.2</t>
  </si>
  <si>
    <t>S-82.1</t>
  </si>
  <si>
    <t>S-84.1</t>
  </si>
  <si>
    <t>S-85.2</t>
  </si>
  <si>
    <t>S-86.1</t>
  </si>
  <si>
    <t>S-88.2</t>
  </si>
  <si>
    <t>S-89.1</t>
  </si>
  <si>
    <t>S-90.2</t>
  </si>
  <si>
    <t>S-9.4</t>
  </si>
  <si>
    <t>S-21.4</t>
  </si>
  <si>
    <t>S-33.4</t>
  </si>
  <si>
    <t>S-48.4</t>
  </si>
  <si>
    <t>S-67.4</t>
  </si>
  <si>
    <t>S-73.4</t>
  </si>
  <si>
    <t>S-77.5</t>
  </si>
  <si>
    <t>S-88.5</t>
  </si>
  <si>
    <t>Eliminate - Non-Labor Restructuring</t>
  </si>
  <si>
    <t>S-9.5</t>
  </si>
  <si>
    <t>S-15.2</t>
  </si>
  <si>
    <t>S-17.6</t>
  </si>
  <si>
    <t>S-21.5</t>
  </si>
  <si>
    <t>S-23.4</t>
  </si>
  <si>
    <t>S-24.5</t>
  </si>
  <si>
    <t>S-33.5</t>
  </si>
  <si>
    <t>S-34.5</t>
  </si>
  <si>
    <t>S-35.4</t>
  </si>
  <si>
    <t>S-36.5</t>
  </si>
  <si>
    <t>S-38.4</t>
  </si>
  <si>
    <t>S-40.4</t>
  </si>
  <si>
    <t>S-41.2</t>
  </si>
  <si>
    <t>S-44.5</t>
  </si>
  <si>
    <t>S-45.5</t>
  </si>
  <si>
    <t>S-47.5</t>
  </si>
  <si>
    <t>S-48.5</t>
  </si>
  <si>
    <t>S-49.4</t>
  </si>
  <si>
    <t>S-51.4</t>
  </si>
  <si>
    <t>S-52.4</t>
  </si>
  <si>
    <t>S-54.5</t>
  </si>
  <si>
    <t>S-55.4</t>
  </si>
  <si>
    <t>S-56.4</t>
  </si>
  <si>
    <t>S-57.2</t>
  </si>
  <si>
    <t>S-60.5</t>
  </si>
  <si>
    <t>S-61.5</t>
  </si>
  <si>
    <t>S-66.5</t>
  </si>
  <si>
    <t>S-67.5</t>
  </si>
  <si>
    <t>S-68.4</t>
  </si>
  <si>
    <t>S-69.7</t>
  </si>
  <si>
    <t>S-70.2</t>
  </si>
  <si>
    <t>S-72.4</t>
  </si>
  <si>
    <t>S-73.5</t>
  </si>
  <si>
    <t>S-74.4</t>
  </si>
  <si>
    <t>S-75.4</t>
  </si>
  <si>
    <t>S-76.4</t>
  </si>
  <si>
    <t>S-77.6</t>
  </si>
  <si>
    <t>S-78.5</t>
  </si>
  <si>
    <t>S-79.5</t>
  </si>
  <si>
    <t>S-80.7</t>
  </si>
  <si>
    <t>S-81.5</t>
  </si>
  <si>
    <t>S-82.3</t>
  </si>
  <si>
    <t>S-84.4</t>
  </si>
  <si>
    <t>S-85.12</t>
  </si>
  <si>
    <t>S-86.4</t>
  </si>
  <si>
    <t>S-88.6</t>
  </si>
  <si>
    <t>S-89.3</t>
  </si>
  <si>
    <t>S-94.1</t>
  </si>
  <si>
    <t>S-10.1</t>
  </si>
  <si>
    <t>S-13.3</t>
  </si>
  <si>
    <t>S-17.4</t>
  </si>
  <si>
    <t>S-16.2</t>
  </si>
  <si>
    <t>S-17.3</t>
  </si>
  <si>
    <t>S-18.2</t>
  </si>
  <si>
    <t>S-19.2</t>
  </si>
  <si>
    <t>S-20.2</t>
  </si>
  <si>
    <t>S-26.2</t>
  </si>
  <si>
    <t>S-27.2</t>
  </si>
  <si>
    <t>S-28.2</t>
  </si>
  <si>
    <t>S-42.2</t>
  </si>
  <si>
    <t>S-43.2</t>
  </si>
  <si>
    <t>S-44.3</t>
  </si>
  <si>
    <t>S-45.3</t>
  </si>
  <si>
    <t>S-46.1</t>
  </si>
  <si>
    <t>S-47.3</t>
  </si>
  <si>
    <t>S-58.2</t>
  </si>
  <si>
    <t>S-59.1</t>
  </si>
  <si>
    <t>S-60.3</t>
  </si>
  <si>
    <t>S-61.3</t>
  </si>
  <si>
    <t>S-62.3</t>
  </si>
  <si>
    <t>S-63.2</t>
  </si>
  <si>
    <t>S-64.2</t>
  </si>
  <si>
    <t>S-65.3</t>
  </si>
  <si>
    <t>S-66.3</t>
  </si>
  <si>
    <t>Eliminate Restructuring Costs</t>
  </si>
  <si>
    <t>Company Adjustment - CS 10</t>
  </si>
  <si>
    <t>Remove allocated restructuring costs CS 10</t>
  </si>
  <si>
    <t>S-24.3</t>
  </si>
  <si>
    <t>S-36.3</t>
  </si>
  <si>
    <t>S-54.3</t>
  </si>
  <si>
    <t>S-77.3</t>
  </si>
  <si>
    <t>S-78.3</t>
  </si>
  <si>
    <t>S-79.3</t>
  </si>
  <si>
    <t>S-81.3</t>
  </si>
  <si>
    <t>S-82.2</t>
  </si>
  <si>
    <t>S-85.3</t>
  </si>
  <si>
    <t>S-89.2</t>
  </si>
  <si>
    <t>Turbine Overhaul Maintenance</t>
  </si>
  <si>
    <t>S-19.3</t>
  </si>
  <si>
    <t>S-28.3</t>
  </si>
  <si>
    <t>Fuel &amp; Purchase Power - Interchange</t>
  </si>
  <si>
    <t>S-10.2</t>
  </si>
  <si>
    <t>S-22.1</t>
  </si>
  <si>
    <t>S-32.1</t>
  </si>
  <si>
    <t>S-32.2</t>
  </si>
  <si>
    <t>S-10.3</t>
  </si>
  <si>
    <t>S-10.4</t>
  </si>
  <si>
    <t>Eliminate Interest charged to Corporate</t>
  </si>
  <si>
    <t>Transmission of Power by Others</t>
  </si>
  <si>
    <t>S-15.3</t>
  </si>
  <si>
    <t>S-69.3</t>
  </si>
  <si>
    <t>S-69.4</t>
  </si>
  <si>
    <t>S-70.3</t>
  </si>
  <si>
    <t>S-80.2</t>
  </si>
  <si>
    <t>S-80.3</t>
  </si>
  <si>
    <t>S-10.5</t>
  </si>
  <si>
    <t>S-22.2</t>
  </si>
  <si>
    <t>S-25.1</t>
  </si>
  <si>
    <t>S-30.1</t>
  </si>
  <si>
    <t>S-31.1</t>
  </si>
  <si>
    <t>S-80.6</t>
  </si>
  <si>
    <t>S-34.4</t>
  </si>
  <si>
    <t>S-69.5</t>
  </si>
  <si>
    <t>S-80.4</t>
  </si>
  <si>
    <t>S-80.5</t>
  </si>
  <si>
    <t>S-85.4</t>
  </si>
  <si>
    <t>S-88.4</t>
  </si>
  <si>
    <t>Annualize Insurance Expense</t>
  </si>
  <si>
    <t>S-83.1</t>
  </si>
  <si>
    <t>Liability Insurance</t>
  </si>
  <si>
    <t>S-84.2</t>
  </si>
  <si>
    <t>S-84.3</t>
  </si>
  <si>
    <t>Injuries &amp; Damages</t>
  </si>
  <si>
    <t>S-85.1</t>
  </si>
  <si>
    <t xml:space="preserve"> Employee Medical / Dental Benefits</t>
  </si>
  <si>
    <t>S-85.10</t>
  </si>
  <si>
    <t>Self Insurance</t>
  </si>
  <si>
    <t>Pension Expense</t>
  </si>
  <si>
    <t>S-85.5</t>
  </si>
  <si>
    <t>OPEBS - FAS 106 Expense</t>
  </si>
  <si>
    <t>S-85.13</t>
  </si>
  <si>
    <t>Amortize Prepaid Pension Asset</t>
  </si>
  <si>
    <t/>
  </si>
  <si>
    <t>S-86.2</t>
  </si>
  <si>
    <t>S-85.6</t>
  </si>
  <si>
    <t>S-39.1</t>
  </si>
  <si>
    <t>Annualize 401 K Benefits</t>
  </si>
  <si>
    <t>Annualize ESOP Contribution</t>
  </si>
  <si>
    <t>S-85.8</t>
  </si>
  <si>
    <t>S-85.7</t>
  </si>
  <si>
    <t>Eliminate Supplemental Retirement Plan</t>
  </si>
  <si>
    <t>S-85.11</t>
  </si>
  <si>
    <t>S-86.3</t>
  </si>
  <si>
    <t>S-94.2</t>
  </si>
  <si>
    <t>S-94.3</t>
  </si>
  <si>
    <t>FICA Tax</t>
  </si>
  <si>
    <t>S-94.4</t>
  </si>
  <si>
    <t>S-94.5</t>
  </si>
  <si>
    <t>FUTA Tax</t>
  </si>
  <si>
    <t>SUTA Tax</t>
  </si>
  <si>
    <t>S-94.6</t>
  </si>
  <si>
    <t>S-94.8</t>
  </si>
  <si>
    <t>S-94.7</t>
  </si>
  <si>
    <t>S-91</t>
  </si>
  <si>
    <t>S-92</t>
  </si>
  <si>
    <t>S-93</t>
  </si>
  <si>
    <t>S-90.4</t>
  </si>
  <si>
    <t>S-94.9</t>
  </si>
  <si>
    <t>S-1.2</t>
  </si>
  <si>
    <t>S-1.3</t>
  </si>
  <si>
    <t>Adjust Large Customer Class for Growth</t>
  </si>
  <si>
    <t>S-1.4</t>
  </si>
  <si>
    <t>Adjust for Rate Switching &amp; Billing Corrections</t>
  </si>
  <si>
    <t>S-1.5</t>
  </si>
  <si>
    <t>S-1.6</t>
  </si>
  <si>
    <t>Annualize for Rate Change in Test Year</t>
  </si>
  <si>
    <t>S-1.7</t>
  </si>
  <si>
    <t>S-1.8</t>
  </si>
  <si>
    <t>Annualize Miscellaneous Charges</t>
  </si>
  <si>
    <t>S-1.9</t>
  </si>
  <si>
    <t>Annualization of Unaccounted For Revenue</t>
  </si>
  <si>
    <t>To adjust Test Year for 365 Days</t>
  </si>
  <si>
    <t>S-1.10</t>
  </si>
  <si>
    <t>Eliminate L&amp;P Transfers from Interchange Sales</t>
  </si>
  <si>
    <t>S-3.1</t>
  </si>
  <si>
    <t>Update Interchange Revenue thru Sept 30,2003</t>
  </si>
  <si>
    <t>S-3.2</t>
  </si>
  <si>
    <t>S-3.3</t>
  </si>
  <si>
    <t>CIAC</t>
  </si>
  <si>
    <t>Undistributed Stores</t>
  </si>
  <si>
    <t>Eliminate Corp. Reserve Write Off</t>
  </si>
  <si>
    <t>MPS - Revenue Requirement - Update to September 30, 2003</t>
  </si>
  <si>
    <t>Synergies from Merger - Plant</t>
  </si>
  <si>
    <t>Synergies from Merger - Reserve</t>
  </si>
  <si>
    <t>Include Jeffrey Common Plant - Reserve</t>
  </si>
  <si>
    <t>-----------------------------------</t>
  </si>
  <si>
    <t>Sub Total - Rate Base Issues</t>
  </si>
  <si>
    <t>Rate Base Issues :</t>
  </si>
  <si>
    <t>Sub Total - Revenue Adjustments</t>
  </si>
  <si>
    <t>------------------------------------</t>
  </si>
  <si>
    <t>Income Statement - Revenue Issues</t>
  </si>
  <si>
    <t>---------------------------------------------------------------</t>
  </si>
  <si>
    <t>Income Statement - Expense Issues</t>
  </si>
  <si>
    <t>Annualize Emission Allowances</t>
  </si>
  <si>
    <t>Timing Difference for Meals &amp; Entertainment</t>
  </si>
  <si>
    <t>Add Back for Transportation Depreciation</t>
  </si>
  <si>
    <t>Unexplained Timing Difference - MPS Deferred Tax Calculation</t>
  </si>
  <si>
    <t>Straight Line Tax Depreciation - Method Difference</t>
  </si>
  <si>
    <t>Sub Total - Income Tax Differences</t>
  </si>
  <si>
    <t>Add Deduction for Amortization Expense</t>
  </si>
  <si>
    <t>Total Deduction for Depreciation &amp; Amortization</t>
  </si>
  <si>
    <t>Sub Total - Fuel &amp; Pur. Power - excluding Interchange</t>
  </si>
  <si>
    <t>Sub-Total - Revenue Growth and Weather Normalization</t>
  </si>
  <si>
    <t>S-29.2</t>
  </si>
  <si>
    <t>S-9.3</t>
  </si>
  <si>
    <t>S-21.3</t>
  </si>
  <si>
    <t>S-65.5</t>
  </si>
  <si>
    <t>To Depreciation</t>
  </si>
  <si>
    <t>Unreconciled Difference - Staff's Case</t>
  </si>
  <si>
    <t>S-13.5</t>
  </si>
  <si>
    <t>S-34.6</t>
  </si>
  <si>
    <t>S-40.5</t>
  </si>
  <si>
    <t>S-56.5</t>
  </si>
  <si>
    <t>S-80.8</t>
  </si>
  <si>
    <t>S-80.9</t>
  </si>
  <si>
    <t>S-80.10</t>
  </si>
  <si>
    <t>Amortization of AAO Ice Storm</t>
  </si>
  <si>
    <t xml:space="preserve">Total Book Depreciation </t>
  </si>
  <si>
    <t>Amortization Expense-Merger Synergies</t>
  </si>
  <si>
    <t>To Amortization</t>
  </si>
  <si>
    <t>-------------------------------</t>
  </si>
  <si>
    <t>S-61.6</t>
  </si>
  <si>
    <t>S-85.9</t>
  </si>
  <si>
    <t>Annualize Rev. for WAPA Capacity Contract</t>
  </si>
  <si>
    <t>Settlement Agreement</t>
  </si>
  <si>
    <t>---------------------------</t>
  </si>
  <si>
    <t>Settlement Agreement - EEI</t>
  </si>
  <si>
    <r>
      <t>(</t>
    </r>
    <r>
      <rPr>
        <b/>
        <sz val="10"/>
        <rFont val="Arial"/>
        <family val="2"/>
      </rPr>
      <t>Updated as of February 12, 2004</t>
    </r>
    <r>
      <rPr>
        <sz val="10"/>
        <rFont val="Arial"/>
        <family val="0"/>
      </rPr>
      <t>)</t>
    </r>
  </si>
  <si>
    <t>Value of Settlement of Specific Issues</t>
  </si>
  <si>
    <t>MPS - Revenue Requirement - After Settlement of Specific Issues</t>
  </si>
  <si>
    <t>Elimimnate Issues</t>
  </si>
  <si>
    <t>Eliminate Issues</t>
  </si>
  <si>
    <t>Transportation Depreciation</t>
  </si>
  <si>
    <t>Aquila Networks - MPS Electric Division</t>
  </si>
  <si>
    <t>Case No. ER 2004-0034</t>
  </si>
  <si>
    <t>Company Revenue Requirement</t>
  </si>
  <si>
    <t>Jurisdictional Allocations - Odessa</t>
  </si>
  <si>
    <t>Exclusion of Storm Cost AAO from Rate Base</t>
  </si>
  <si>
    <t>Merger Savings - General Plant</t>
  </si>
  <si>
    <t>Revenue Issues</t>
  </si>
  <si>
    <t>Customer Growth - Rate Codes 710 and 711</t>
  </si>
  <si>
    <t>Customer Growth - Large Customer Class</t>
  </si>
  <si>
    <t>Expense Issues</t>
  </si>
  <si>
    <t>Fuel Expense Annualization</t>
  </si>
  <si>
    <t>Purchase Power Energy Costs</t>
  </si>
  <si>
    <t>Purcahse Power Demand Costs</t>
  </si>
  <si>
    <t>Gas Cost Cap</t>
  </si>
  <si>
    <t>Amortization of Prepaid Pension Asset</t>
  </si>
  <si>
    <t>Bad Debt Expense (Uncollectibles)</t>
  </si>
  <si>
    <t>Accounts Recievable Program - CWC Impact</t>
  </si>
  <si>
    <t>CWC - Interest and Income Tax Offsets</t>
  </si>
  <si>
    <t>Property Tax Annualization</t>
  </si>
  <si>
    <t>Incentive Compensation</t>
  </si>
  <si>
    <t>April 1, 2004 Payroll Increase &amp; Payroll Taxes</t>
  </si>
  <si>
    <t>Merger Savings - O&amp;M and Joint Dispatch</t>
  </si>
  <si>
    <t>State Based Restructuring - Severance Costs</t>
  </si>
  <si>
    <t>Corporate Restructuring Costs - Labor and Non-Labor</t>
  </si>
  <si>
    <t>Income Tax - Straight-Line Tax Depreciation Deduction</t>
  </si>
  <si>
    <t>Supplemental Retirement Plan (SERP)</t>
  </si>
  <si>
    <t>Staff Revenue Requirement</t>
  </si>
  <si>
    <t>OPC Issues</t>
  </si>
  <si>
    <t>Eliminate Sibley AAO's from Rate Base</t>
  </si>
  <si>
    <t>Excess Capacity at 20 West 9th Building - Rate Base</t>
  </si>
  <si>
    <t xml:space="preserve">O&amp;M and Depreciation Expense - 20 West 9th </t>
  </si>
  <si>
    <t>Gas Remediation Costs</t>
  </si>
  <si>
    <t>Cost of Gas used in Fuel Annualization</t>
  </si>
  <si>
    <t>Corporate Restructuring Cost Elimination</t>
  </si>
  <si>
    <t>Accumulated Deferred Income Tax Offset - Sibley AAO's</t>
  </si>
  <si>
    <t>MPS - Sept 30 Upate - Def Tax Offset-Sibley AAO's</t>
  </si>
  <si>
    <t>Staff Midpoint ROR - Grossed up fot Tax</t>
  </si>
  <si>
    <t>Revenue Requirement</t>
  </si>
  <si>
    <t>Dittmer - Corp Restructuring Adj</t>
  </si>
  <si>
    <t>Staff Corp. Restructuring Adj.</t>
  </si>
  <si>
    <t>MPS &amp; L&amp;P</t>
  </si>
  <si>
    <t>Impact Issues</t>
  </si>
  <si>
    <t xml:space="preserve">Only MPS </t>
  </si>
  <si>
    <t xml:space="preserve">              Reconciliation of Issues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</si>
</sst>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"/>
    <numFmt numFmtId="166" formatCode="0.0000_);\(0.0000\)"/>
    <numFmt numFmtId="167" formatCode="#,##0.0000_);\(#,##0.0000\)"/>
    <numFmt numFmtId="168" formatCode="0.0%"/>
    <numFmt numFmtId="169" formatCode="0.0000%"/>
    <numFmt numFmtId="170" formatCode="#,##0.000000_);\(#,##0.000000\)"/>
    <numFmt numFmtId="171" formatCode="0.000%"/>
    <numFmt numFmtId="172" formatCode="0.00000_);\(0.00000\)"/>
    <numFmt numFmtId="173" formatCode="0.0"/>
    <numFmt numFmtId="174" formatCode="_(* #,##0.0_);_(* \(#,##0.0\);_(* &quot;-&quot;?_);_(@_)"/>
    <numFmt numFmtId="175" formatCode="#,##0.00000_);\(#,##0.00000\)"/>
    <numFmt numFmtId="176" formatCode="#,##0.00000_);[Red]\(#,##0.00000\)"/>
    <numFmt numFmtId="177" formatCode="_(* #,##0.0_);_(* \(#,##0.0\);_(* &quot;-&quot;??_);_(@_)"/>
    <numFmt numFmtId="178" formatCode="_(* #,##0_);_(* \(#,##0\);_(* &quot;-&quot;??_);_(@_)"/>
    <numFmt numFmtId="179" formatCode="0.000000%"/>
    <numFmt numFmtId="180" formatCode="0.00000%"/>
    <numFmt numFmtId="181" formatCode="#,##0.0_);\(#,##0.0\)"/>
    <numFmt numFmtId="182" formatCode="#,##0.00000000_);\(#,##0.00000000\)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37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 quotePrefix="1">
      <alignment horizontal="center"/>
      <protection locked="0"/>
    </xf>
    <xf numFmtId="37" fontId="0" fillId="0" borderId="0" xfId="0" applyNumberFormat="1" applyAlignment="1" applyProtection="1" quotePrefix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Alignment="1" applyProtection="1" quotePrefix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3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quotePrefix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quotePrefix="1">
      <alignment horizontal="left"/>
    </xf>
    <xf numFmtId="37" fontId="3" fillId="0" borderId="0" xfId="0" applyNumberFormat="1" applyFont="1" applyAlignment="1" applyProtection="1" quotePrefix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 quotePrefix="1">
      <alignment horizontal="left"/>
      <protection locked="0"/>
    </xf>
    <xf numFmtId="10" fontId="0" fillId="0" borderId="0" xfId="0" applyNumberFormat="1" applyAlignment="1" applyProtection="1" quotePrefix="1">
      <alignment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 quotePrefix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37" fontId="0" fillId="0" borderId="0" xfId="0" applyNumberFormat="1" applyAlignment="1" applyProtection="1" quotePrefix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 locked="0"/>
    </xf>
    <xf numFmtId="10" fontId="0" fillId="0" borderId="0" xfId="0" applyNumberFormat="1" applyAlignment="1" applyProtection="1" quotePrefix="1">
      <alignment horizontal="left"/>
      <protection locked="0"/>
    </xf>
    <xf numFmtId="5" fontId="0" fillId="0" borderId="0" xfId="0" applyNumberFormat="1" applyAlignment="1">
      <alignment/>
    </xf>
    <xf numFmtId="5" fontId="3" fillId="0" borderId="0" xfId="0" applyNumberFormat="1" applyFont="1" applyAlignment="1" quotePrefix="1">
      <alignment horizontal="right"/>
    </xf>
    <xf numFmtId="5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5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171" fontId="0" fillId="0" borderId="0" xfId="0" applyNumberFormat="1" applyAlignment="1" quotePrefix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 locked="0"/>
    </xf>
    <xf numFmtId="1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3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171" fontId="0" fillId="0" borderId="0" xfId="0" applyNumberFormat="1" applyAlignment="1" applyProtection="1" quotePrefix="1">
      <alignment horizontal="left"/>
      <protection locked="0"/>
    </xf>
    <xf numFmtId="171" fontId="0" fillId="0" borderId="0" xfId="0" applyNumberFormat="1" applyAlignment="1" applyProtection="1" quotePrefix="1">
      <alignment/>
      <protection locked="0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37" fontId="0" fillId="0" borderId="0" xfId="0" applyNumberFormat="1" applyAlignment="1" applyProtection="1" quotePrefix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3" fillId="0" borderId="1" xfId="0" applyFont="1" applyBorder="1" applyAlignment="1" quotePrefix="1">
      <alignment/>
    </xf>
    <xf numFmtId="37" fontId="0" fillId="0" borderId="1" xfId="0" applyNumberFormat="1" applyBorder="1" applyAlignment="1">
      <alignment/>
    </xf>
    <xf numFmtId="5" fontId="0" fillId="0" borderId="1" xfId="0" applyNumberFormat="1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 quotePrefix="1">
      <alignment horizontal="left"/>
    </xf>
    <xf numFmtId="5" fontId="0" fillId="0" borderId="1" xfId="0" applyNumberFormat="1" applyBorder="1" applyAlignment="1" quotePrefix="1">
      <alignment horizontal="left"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5" fontId="0" fillId="0" borderId="1" xfId="0" applyNumberFormat="1" applyBorder="1" applyAlignment="1" quotePrefix="1">
      <alignment/>
    </xf>
    <xf numFmtId="37" fontId="0" fillId="0" borderId="1" xfId="0" applyNumberFormat="1" applyBorder="1" applyAlignment="1" quotePrefix="1">
      <alignment/>
    </xf>
    <xf numFmtId="5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 quotePrefix="1">
      <alignment/>
    </xf>
    <xf numFmtId="41" fontId="3" fillId="0" borderId="1" xfId="0" applyNumberFormat="1" applyFont="1" applyBorder="1" applyAlignment="1" quotePrefix="1">
      <alignment/>
    </xf>
    <xf numFmtId="0" fontId="0" fillId="0" borderId="0" xfId="0" applyAlignment="1" quotePrefix="1">
      <alignment horizontal="center"/>
    </xf>
    <xf numFmtId="38" fontId="0" fillId="0" borderId="0" xfId="0" applyNumberFormat="1" applyAlignment="1" quotePrefix="1">
      <alignment/>
    </xf>
    <xf numFmtId="10" fontId="0" fillId="0" borderId="0" xfId="0" applyNumberFormat="1" applyAlignment="1" quotePrefix="1">
      <alignment horizontal="center"/>
    </xf>
    <xf numFmtId="10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38" fontId="3" fillId="0" borderId="0" xfId="0" applyNumberFormat="1" applyFont="1" applyAlignment="1" quotePrefix="1">
      <alignment horizontal="center"/>
    </xf>
    <xf numFmtId="10" fontId="3" fillId="0" borderId="2" xfId="0" applyNumberFormat="1" applyFont="1" applyBorder="1" applyAlignment="1" applyProtection="1">
      <alignment/>
      <protection locked="0"/>
    </xf>
    <xf numFmtId="10" fontId="3" fillId="0" borderId="1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 locked="0"/>
    </xf>
    <xf numFmtId="171" fontId="3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quotePrefix="1">
      <alignment/>
    </xf>
    <xf numFmtId="37" fontId="3" fillId="0" borderId="1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10" fontId="3" fillId="0" borderId="0" xfId="0" applyNumberFormat="1" applyFont="1" applyAlignment="1" quotePrefix="1">
      <alignment/>
    </xf>
    <xf numFmtId="166" fontId="0" fillId="0" borderId="0" xfId="0" applyNumberFormat="1" applyAlignment="1" quotePrefix="1">
      <alignment/>
    </xf>
    <xf numFmtId="5" fontId="0" fillId="0" borderId="1" xfId="0" applyNumberFormat="1" applyBorder="1" applyAlignment="1" quotePrefix="1">
      <alignment horizontal="right"/>
    </xf>
    <xf numFmtId="0" fontId="1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 quotePrefix="1">
      <alignment/>
      <protection/>
    </xf>
    <xf numFmtId="10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37" fontId="3" fillId="0" borderId="0" xfId="0" applyNumberFormat="1" applyFont="1" applyAlignment="1" applyProtection="1" quotePrefix="1">
      <alignment/>
      <protection/>
    </xf>
    <xf numFmtId="37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2" fontId="3" fillId="0" borderId="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41" fontId="0" fillId="0" borderId="0" xfId="0" applyNumberFormat="1" applyAlignment="1" applyProtection="1" quotePrefix="1">
      <alignment/>
      <protection/>
    </xf>
    <xf numFmtId="41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171" fontId="3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71" fontId="0" fillId="0" borderId="0" xfId="0" applyNumberFormat="1" applyAlignment="1" applyProtection="1" quotePrefix="1">
      <alignment/>
      <protection/>
    </xf>
    <xf numFmtId="43" fontId="0" fillId="0" borderId="0" xfId="15" applyAlignment="1">
      <alignment/>
    </xf>
    <xf numFmtId="1" fontId="0" fillId="0" borderId="0" xfId="0" applyNumberFormat="1" applyAlignment="1" applyProtection="1">
      <alignment/>
      <protection locked="0"/>
    </xf>
    <xf numFmtId="178" fontId="0" fillId="0" borderId="0" xfId="15" applyNumberFormat="1" applyAlignment="1" applyProtection="1">
      <alignment/>
      <protection locked="0"/>
    </xf>
    <xf numFmtId="171" fontId="0" fillId="0" borderId="0" xfId="21" applyNumberFormat="1" applyFont="1" applyFill="1" applyBorder="1" applyAlignment="1">
      <alignment horizontal="right"/>
    </xf>
    <xf numFmtId="171" fontId="0" fillId="0" borderId="0" xfId="0" applyNumberFormat="1" applyAlignment="1" applyProtection="1">
      <alignment horizontal="right"/>
      <protection locked="0"/>
    </xf>
    <xf numFmtId="178" fontId="0" fillId="0" borderId="0" xfId="15" applyNumberFormat="1" applyAlignment="1">
      <alignment/>
    </xf>
    <xf numFmtId="9" fontId="3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 horizontal="left"/>
      <protection/>
    </xf>
    <xf numFmtId="0" fontId="3" fillId="0" borderId="1" xfId="0" applyFont="1" applyBorder="1" applyAlignment="1" quotePrefix="1">
      <alignment horizontal="left"/>
    </xf>
    <xf numFmtId="167" fontId="0" fillId="0" borderId="0" xfId="0" applyNumberFormat="1" applyAlignment="1">
      <alignment/>
    </xf>
    <xf numFmtId="38" fontId="0" fillId="0" borderId="0" xfId="0" applyNumberFormat="1" applyFont="1" applyAlignment="1" quotePrefix="1">
      <alignment/>
    </xf>
    <xf numFmtId="38" fontId="3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5" fontId="0" fillId="0" borderId="0" xfId="0" applyNumberFormat="1" applyAlignment="1" quotePrefix="1">
      <alignment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workbookViewId="0" topLeftCell="A1">
      <selection activeCell="F5" sqref="F5"/>
    </sheetView>
  </sheetViews>
  <sheetFormatPr defaultColWidth="9.140625" defaultRowHeight="12.75"/>
  <cols>
    <col min="8" max="8" width="14.00390625" style="0" bestFit="1" customWidth="1"/>
    <col min="9" max="9" width="3.7109375" style="0" customWidth="1"/>
    <col min="10" max="10" width="14.00390625" style="0" customWidth="1"/>
  </cols>
  <sheetData>
    <row r="1" ht="12.75">
      <c r="E1" t="s">
        <v>873</v>
      </c>
    </row>
    <row r="2" ht="12.75">
      <c r="F2" t="s">
        <v>874</v>
      </c>
    </row>
    <row r="3" ht="12.75">
      <c r="E3" t="s">
        <v>916</v>
      </c>
    </row>
    <row r="5" spans="1:10" ht="12.75">
      <c r="A5" s="5">
        <v>1</v>
      </c>
      <c r="B5" t="s">
        <v>875</v>
      </c>
      <c r="H5" s="77"/>
      <c r="J5" s="77">
        <v>76973440</v>
      </c>
    </row>
    <row r="6" spans="1:10" ht="12.75">
      <c r="A6" s="5"/>
      <c r="H6" s="77"/>
      <c r="J6" s="77"/>
    </row>
    <row r="7" spans="1:10" ht="12.75">
      <c r="A7" s="5"/>
      <c r="H7" s="210" t="s">
        <v>913</v>
      </c>
      <c r="J7" s="210" t="s">
        <v>915</v>
      </c>
    </row>
    <row r="8" spans="1:10" ht="12.75">
      <c r="A8" s="5"/>
      <c r="B8" s="207" t="s">
        <v>32</v>
      </c>
      <c r="H8" s="210" t="s">
        <v>914</v>
      </c>
      <c r="J8" s="210" t="s">
        <v>35</v>
      </c>
    </row>
    <row r="9" spans="1:10" ht="12.75">
      <c r="A9" s="5"/>
      <c r="H9" s="77"/>
      <c r="J9" s="77"/>
    </row>
    <row r="10" spans="1:10" ht="12.75">
      <c r="A10" s="5">
        <v>2</v>
      </c>
      <c r="B10" t="s">
        <v>418</v>
      </c>
      <c r="H10" s="77">
        <f>+Reconcilement!I20</f>
        <v>-12405325.26762651</v>
      </c>
      <c r="J10" s="77"/>
    </row>
    <row r="11" spans="1:10" ht="12.75">
      <c r="A11" s="5"/>
      <c r="H11" s="77"/>
      <c r="J11" s="77"/>
    </row>
    <row r="12" spans="1:10" ht="12.75">
      <c r="A12" s="5">
        <v>3</v>
      </c>
      <c r="B12" t="s">
        <v>393</v>
      </c>
      <c r="H12" s="77">
        <f>+Reconcilement!I18+Reconcilement!I19</f>
        <v>-7688777.490592026</v>
      </c>
      <c r="J12" s="77"/>
    </row>
    <row r="13" spans="1:10" ht="12.75">
      <c r="A13" s="5"/>
      <c r="H13" s="77"/>
      <c r="J13" s="77"/>
    </row>
    <row r="14" spans="1:10" ht="12.75">
      <c r="A14" s="5"/>
      <c r="B14" s="207" t="s">
        <v>41</v>
      </c>
      <c r="H14" s="77"/>
      <c r="J14" s="77"/>
    </row>
    <row r="15" spans="1:10" ht="12.75">
      <c r="A15" s="5"/>
      <c r="H15" s="77"/>
      <c r="J15" s="77"/>
    </row>
    <row r="16" spans="1:10" ht="12.75">
      <c r="A16" s="5">
        <v>4</v>
      </c>
      <c r="B16" s="3" t="s">
        <v>876</v>
      </c>
      <c r="H16" s="77"/>
      <c r="J16" s="209">
        <v>-1283096</v>
      </c>
    </row>
    <row r="17" spans="1:10" ht="12.75">
      <c r="A17" s="5"/>
      <c r="H17" s="77"/>
      <c r="J17" s="209"/>
    </row>
    <row r="18" spans="1:10" ht="12.75">
      <c r="A18" s="5">
        <v>5</v>
      </c>
      <c r="B18" s="3" t="s">
        <v>877</v>
      </c>
      <c r="H18" s="77"/>
      <c r="J18" s="209">
        <v>-727230</v>
      </c>
    </row>
    <row r="19" spans="1:10" ht="12.75">
      <c r="A19" s="5"/>
      <c r="H19" s="77"/>
      <c r="J19" s="77"/>
    </row>
    <row r="20" spans="1:10" ht="12.75">
      <c r="A20" s="5">
        <v>6</v>
      </c>
      <c r="B20" t="s">
        <v>449</v>
      </c>
      <c r="H20" s="77">
        <f>+Reconcilement!I42</f>
        <v>-1045205.2921276096</v>
      </c>
      <c r="J20" s="77"/>
    </row>
    <row r="21" spans="1:10" ht="12.75">
      <c r="A21" s="5"/>
      <c r="H21" s="77"/>
      <c r="J21" s="77"/>
    </row>
    <row r="22" spans="1:10" ht="12.75">
      <c r="A22" s="5">
        <v>7</v>
      </c>
      <c r="B22" t="s">
        <v>878</v>
      </c>
      <c r="H22" s="77">
        <f>+Reconcilement!I26+Reconcilement!I27+Reconcilement!I52</f>
        <v>-108113.11311573886</v>
      </c>
      <c r="J22" s="77"/>
    </row>
    <row r="23" spans="1:10" ht="12.75">
      <c r="A23" s="5"/>
      <c r="H23" s="77"/>
      <c r="J23" s="77"/>
    </row>
    <row r="24" spans="1:10" ht="12.75">
      <c r="A24" s="5">
        <v>8</v>
      </c>
      <c r="B24" t="s">
        <v>890</v>
      </c>
      <c r="H24" s="77">
        <f>+Reconcilement!I47+Reconcilement!I48</f>
        <v>-939130.2270918</v>
      </c>
      <c r="J24" s="77"/>
    </row>
    <row r="25" spans="1:10" ht="12.75">
      <c r="A25" s="5"/>
      <c r="H25" s="77"/>
      <c r="J25" s="77"/>
    </row>
    <row r="26" spans="1:10" ht="12.75">
      <c r="A26" s="5"/>
      <c r="B26" s="207" t="s">
        <v>879</v>
      </c>
      <c r="H26" s="77"/>
      <c r="J26" s="77"/>
    </row>
    <row r="27" spans="1:10" ht="12.75">
      <c r="A27" s="5"/>
      <c r="H27" s="77"/>
      <c r="J27" s="77"/>
    </row>
    <row r="28" spans="1:10" ht="12.75">
      <c r="A28" s="5">
        <v>9</v>
      </c>
      <c r="B28" s="3" t="s">
        <v>880</v>
      </c>
      <c r="H28" s="77"/>
      <c r="J28" s="209">
        <v>-1562237</v>
      </c>
    </row>
    <row r="29" spans="1:10" ht="12.75">
      <c r="A29" s="5"/>
      <c r="B29" s="3"/>
      <c r="H29" s="77"/>
      <c r="J29" s="209"/>
    </row>
    <row r="30" spans="1:10" ht="12.75">
      <c r="A30" s="5">
        <v>10</v>
      </c>
      <c r="B30" s="3" t="s">
        <v>881</v>
      </c>
      <c r="H30" s="77"/>
      <c r="J30" s="209">
        <v>-585794</v>
      </c>
    </row>
    <row r="31" spans="1:10" ht="12.75">
      <c r="A31" s="5"/>
      <c r="H31" s="77"/>
      <c r="J31" s="77"/>
    </row>
    <row r="32" spans="1:10" ht="12.75">
      <c r="A32" s="5"/>
      <c r="B32" s="207" t="s">
        <v>882</v>
      </c>
      <c r="H32" s="77"/>
      <c r="J32" s="77"/>
    </row>
    <row r="33" spans="1:10" ht="12.75">
      <c r="A33" s="5"/>
      <c r="H33" s="77"/>
      <c r="J33" s="77"/>
    </row>
    <row r="34" spans="1:10" ht="12.75">
      <c r="A34" s="5">
        <v>11</v>
      </c>
      <c r="B34" t="s">
        <v>883</v>
      </c>
      <c r="H34" s="77">
        <f>+Reconcilement!I39+Reconcilement!I40+Reconcilement!I88+Reconcilement!I89+Reconcilement!I91</f>
        <v>-601064.6238713191</v>
      </c>
      <c r="J34" s="77"/>
    </row>
    <row r="35" spans="1:10" ht="12.75">
      <c r="A35" s="5"/>
      <c r="H35" s="77"/>
      <c r="J35" s="77"/>
    </row>
    <row r="36" spans="1:10" ht="12.75">
      <c r="A36" s="5">
        <v>12</v>
      </c>
      <c r="B36" t="s">
        <v>884</v>
      </c>
      <c r="H36" s="77">
        <f>+Reconcilement!I97</f>
        <v>-4779924.179397356</v>
      </c>
      <c r="J36" s="77"/>
    </row>
    <row r="37" spans="1:10" ht="12.75">
      <c r="A37" s="5"/>
      <c r="H37" s="77"/>
      <c r="J37" s="77"/>
    </row>
    <row r="38" spans="1:10" ht="12.75">
      <c r="A38" s="5">
        <v>13</v>
      </c>
      <c r="B38" t="s">
        <v>885</v>
      </c>
      <c r="H38" s="77">
        <f>+Reconcilement!I98</f>
        <v>-6253146.893196243</v>
      </c>
      <c r="J38" s="77"/>
    </row>
    <row r="39" spans="1:10" ht="12.75">
      <c r="A39" s="5"/>
      <c r="H39" s="77"/>
      <c r="J39" s="77"/>
    </row>
    <row r="40" spans="1:10" ht="12.75">
      <c r="A40" s="5">
        <v>14</v>
      </c>
      <c r="B40" t="s">
        <v>886</v>
      </c>
      <c r="H40" s="77">
        <f>+Reconcilement!I90</f>
        <v>-4568953.969504397</v>
      </c>
      <c r="J40" s="77"/>
    </row>
    <row r="41" spans="1:10" ht="12.75">
      <c r="A41" s="5"/>
      <c r="H41" s="77"/>
      <c r="J41" s="77"/>
    </row>
    <row r="42" spans="1:10" ht="12.75">
      <c r="A42" s="5">
        <v>15</v>
      </c>
      <c r="B42" t="s">
        <v>767</v>
      </c>
      <c r="H42" s="77">
        <f>+Reconcilement!I92</f>
        <v>-662290.3857515715</v>
      </c>
      <c r="J42" s="77"/>
    </row>
    <row r="43" spans="1:10" ht="12.75">
      <c r="A43" s="5"/>
      <c r="H43" s="77"/>
      <c r="J43" s="77"/>
    </row>
    <row r="44" spans="1:10" ht="12.75">
      <c r="A44" s="5">
        <v>16</v>
      </c>
      <c r="B44" t="s">
        <v>887</v>
      </c>
      <c r="H44" s="77">
        <f>+Reconcilement!I94</f>
        <v>1422706.7449614687</v>
      </c>
      <c r="J44" s="77"/>
    </row>
    <row r="45" spans="1:10" ht="12.75">
      <c r="A45" s="5"/>
      <c r="H45" s="77"/>
      <c r="J45" s="77"/>
    </row>
    <row r="46" spans="1:10" ht="12.75">
      <c r="A46" s="5">
        <v>17</v>
      </c>
      <c r="B46" s="3" t="s">
        <v>888</v>
      </c>
      <c r="H46" s="77"/>
      <c r="J46" s="209">
        <v>-366028</v>
      </c>
    </row>
    <row r="47" spans="1:10" ht="12.75">
      <c r="A47" s="5"/>
      <c r="H47" s="77"/>
      <c r="J47" s="77"/>
    </row>
    <row r="48" spans="1:10" ht="12.75">
      <c r="A48" s="5">
        <v>18</v>
      </c>
      <c r="B48" t="s">
        <v>889</v>
      </c>
      <c r="H48" s="77">
        <f>+Reconcilement!I33+Reconcilement!I102</f>
        <v>-1288521.6139391763</v>
      </c>
      <c r="J48" s="77"/>
    </row>
    <row r="49" spans="1:10" ht="12.75">
      <c r="A49" s="5"/>
      <c r="H49" s="77"/>
      <c r="J49" s="77"/>
    </row>
    <row r="50" spans="1:10" ht="12.75">
      <c r="A50" s="5">
        <v>19</v>
      </c>
      <c r="B50" t="s">
        <v>891</v>
      </c>
      <c r="H50" s="77">
        <f>+Reconcilement!I105</f>
        <v>-259444.62333133104</v>
      </c>
      <c r="J50" s="77"/>
    </row>
    <row r="51" spans="1:10" ht="12.75">
      <c r="A51" s="5"/>
      <c r="H51" s="77"/>
      <c r="J51" s="77"/>
    </row>
    <row r="52" spans="1:10" ht="12.75">
      <c r="A52" s="5">
        <v>20</v>
      </c>
      <c r="B52" t="s">
        <v>892</v>
      </c>
      <c r="H52" s="77">
        <f>+Reconcilement!I135</f>
        <v>-601803.0691203633</v>
      </c>
      <c r="J52" s="77"/>
    </row>
    <row r="53" spans="1:10" ht="12.75">
      <c r="A53" s="5"/>
      <c r="H53" s="77"/>
      <c r="J53" s="77"/>
    </row>
    <row r="54" spans="1:10" ht="12.75">
      <c r="A54" s="5">
        <v>21</v>
      </c>
      <c r="B54" t="s">
        <v>893</v>
      </c>
      <c r="H54" s="77">
        <f>+Reconcilement!I119+Reconcilement!I132</f>
        <v>-583134.789308557</v>
      </c>
      <c r="J54" s="77"/>
    </row>
    <row r="55" spans="1:10" ht="12.75">
      <c r="A55" s="5"/>
      <c r="H55" s="77"/>
      <c r="J55" s="77"/>
    </row>
    <row r="56" spans="1:10" ht="12.75">
      <c r="A56" s="5">
        <v>22</v>
      </c>
      <c r="B56" t="s">
        <v>54</v>
      </c>
      <c r="H56" s="77">
        <f>+Reconcilement!I112</f>
        <v>1471337.9714615084</v>
      </c>
      <c r="J56" s="77"/>
    </row>
    <row r="57" spans="1:10" ht="12.75">
      <c r="A57" s="5"/>
      <c r="H57" s="77"/>
      <c r="J57" s="77"/>
    </row>
    <row r="58" spans="1:10" ht="12.75">
      <c r="A58" s="5">
        <v>23</v>
      </c>
      <c r="B58" t="s">
        <v>132</v>
      </c>
      <c r="H58" s="77">
        <f>+Reconcilement!I134</f>
        <v>-14460088.76182155</v>
      </c>
      <c r="J58" s="77"/>
    </row>
    <row r="59" spans="1:10" ht="12.75">
      <c r="A59" s="5"/>
      <c r="H59" s="77"/>
      <c r="J59" s="77"/>
    </row>
    <row r="60" spans="1:10" ht="12.75">
      <c r="A60" s="5">
        <v>24</v>
      </c>
      <c r="B60" t="s">
        <v>894</v>
      </c>
      <c r="H60" s="77">
        <f>+Reconcilement!I114+Reconcilement!I129+Reconcilement!I130+1</f>
        <v>-5584095.073998377</v>
      </c>
      <c r="J60" s="77"/>
    </row>
    <row r="61" spans="1:10" ht="12.75">
      <c r="A61" s="5"/>
      <c r="H61" s="77"/>
      <c r="J61" s="77"/>
    </row>
    <row r="62" spans="1:10" ht="12.75">
      <c r="A62" s="5">
        <v>25</v>
      </c>
      <c r="B62" t="s">
        <v>895</v>
      </c>
      <c r="H62" s="77">
        <f>+Reconcilement!I139</f>
        <v>-855873.6765923738</v>
      </c>
      <c r="J62" s="77"/>
    </row>
    <row r="63" spans="1:10" ht="12.75">
      <c r="A63" s="5"/>
      <c r="H63" s="77"/>
      <c r="J63" s="77"/>
    </row>
    <row r="64" spans="1:10" ht="12.75">
      <c r="A64" s="5">
        <v>26</v>
      </c>
      <c r="B64" t="s">
        <v>896</v>
      </c>
      <c r="H64" s="77">
        <f>+Reconcilement!I133+Reconcilement!I136</f>
        <v>-887420.9809529684</v>
      </c>
      <c r="J64" s="77"/>
    </row>
    <row r="65" spans="1:10" ht="12.75">
      <c r="A65" s="5"/>
      <c r="H65" s="77"/>
      <c r="J65" s="77"/>
    </row>
    <row r="66" spans="1:10" ht="12.75">
      <c r="A66" s="5">
        <v>27</v>
      </c>
      <c r="B66" t="s">
        <v>897</v>
      </c>
      <c r="H66" s="77">
        <f>+Reconcilement!I149</f>
        <v>-4716180.665121127</v>
      </c>
      <c r="J66" s="77"/>
    </row>
    <row r="67" spans="1:10" ht="12.75">
      <c r="A67" s="5"/>
      <c r="H67" s="77"/>
      <c r="J67" s="77"/>
    </row>
    <row r="68" spans="1:10" ht="12.75">
      <c r="A68" s="5">
        <v>28</v>
      </c>
      <c r="B68" t="s">
        <v>898</v>
      </c>
      <c r="H68" s="77">
        <f>+Reconcilement!I110</f>
        <v>-401550.54954281036</v>
      </c>
      <c r="J68" s="77"/>
    </row>
    <row r="69" spans="1:10" ht="12.75">
      <c r="A69" s="5"/>
      <c r="H69" s="208" t="s">
        <v>58</v>
      </c>
      <c r="J69" s="208" t="s">
        <v>134</v>
      </c>
    </row>
    <row r="70" spans="1:10" ht="12.75">
      <c r="A70" s="5">
        <v>29</v>
      </c>
      <c r="B70" t="s">
        <v>899</v>
      </c>
      <c r="H70" s="77"/>
      <c r="J70" s="77">
        <f>+J5+SUM(H8:H69)+SUM(J10:J69)</f>
        <v>6653054.470419787</v>
      </c>
    </row>
    <row r="71" spans="1:10" ht="12.75">
      <c r="A71" s="5"/>
      <c r="H71" s="77"/>
      <c r="J71" s="77"/>
    </row>
    <row r="72" spans="1:10" ht="12.75">
      <c r="A72" s="5"/>
      <c r="H72" s="77"/>
      <c r="J72" s="77"/>
    </row>
    <row r="73" spans="1:10" ht="12.75">
      <c r="A73" s="5"/>
      <c r="H73" s="210" t="s">
        <v>913</v>
      </c>
      <c r="J73" s="210" t="s">
        <v>915</v>
      </c>
    </row>
    <row r="74" spans="1:10" ht="12.75">
      <c r="A74" s="5"/>
      <c r="B74" s="207" t="s">
        <v>900</v>
      </c>
      <c r="H74" s="210" t="s">
        <v>914</v>
      </c>
      <c r="J74" s="210" t="s">
        <v>35</v>
      </c>
    </row>
    <row r="75" spans="1:10" ht="12.75">
      <c r="A75" s="5">
        <v>30</v>
      </c>
      <c r="B75" s="3" t="s">
        <v>901</v>
      </c>
      <c r="H75" s="77"/>
      <c r="J75" s="209">
        <v>-285807</v>
      </c>
    </row>
    <row r="76" spans="1:10" ht="12.75">
      <c r="A76" s="5"/>
      <c r="H76" s="77"/>
      <c r="J76" s="77"/>
    </row>
    <row r="77" spans="1:10" ht="12.75">
      <c r="A77" s="5">
        <v>31</v>
      </c>
      <c r="B77" t="s">
        <v>902</v>
      </c>
      <c r="H77" s="77">
        <v>-379578</v>
      </c>
      <c r="J77" s="77"/>
    </row>
    <row r="78" spans="1:10" ht="12.75">
      <c r="A78" s="5"/>
      <c r="H78" s="77"/>
      <c r="J78" s="77"/>
    </row>
    <row r="79" spans="1:10" ht="12.75">
      <c r="A79" s="5">
        <v>32</v>
      </c>
      <c r="B79" t="s">
        <v>903</v>
      </c>
      <c r="H79" s="77">
        <f>-43116-90724-27516</f>
        <v>-161356</v>
      </c>
      <c r="J79" s="77"/>
    </row>
    <row r="80" spans="1:10" ht="12.75">
      <c r="A80" s="5"/>
      <c r="H80" s="77"/>
      <c r="J80" s="77"/>
    </row>
    <row r="81" spans="1:10" ht="12.75">
      <c r="A81" s="5">
        <v>33</v>
      </c>
      <c r="B81" s="3" t="s">
        <v>904</v>
      </c>
      <c r="H81" s="77"/>
      <c r="J81" s="209">
        <v>50511</v>
      </c>
    </row>
    <row r="82" spans="1:10" ht="12.75">
      <c r="A82" s="5"/>
      <c r="H82" s="77"/>
      <c r="J82" s="77"/>
    </row>
    <row r="83" spans="1:10" ht="12.75">
      <c r="A83" s="5">
        <v>34</v>
      </c>
      <c r="B83" t="s">
        <v>905</v>
      </c>
      <c r="H83" s="77">
        <v>776470</v>
      </c>
      <c r="J83" s="77"/>
    </row>
    <row r="84" spans="1:10" ht="12.75">
      <c r="A84" s="5"/>
      <c r="H84" s="77"/>
      <c r="J84" s="77"/>
    </row>
    <row r="85" spans="1:10" ht="12.75">
      <c r="A85" s="5">
        <v>35</v>
      </c>
      <c r="B85" t="s">
        <v>906</v>
      </c>
      <c r="H85" s="77">
        <f>+H101+1</f>
        <v>-1035157.0190470316</v>
      </c>
      <c r="J85" s="77"/>
    </row>
    <row r="86" spans="1:10" ht="12.75">
      <c r="A86" s="5"/>
      <c r="H86" s="77"/>
      <c r="J86" s="77"/>
    </row>
    <row r="87" spans="1:10" ht="12.75">
      <c r="A87" s="5">
        <v>36</v>
      </c>
      <c r="B87" s="3" t="s">
        <v>907</v>
      </c>
      <c r="H87" s="77"/>
      <c r="J87" s="209">
        <v>-324152</v>
      </c>
    </row>
    <row r="88" spans="1:10" ht="12.75">
      <c r="A88" s="5"/>
      <c r="H88" s="208" t="s">
        <v>58</v>
      </c>
      <c r="J88" s="208" t="s">
        <v>134</v>
      </c>
    </row>
    <row r="89" spans="1:10" ht="12.75">
      <c r="A89" s="5">
        <v>37</v>
      </c>
      <c r="B89" t="s">
        <v>422</v>
      </c>
      <c r="H89" s="77"/>
      <c r="J89" s="77">
        <f>+J70+SUM(H75:H88)+SUM(J75:J88)</f>
        <v>5293985.451372756</v>
      </c>
    </row>
    <row r="90" spans="1:10" ht="12.75">
      <c r="A90" s="5"/>
      <c r="H90" s="77"/>
      <c r="J90" s="77"/>
    </row>
    <row r="91" spans="1:10" ht="12.75">
      <c r="A91" s="5"/>
      <c r="H91" s="77"/>
      <c r="J91" s="77"/>
    </row>
    <row r="92" spans="1:10" ht="12.75">
      <c r="A92" s="5"/>
      <c r="H92" s="77"/>
      <c r="J92" s="77"/>
    </row>
    <row r="93" spans="1:10" ht="12.75" hidden="1">
      <c r="A93" s="5"/>
      <c r="B93" t="s">
        <v>908</v>
      </c>
      <c r="H93" s="77">
        <v>3190470</v>
      </c>
      <c r="J93" s="77"/>
    </row>
    <row r="94" spans="2:10" ht="12.75" hidden="1">
      <c r="B94" t="s">
        <v>909</v>
      </c>
      <c r="H94" s="6">
        <v>0.1016</v>
      </c>
      <c r="J94" s="77"/>
    </row>
    <row r="95" spans="8:10" ht="12.75" hidden="1">
      <c r="H95" s="208" t="s">
        <v>134</v>
      </c>
      <c r="J95" s="77"/>
    </row>
    <row r="96" spans="2:10" ht="12.75" hidden="1">
      <c r="B96" t="s">
        <v>910</v>
      </c>
      <c r="H96" s="77">
        <f>+H93*H94</f>
        <v>324151.752</v>
      </c>
      <c r="J96" s="77"/>
    </row>
    <row r="97" ht="12.75" hidden="1">
      <c r="J97" s="77"/>
    </row>
    <row r="98" spans="2:10" ht="12.75" hidden="1">
      <c r="B98" t="s">
        <v>911</v>
      </c>
      <c r="H98" s="77">
        <v>-1922579</v>
      </c>
      <c r="J98" s="77"/>
    </row>
    <row r="99" spans="2:10" ht="12.75" hidden="1">
      <c r="B99" t="s">
        <v>912</v>
      </c>
      <c r="H99" s="77">
        <f>+H64</f>
        <v>-887420.9809529684</v>
      </c>
      <c r="J99" s="77"/>
    </row>
    <row r="100" spans="8:10" ht="12.75" hidden="1">
      <c r="H100" s="4" t="s">
        <v>58</v>
      </c>
      <c r="J100" s="77"/>
    </row>
    <row r="101" spans="8:10" ht="12.75" hidden="1">
      <c r="H101" s="77">
        <f>+H98-H99</f>
        <v>-1035158.0190470316</v>
      </c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  <row r="107" ht="12.75">
      <c r="J107" s="77"/>
    </row>
    <row r="108" ht="12.75">
      <c r="J108" s="77"/>
    </row>
    <row r="109" ht="12.75">
      <c r="J109" s="77"/>
    </row>
    <row r="110" ht="12.75">
      <c r="J110" s="77"/>
    </row>
    <row r="111" ht="12.75">
      <c r="J111" s="77"/>
    </row>
    <row r="112" ht="12.75">
      <c r="J112" s="77"/>
    </row>
    <row r="113" ht="12.75">
      <c r="J113" s="77"/>
    </row>
    <row r="114" ht="12.75">
      <c r="J114" s="77"/>
    </row>
    <row r="115" ht="12.75">
      <c r="J115" s="77"/>
    </row>
    <row r="116" ht="12.75">
      <c r="J116" s="77"/>
    </row>
    <row r="117" ht="12.75">
      <c r="J117" s="77"/>
    </row>
    <row r="118" ht="12.75">
      <c r="J118" s="77"/>
    </row>
    <row r="119" ht="12.75">
      <c r="J119" s="77"/>
    </row>
    <row r="120" ht="12.75">
      <c r="J120" s="77"/>
    </row>
    <row r="121" ht="12.75">
      <c r="J121" s="77"/>
    </row>
    <row r="122" ht="12.75">
      <c r="J122" s="77"/>
    </row>
    <row r="123" ht="12.75">
      <c r="J123" s="77"/>
    </row>
    <row r="124" ht="12.75">
      <c r="J124" s="77"/>
    </row>
    <row r="125" ht="12.75">
      <c r="J125" s="77"/>
    </row>
    <row r="126" ht="12.75">
      <c r="J126" s="77"/>
    </row>
    <row r="127" ht="12.75">
      <c r="J127" s="77"/>
    </row>
    <row r="128" ht="12.75">
      <c r="J128" s="77"/>
    </row>
    <row r="129" ht="12.75">
      <c r="J129" s="77"/>
    </row>
    <row r="130" ht="12.75">
      <c r="J130" s="77"/>
    </row>
    <row r="131" ht="12.75">
      <c r="J131" s="77"/>
    </row>
    <row r="132" ht="12.75">
      <c r="J132" s="77"/>
    </row>
    <row r="133" ht="12.75">
      <c r="J133" s="77"/>
    </row>
    <row r="134" ht="12.75">
      <c r="J134" s="77"/>
    </row>
    <row r="135" ht="12.75">
      <c r="J135" s="77"/>
    </row>
    <row r="136" ht="12.75">
      <c r="J136" s="77"/>
    </row>
    <row r="137" ht="12.75">
      <c r="J137" s="77"/>
    </row>
    <row r="138" ht="12.75">
      <c r="J138" s="77"/>
    </row>
    <row r="139" ht="12.75">
      <c r="J139" s="77"/>
    </row>
    <row r="140" ht="12.75">
      <c r="J140" s="77"/>
    </row>
    <row r="141" ht="12.75">
      <c r="J141" s="77"/>
    </row>
    <row r="142" ht="12.75">
      <c r="J142" s="77"/>
    </row>
    <row r="143" ht="12.75">
      <c r="J143" s="77"/>
    </row>
    <row r="144" ht="12.75">
      <c r="J144" s="77"/>
    </row>
    <row r="145" ht="12.75">
      <c r="J145" s="77"/>
    </row>
    <row r="146" ht="12.75">
      <c r="J146" s="77"/>
    </row>
    <row r="147" ht="12.75">
      <c r="J147" s="77"/>
    </row>
    <row r="148" ht="12.75">
      <c r="J148" s="77"/>
    </row>
    <row r="149" ht="12.75">
      <c r="J149" s="77"/>
    </row>
    <row r="150" ht="12.75">
      <c r="J150" s="77"/>
    </row>
    <row r="151" ht="12.75">
      <c r="J151" s="77"/>
    </row>
  </sheetData>
  <printOptions/>
  <pageMargins left="0.75" right="0.75" top="0.25" bottom="0" header="0.25" footer="0.5"/>
  <pageSetup fitToHeight="0" fitToWidth="1" horizontalDpi="600" verticalDpi="600" orientation="portrait" scale="86" r:id="rId1"/>
  <headerFooter alignWithMargins="0">
    <oddHeader>&amp;RAppendix A 
Page A-&amp;P of A-&amp;N</oddHead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B44">
      <selection activeCell="K64" sqref="K64"/>
    </sheetView>
  </sheetViews>
  <sheetFormatPr defaultColWidth="9.140625" defaultRowHeight="12.75"/>
  <cols>
    <col min="1" max="1" width="48.7109375" style="0" customWidth="1"/>
    <col min="2" max="2" width="3.7109375" style="0" customWidth="1"/>
    <col min="3" max="3" width="12.71093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0.28125" style="0" bestFit="1" customWidth="1"/>
    <col min="10" max="10" width="3.7109375" style="0" customWidth="1"/>
    <col min="11" max="11" width="12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12.7109375" style="0" customWidth="1"/>
    <col min="16" max="16" width="3.7109375" style="0" customWidth="1"/>
    <col min="17" max="17" width="11.7109375" style="0" customWidth="1"/>
  </cols>
  <sheetData>
    <row r="1" ht="18">
      <c r="B1" s="1" t="s">
        <v>160</v>
      </c>
    </row>
    <row r="9" spans="3:9" ht="12.75">
      <c r="C9" s="5" t="s">
        <v>118</v>
      </c>
      <c r="E9" s="5" t="s">
        <v>118</v>
      </c>
      <c r="I9" s="24">
        <f>+'IncomeStat.'!J9</f>
        <v>0.3838862759524057</v>
      </c>
    </row>
    <row r="10" spans="3:15" ht="12.75">
      <c r="C10" s="5" t="s">
        <v>117</v>
      </c>
      <c r="E10" s="5" t="s">
        <v>117</v>
      </c>
      <c r="G10" s="16" t="s">
        <v>414</v>
      </c>
      <c r="I10" s="5" t="s">
        <v>59</v>
      </c>
      <c r="K10" s="5" t="s">
        <v>57</v>
      </c>
      <c r="M10" s="5" t="s">
        <v>163</v>
      </c>
      <c r="O10" s="5" t="s">
        <v>164</v>
      </c>
    </row>
    <row r="11" spans="1:15" ht="12.75">
      <c r="A11" t="s">
        <v>161</v>
      </c>
      <c r="C11" s="16" t="s">
        <v>20</v>
      </c>
      <c r="D11" s="3"/>
      <c r="E11" s="16" t="s">
        <v>17</v>
      </c>
      <c r="G11" s="5" t="s">
        <v>19</v>
      </c>
      <c r="I11" s="5" t="s">
        <v>40</v>
      </c>
      <c r="K11" s="5" t="s">
        <v>71</v>
      </c>
      <c r="M11" s="5" t="s">
        <v>40</v>
      </c>
      <c r="O11" s="5" t="s">
        <v>33</v>
      </c>
    </row>
    <row r="12" spans="1:15" ht="12.75">
      <c r="A12" s="4" t="s">
        <v>119</v>
      </c>
      <c r="C12" s="4" t="s">
        <v>42</v>
      </c>
      <c r="E12" s="4" t="s">
        <v>64</v>
      </c>
      <c r="G12" s="4" t="s">
        <v>31</v>
      </c>
      <c r="I12" s="4" t="s">
        <v>56</v>
      </c>
      <c r="K12" s="4" t="s">
        <v>42</v>
      </c>
      <c r="M12" s="4" t="s">
        <v>61</v>
      </c>
      <c r="O12" s="4" t="s">
        <v>42</v>
      </c>
    </row>
    <row r="13" spans="1:15" ht="12.75">
      <c r="A13" t="s">
        <v>162</v>
      </c>
      <c r="C13" s="9"/>
      <c r="D13" s="9"/>
      <c r="E13" s="9"/>
      <c r="F13" s="9"/>
      <c r="G13" s="9"/>
      <c r="K13" s="9"/>
      <c r="O13" s="51"/>
    </row>
    <row r="14" spans="1:15" ht="12.75">
      <c r="A14" s="4" t="s">
        <v>134</v>
      </c>
      <c r="C14" s="9"/>
      <c r="D14" s="9"/>
      <c r="E14" s="9"/>
      <c r="F14" s="9"/>
      <c r="G14" s="9"/>
      <c r="K14" s="9"/>
      <c r="O14" s="9"/>
    </row>
    <row r="15" spans="1:15" ht="12.75">
      <c r="A15" s="23"/>
      <c r="B15" s="23"/>
      <c r="C15" s="20"/>
      <c r="D15" s="20"/>
      <c r="E15" s="20"/>
      <c r="F15" s="20"/>
      <c r="G15" s="9">
        <f aca="true" t="shared" si="0" ref="G15:G22">+C15-E15</f>
        <v>0</v>
      </c>
      <c r="I15" s="6">
        <f>1-I9</f>
        <v>0.6161137240475942</v>
      </c>
      <c r="K15" s="9">
        <f aca="true" t="shared" si="1" ref="K15:K20">+G15*I15</f>
        <v>0</v>
      </c>
      <c r="M15">
        <f>1/(1-I9)</f>
        <v>1.6230769758388808</v>
      </c>
      <c r="O15" s="9">
        <f aca="true" t="shared" si="2" ref="O15:O20">-K15*M15</f>
        <v>0</v>
      </c>
    </row>
    <row r="16" spans="1:15" ht="12.75">
      <c r="A16" s="23"/>
      <c r="B16" s="23"/>
      <c r="C16" s="20"/>
      <c r="D16" s="20"/>
      <c r="E16" s="20"/>
      <c r="F16" s="20"/>
      <c r="G16" s="9">
        <f t="shared" si="0"/>
        <v>0</v>
      </c>
      <c r="I16" s="6">
        <f>+I15</f>
        <v>0.6161137240475942</v>
      </c>
      <c r="K16" s="9">
        <f t="shared" si="1"/>
        <v>0</v>
      </c>
      <c r="M16">
        <f>+M15</f>
        <v>1.6230769758388808</v>
      </c>
      <c r="O16" s="9">
        <f t="shared" si="2"/>
        <v>0</v>
      </c>
    </row>
    <row r="17" spans="1:15" ht="12.75">
      <c r="A17" s="23"/>
      <c r="B17" s="23"/>
      <c r="C17" s="20"/>
      <c r="D17" s="20"/>
      <c r="E17" s="20"/>
      <c r="F17" s="20"/>
      <c r="G17" s="9">
        <f t="shared" si="0"/>
        <v>0</v>
      </c>
      <c r="I17" s="6">
        <f>+I15</f>
        <v>0.6161137240475942</v>
      </c>
      <c r="K17" s="9">
        <f t="shared" si="1"/>
        <v>0</v>
      </c>
      <c r="M17">
        <f>+M16</f>
        <v>1.6230769758388808</v>
      </c>
      <c r="O17" s="9">
        <f t="shared" si="2"/>
        <v>0</v>
      </c>
    </row>
    <row r="18" spans="1:15" ht="12.75">
      <c r="A18" s="23"/>
      <c r="B18" s="23"/>
      <c r="C18" s="20"/>
      <c r="D18" s="20"/>
      <c r="E18" s="20"/>
      <c r="F18" s="20"/>
      <c r="G18" s="9">
        <f t="shared" si="0"/>
        <v>0</v>
      </c>
      <c r="I18" s="6">
        <f>+I15</f>
        <v>0.6161137240475942</v>
      </c>
      <c r="K18" s="9">
        <f t="shared" si="1"/>
        <v>0</v>
      </c>
      <c r="M18">
        <f>+M15</f>
        <v>1.6230769758388808</v>
      </c>
      <c r="O18" s="9">
        <f t="shared" si="2"/>
        <v>0</v>
      </c>
    </row>
    <row r="19" spans="1:15" ht="12.75">
      <c r="A19" s="23"/>
      <c r="B19" s="23"/>
      <c r="C19" s="20"/>
      <c r="D19" s="20"/>
      <c r="E19" s="20"/>
      <c r="F19" s="20"/>
      <c r="G19" s="9">
        <f t="shared" si="0"/>
        <v>0</v>
      </c>
      <c r="I19" s="6">
        <f>+I15</f>
        <v>0.6161137240475942</v>
      </c>
      <c r="K19" s="9">
        <f t="shared" si="1"/>
        <v>0</v>
      </c>
      <c r="M19">
        <f>+M15</f>
        <v>1.6230769758388808</v>
      </c>
      <c r="O19" s="9">
        <f t="shared" si="2"/>
        <v>0</v>
      </c>
    </row>
    <row r="20" spans="1:15" ht="12.75">
      <c r="A20" s="23"/>
      <c r="B20" s="23"/>
      <c r="C20" s="20"/>
      <c r="D20" s="20"/>
      <c r="E20" s="20"/>
      <c r="F20" s="20"/>
      <c r="G20" s="9">
        <f t="shared" si="0"/>
        <v>0</v>
      </c>
      <c r="I20" s="6">
        <f>+I15</f>
        <v>0.6161137240475942</v>
      </c>
      <c r="K20" s="9">
        <f t="shared" si="1"/>
        <v>0</v>
      </c>
      <c r="M20">
        <f>+M15</f>
        <v>1.6230769758388808</v>
      </c>
      <c r="O20" s="9">
        <f t="shared" si="2"/>
        <v>0</v>
      </c>
    </row>
    <row r="21" spans="1:15" ht="12.75">
      <c r="A21" s="23"/>
      <c r="B21" s="23"/>
      <c r="C21" s="20"/>
      <c r="D21" s="20"/>
      <c r="E21" s="20"/>
      <c r="F21" s="20"/>
      <c r="G21" s="9">
        <f t="shared" si="0"/>
        <v>0</v>
      </c>
      <c r="K21" s="9"/>
      <c r="O21" s="9"/>
    </row>
    <row r="22" spans="1:15" ht="12.75">
      <c r="A22" s="23"/>
      <c r="B22" s="23"/>
      <c r="C22" s="20"/>
      <c r="D22" s="20"/>
      <c r="E22" s="20"/>
      <c r="F22" s="20"/>
      <c r="G22" s="9">
        <f t="shared" si="0"/>
        <v>0</v>
      </c>
      <c r="K22" s="9"/>
      <c r="O22" s="9"/>
    </row>
    <row r="23" spans="1:15" ht="12.75">
      <c r="A23" t="s">
        <v>165</v>
      </c>
      <c r="C23" s="9"/>
      <c r="D23" s="9"/>
      <c r="E23" s="9"/>
      <c r="F23" s="9"/>
      <c r="G23" s="9"/>
      <c r="K23" s="9"/>
      <c r="O23" s="9"/>
    </row>
    <row r="24" spans="1:15" ht="12.75">
      <c r="A24" s="4" t="s">
        <v>166</v>
      </c>
      <c r="C24" s="9"/>
      <c r="D24" s="9"/>
      <c r="E24" s="9"/>
      <c r="F24" s="9"/>
      <c r="G24" s="9"/>
      <c r="K24" s="9"/>
      <c r="O24" s="9"/>
    </row>
    <row r="25" spans="1:15" ht="12.75">
      <c r="A25" s="23"/>
      <c r="B25" s="23"/>
      <c r="C25" s="20"/>
      <c r="D25" s="20"/>
      <c r="E25" s="20"/>
      <c r="F25" s="20"/>
      <c r="G25" s="9">
        <f>+C25-E25</f>
        <v>0</v>
      </c>
      <c r="I25" s="6">
        <f>+I15</f>
        <v>0.6161137240475942</v>
      </c>
      <c r="K25" s="9">
        <f>-G25*I25</f>
        <v>0</v>
      </c>
      <c r="M25">
        <f>+M15</f>
        <v>1.6230769758388808</v>
      </c>
      <c r="O25" s="9">
        <f>-K25*M25</f>
        <v>0</v>
      </c>
    </row>
    <row r="26" spans="1:15" ht="12.75">
      <c r="A26" s="23"/>
      <c r="B26" s="23"/>
      <c r="C26" s="20"/>
      <c r="D26" s="20"/>
      <c r="E26" s="20"/>
      <c r="F26" s="20"/>
      <c r="G26" s="9">
        <f aca="true" t="shared" si="3" ref="G26:G36">+C26-E26</f>
        <v>0</v>
      </c>
      <c r="I26" s="6">
        <f>+I15</f>
        <v>0.6161137240475942</v>
      </c>
      <c r="K26" s="9">
        <f aca="true" t="shared" si="4" ref="K26:K36">-G26*I26</f>
        <v>0</v>
      </c>
      <c r="M26">
        <f>+M15</f>
        <v>1.6230769758388808</v>
      </c>
      <c r="O26" s="9">
        <f aca="true" t="shared" si="5" ref="O26:O36">-K26*M26</f>
        <v>0</v>
      </c>
    </row>
    <row r="27" spans="1:15" ht="12.75">
      <c r="A27" s="23"/>
      <c r="B27" s="23"/>
      <c r="C27" s="20"/>
      <c r="D27" s="20"/>
      <c r="E27" s="20"/>
      <c r="F27" s="20"/>
      <c r="G27" s="9">
        <f t="shared" si="3"/>
        <v>0</v>
      </c>
      <c r="I27" s="6">
        <f>+I15</f>
        <v>0.6161137240475942</v>
      </c>
      <c r="K27" s="9">
        <f t="shared" si="4"/>
        <v>0</v>
      </c>
      <c r="M27">
        <f>+M15</f>
        <v>1.6230769758388808</v>
      </c>
      <c r="O27" s="9">
        <f t="shared" si="5"/>
        <v>0</v>
      </c>
    </row>
    <row r="28" spans="1:15" ht="12.75">
      <c r="A28" s="23"/>
      <c r="B28" s="23"/>
      <c r="C28" s="20"/>
      <c r="D28" s="20"/>
      <c r="E28" s="20"/>
      <c r="F28" s="20"/>
      <c r="G28" s="9">
        <f t="shared" si="3"/>
        <v>0</v>
      </c>
      <c r="I28" s="6">
        <f>+I15</f>
        <v>0.6161137240475942</v>
      </c>
      <c r="K28" s="9">
        <f t="shared" si="4"/>
        <v>0</v>
      </c>
      <c r="M28">
        <f>+M15</f>
        <v>1.6230769758388808</v>
      </c>
      <c r="O28" s="9">
        <f t="shared" si="5"/>
        <v>0</v>
      </c>
    </row>
    <row r="29" spans="1:15" ht="12.75">
      <c r="A29" s="23"/>
      <c r="B29" s="23"/>
      <c r="C29" s="20"/>
      <c r="D29" s="20"/>
      <c r="E29" s="20"/>
      <c r="F29" s="20"/>
      <c r="G29" s="9">
        <f t="shared" si="3"/>
        <v>0</v>
      </c>
      <c r="I29" s="6">
        <f>+I15</f>
        <v>0.6161137240475942</v>
      </c>
      <c r="K29" s="9">
        <f t="shared" si="4"/>
        <v>0</v>
      </c>
      <c r="M29">
        <f>+M15</f>
        <v>1.6230769758388808</v>
      </c>
      <c r="O29" s="9">
        <f t="shared" si="5"/>
        <v>0</v>
      </c>
    </row>
    <row r="30" spans="1:15" ht="12.75">
      <c r="A30" s="23"/>
      <c r="B30" s="23"/>
      <c r="C30" s="20"/>
      <c r="D30" s="20"/>
      <c r="E30" s="20"/>
      <c r="F30" s="20"/>
      <c r="G30" s="9">
        <f t="shared" si="3"/>
        <v>0</v>
      </c>
      <c r="I30" s="6">
        <f>+I15</f>
        <v>0.6161137240475942</v>
      </c>
      <c r="K30" s="9">
        <f t="shared" si="4"/>
        <v>0</v>
      </c>
      <c r="M30">
        <f>+M15</f>
        <v>1.6230769758388808</v>
      </c>
      <c r="O30" s="9">
        <f t="shared" si="5"/>
        <v>0</v>
      </c>
    </row>
    <row r="31" spans="1:15" ht="12.75">
      <c r="A31" s="23"/>
      <c r="B31" s="23"/>
      <c r="C31" s="20"/>
      <c r="D31" s="20"/>
      <c r="E31" s="20"/>
      <c r="F31" s="20"/>
      <c r="G31" s="9">
        <f t="shared" si="3"/>
        <v>0</v>
      </c>
      <c r="I31" s="6">
        <f>+I15</f>
        <v>0.6161137240475942</v>
      </c>
      <c r="K31" s="9">
        <f t="shared" si="4"/>
        <v>0</v>
      </c>
      <c r="M31">
        <f>+M15</f>
        <v>1.6230769758388808</v>
      </c>
      <c r="O31" s="9">
        <f t="shared" si="5"/>
        <v>0</v>
      </c>
    </row>
    <row r="32" spans="1:15" ht="12.75">
      <c r="A32" s="23"/>
      <c r="B32" s="23"/>
      <c r="C32" s="20"/>
      <c r="D32" s="20"/>
      <c r="E32" s="20"/>
      <c r="F32" s="20"/>
      <c r="G32" s="9">
        <f t="shared" si="3"/>
        <v>0</v>
      </c>
      <c r="I32" s="6">
        <f>+I15</f>
        <v>0.6161137240475942</v>
      </c>
      <c r="K32" s="9">
        <f t="shared" si="4"/>
        <v>0</v>
      </c>
      <c r="M32">
        <f>+M15</f>
        <v>1.6230769758388808</v>
      </c>
      <c r="O32" s="9">
        <f t="shared" si="5"/>
        <v>0</v>
      </c>
    </row>
    <row r="33" spans="1:15" ht="12.75">
      <c r="A33" s="23"/>
      <c r="B33" s="23"/>
      <c r="C33" s="20"/>
      <c r="D33" s="20"/>
      <c r="E33" s="20"/>
      <c r="F33" s="20"/>
      <c r="G33" s="9">
        <f t="shared" si="3"/>
        <v>0</v>
      </c>
      <c r="I33" s="6">
        <f>+I15</f>
        <v>0.6161137240475942</v>
      </c>
      <c r="K33" s="9">
        <f t="shared" si="4"/>
        <v>0</v>
      </c>
      <c r="M33">
        <f>+M15</f>
        <v>1.6230769758388808</v>
      </c>
      <c r="O33" s="9">
        <f t="shared" si="5"/>
        <v>0</v>
      </c>
    </row>
    <row r="34" spans="1:15" ht="12.75">
      <c r="A34" s="23"/>
      <c r="B34" s="23"/>
      <c r="C34" s="20"/>
      <c r="D34" s="20"/>
      <c r="E34" s="20"/>
      <c r="F34" s="20"/>
      <c r="G34" s="9">
        <f t="shared" si="3"/>
        <v>0</v>
      </c>
      <c r="I34" s="6">
        <f>+I15</f>
        <v>0.6161137240475942</v>
      </c>
      <c r="K34" s="9">
        <f t="shared" si="4"/>
        <v>0</v>
      </c>
      <c r="M34">
        <f>+M15</f>
        <v>1.6230769758388808</v>
      </c>
      <c r="O34" s="9">
        <f t="shared" si="5"/>
        <v>0</v>
      </c>
    </row>
    <row r="35" spans="1:15" ht="12.75">
      <c r="A35" s="23"/>
      <c r="B35" s="23"/>
      <c r="C35" s="20"/>
      <c r="D35" s="20"/>
      <c r="E35" s="20"/>
      <c r="F35" s="20"/>
      <c r="G35" s="9">
        <f t="shared" si="3"/>
        <v>0</v>
      </c>
      <c r="I35" s="6">
        <f>+I15</f>
        <v>0.6161137240475942</v>
      </c>
      <c r="K35" s="9">
        <f t="shared" si="4"/>
        <v>0</v>
      </c>
      <c r="M35">
        <f>+M15</f>
        <v>1.6230769758388808</v>
      </c>
      <c r="O35" s="9">
        <f t="shared" si="5"/>
        <v>0</v>
      </c>
    </row>
    <row r="36" spans="1:15" ht="12.75">
      <c r="A36" s="23"/>
      <c r="B36" s="23"/>
      <c r="C36" s="20"/>
      <c r="D36" s="20"/>
      <c r="E36" s="20"/>
      <c r="F36" s="20"/>
      <c r="G36" s="9">
        <f t="shared" si="3"/>
        <v>0</v>
      </c>
      <c r="I36" s="6">
        <f>+I15</f>
        <v>0.6161137240475942</v>
      </c>
      <c r="K36" s="9">
        <f t="shared" si="4"/>
        <v>0</v>
      </c>
      <c r="M36">
        <f>+M15</f>
        <v>1.6230769758388808</v>
      </c>
      <c r="O36" s="9">
        <f t="shared" si="5"/>
        <v>0</v>
      </c>
    </row>
    <row r="37" spans="3:15" ht="12.75">
      <c r="C37" s="9"/>
      <c r="D37" s="9"/>
      <c r="E37" s="9"/>
      <c r="F37" s="9"/>
      <c r="G37" s="9"/>
      <c r="K37" s="9"/>
      <c r="O37" s="9"/>
    </row>
    <row r="38" spans="1:15" ht="12.75">
      <c r="A38" s="3" t="s">
        <v>167</v>
      </c>
      <c r="C38" s="9"/>
      <c r="D38" s="9"/>
      <c r="E38" s="9"/>
      <c r="F38" s="9"/>
      <c r="G38" s="9"/>
      <c r="K38" s="9"/>
      <c r="O38" s="9"/>
    </row>
    <row r="39" spans="1:15" ht="12.75">
      <c r="A39" t="s">
        <v>170</v>
      </c>
      <c r="C39" s="9"/>
      <c r="D39" s="9"/>
      <c r="E39" s="9"/>
      <c r="F39" s="9"/>
      <c r="G39" s="9"/>
      <c r="K39" s="9"/>
      <c r="O39" s="9"/>
    </row>
    <row r="40" spans="1:15" ht="12.75">
      <c r="A40" s="4" t="s">
        <v>171</v>
      </c>
      <c r="C40" s="9"/>
      <c r="D40" s="9"/>
      <c r="E40" s="9"/>
      <c r="F40" s="9"/>
      <c r="G40" s="9"/>
      <c r="K40" s="9"/>
      <c r="O40" s="9"/>
    </row>
    <row r="41" spans="1:15" ht="12.75">
      <c r="A41" s="23"/>
      <c r="B41" s="23"/>
      <c r="C41" s="20"/>
      <c r="D41" s="20"/>
      <c r="E41" s="20"/>
      <c r="F41" s="20"/>
      <c r="G41" s="9">
        <f aca="true" t="shared" si="6" ref="G41:G51">+C41-E41</f>
        <v>0</v>
      </c>
      <c r="I41" s="6">
        <f>+I9</f>
        <v>0.3838862759524057</v>
      </c>
      <c r="K41" s="9">
        <f>-G41*I41</f>
        <v>0</v>
      </c>
      <c r="M41">
        <f>+M15</f>
        <v>1.6230769758388808</v>
      </c>
      <c r="O41" s="9">
        <f>-K41*M41</f>
        <v>0</v>
      </c>
    </row>
    <row r="42" spans="1:15" ht="12.75">
      <c r="A42" s="23"/>
      <c r="B42" s="23"/>
      <c r="C42" s="20"/>
      <c r="D42" s="20"/>
      <c r="E42" s="20"/>
      <c r="F42" s="20"/>
      <c r="G42" s="9">
        <f t="shared" si="6"/>
        <v>0</v>
      </c>
      <c r="I42" s="6">
        <f>+I9</f>
        <v>0.3838862759524057</v>
      </c>
      <c r="K42" s="9">
        <f>-G42*I42</f>
        <v>0</v>
      </c>
      <c r="M42">
        <f>+M15</f>
        <v>1.6230769758388808</v>
      </c>
      <c r="O42" s="9">
        <f>-K42*M42</f>
        <v>0</v>
      </c>
    </row>
    <row r="43" spans="1:15" ht="12.75">
      <c r="A43" s="23"/>
      <c r="B43" s="23"/>
      <c r="C43" s="20"/>
      <c r="D43" s="20"/>
      <c r="E43" s="20"/>
      <c r="F43" s="20"/>
      <c r="G43" s="9">
        <f t="shared" si="6"/>
        <v>0</v>
      </c>
      <c r="I43" s="6">
        <f>+I9</f>
        <v>0.3838862759524057</v>
      </c>
      <c r="K43" s="9">
        <f>-G43*I43</f>
        <v>0</v>
      </c>
      <c r="M43">
        <f>+M15</f>
        <v>1.6230769758388808</v>
      </c>
      <c r="O43" s="9">
        <f>-K43*M43</f>
        <v>0</v>
      </c>
    </row>
    <row r="44" spans="1:15" ht="12.75">
      <c r="A44" s="23"/>
      <c r="B44" s="23"/>
      <c r="C44" s="20"/>
      <c r="D44" s="20"/>
      <c r="E44" s="20"/>
      <c r="F44" s="20"/>
      <c r="G44" s="9">
        <f t="shared" si="6"/>
        <v>0</v>
      </c>
      <c r="I44" s="6">
        <f>+I9</f>
        <v>0.3838862759524057</v>
      </c>
      <c r="K44" s="9">
        <f>-G44*I44</f>
        <v>0</v>
      </c>
      <c r="M44">
        <f>+M15</f>
        <v>1.6230769758388808</v>
      </c>
      <c r="O44" s="9">
        <f>-K44*M44</f>
        <v>0</v>
      </c>
    </row>
    <row r="45" spans="1:15" ht="12.75">
      <c r="A45" t="s">
        <v>168</v>
      </c>
      <c r="C45" s="9"/>
      <c r="D45" s="9"/>
      <c r="E45" s="9"/>
      <c r="F45" s="9"/>
      <c r="G45" s="9"/>
      <c r="I45" s="6"/>
      <c r="K45" s="9"/>
      <c r="O45" s="9"/>
    </row>
    <row r="46" spans="1:15" ht="12.75">
      <c r="A46" s="4" t="s">
        <v>169</v>
      </c>
      <c r="C46" s="9"/>
      <c r="D46" s="9"/>
      <c r="E46" s="9"/>
      <c r="F46" s="9"/>
      <c r="G46" s="9"/>
      <c r="I46" s="6"/>
      <c r="K46" s="9"/>
      <c r="O46" s="9"/>
    </row>
    <row r="47" spans="1:15" ht="12.75">
      <c r="A47" s="23"/>
      <c r="B47" s="23"/>
      <c r="C47" s="20"/>
      <c r="D47" s="20"/>
      <c r="E47" s="20"/>
      <c r="F47" s="20"/>
      <c r="G47" s="9">
        <f t="shared" si="6"/>
        <v>0</v>
      </c>
      <c r="I47" s="6">
        <f>+I9</f>
        <v>0.3838862759524057</v>
      </c>
      <c r="K47" s="9">
        <f>+G47*I47</f>
        <v>0</v>
      </c>
      <c r="M47">
        <f>+M15</f>
        <v>1.6230769758388808</v>
      </c>
      <c r="O47" s="9">
        <f>-K47*M47</f>
        <v>0</v>
      </c>
    </row>
    <row r="48" spans="1:15" ht="12.75">
      <c r="A48" s="23"/>
      <c r="B48" s="23"/>
      <c r="C48" s="20"/>
      <c r="D48" s="20"/>
      <c r="E48" s="20"/>
      <c r="F48" s="20"/>
      <c r="G48" s="9">
        <f t="shared" si="6"/>
        <v>0</v>
      </c>
      <c r="I48" s="6">
        <f>+I9</f>
        <v>0.3838862759524057</v>
      </c>
      <c r="K48" s="9">
        <f>+G48*I48</f>
        <v>0</v>
      </c>
      <c r="M48">
        <f>+M15</f>
        <v>1.6230769758388808</v>
      </c>
      <c r="O48" s="9">
        <f>-K48*M48</f>
        <v>0</v>
      </c>
    </row>
    <row r="49" spans="1:15" ht="12.75">
      <c r="A49" s="23"/>
      <c r="B49" s="23"/>
      <c r="C49" s="20"/>
      <c r="D49" s="20"/>
      <c r="E49" s="20"/>
      <c r="F49" s="20"/>
      <c r="G49" s="9">
        <f t="shared" si="6"/>
        <v>0</v>
      </c>
      <c r="I49" s="6">
        <f>+I9</f>
        <v>0.3838862759524057</v>
      </c>
      <c r="K49" s="9">
        <f>+G49*I49</f>
        <v>0</v>
      </c>
      <c r="M49">
        <f>+M15</f>
        <v>1.6230769758388808</v>
      </c>
      <c r="O49" s="9">
        <f>-K49*M49</f>
        <v>0</v>
      </c>
    </row>
    <row r="50" spans="1:15" ht="12.75">
      <c r="A50" s="23"/>
      <c r="B50" s="23"/>
      <c r="C50" s="20"/>
      <c r="D50" s="20"/>
      <c r="E50" s="20"/>
      <c r="F50" s="20"/>
      <c r="G50" s="9">
        <f t="shared" si="6"/>
        <v>0</v>
      </c>
      <c r="I50" s="6">
        <f>+I9</f>
        <v>0.3838862759524057</v>
      </c>
      <c r="K50" s="9">
        <f>+G50*I50</f>
        <v>0</v>
      </c>
      <c r="M50">
        <f>+M15</f>
        <v>1.6230769758388808</v>
      </c>
      <c r="O50" s="9">
        <f>-K50*M50</f>
        <v>0</v>
      </c>
    </row>
    <row r="51" spans="1:15" ht="12.75">
      <c r="A51" s="23"/>
      <c r="B51" s="23"/>
      <c r="C51" s="20"/>
      <c r="D51" s="20"/>
      <c r="E51" s="20"/>
      <c r="F51" s="20"/>
      <c r="G51" s="9">
        <f t="shared" si="6"/>
        <v>0</v>
      </c>
      <c r="I51" s="6">
        <f>+I9</f>
        <v>0.3838862759524057</v>
      </c>
      <c r="K51" s="9">
        <f>+G51*I51</f>
        <v>0</v>
      </c>
      <c r="M51">
        <f>+M15</f>
        <v>1.6230769758388808</v>
      </c>
      <c r="O51" s="9">
        <f>-K51*M51</f>
        <v>0</v>
      </c>
    </row>
    <row r="52" spans="1:15" ht="12.75">
      <c r="A52" s="23"/>
      <c r="B52" s="23"/>
      <c r="C52" s="20"/>
      <c r="D52" s="20"/>
      <c r="E52" s="20"/>
      <c r="F52" s="20"/>
      <c r="G52" s="9"/>
      <c r="K52" s="9"/>
      <c r="O52" s="9"/>
    </row>
    <row r="53" spans="1:15" ht="12.75">
      <c r="A53" s="3" t="s">
        <v>423</v>
      </c>
      <c r="C53" s="9"/>
      <c r="D53" s="9"/>
      <c r="E53" s="9"/>
      <c r="F53" s="9"/>
      <c r="G53" s="9"/>
      <c r="K53" s="9"/>
      <c r="O53" s="9"/>
    </row>
    <row r="54" spans="1:15" ht="12.75">
      <c r="A54" s="4" t="s">
        <v>172</v>
      </c>
      <c r="C54" s="9"/>
      <c r="D54" s="9"/>
      <c r="E54" s="9"/>
      <c r="F54" s="9"/>
      <c r="G54" s="9"/>
      <c r="K54" s="9"/>
      <c r="O54" s="9"/>
    </row>
    <row r="55" spans="1:15" ht="12.75">
      <c r="A55" s="23"/>
      <c r="B55" s="23"/>
      <c r="C55" s="20"/>
      <c r="D55" s="20"/>
      <c r="E55" s="20"/>
      <c r="F55" s="20"/>
      <c r="G55" s="9">
        <f>+C55-E55</f>
        <v>0</v>
      </c>
      <c r="I55" s="6">
        <v>1</v>
      </c>
      <c r="K55" s="9">
        <f>-G55*I55</f>
        <v>0</v>
      </c>
      <c r="M55">
        <f>+M15</f>
        <v>1.6230769758388808</v>
      </c>
      <c r="O55" s="9">
        <f>-K55*M55</f>
        <v>0</v>
      </c>
    </row>
    <row r="56" spans="1:15" ht="12.75">
      <c r="A56" s="23"/>
      <c r="B56" s="23"/>
      <c r="C56" s="20"/>
      <c r="D56" s="20"/>
      <c r="E56" s="20"/>
      <c r="F56" s="20"/>
      <c r="G56" s="9">
        <f>+C56-E56</f>
        <v>0</v>
      </c>
      <c r="I56" s="6">
        <v>1</v>
      </c>
      <c r="K56" s="9">
        <f>-G56</f>
        <v>0</v>
      </c>
      <c r="M56">
        <f>+M15</f>
        <v>1.6230769758388808</v>
      </c>
      <c r="O56" s="9">
        <f>-K56*M56</f>
        <v>0</v>
      </c>
    </row>
    <row r="57" spans="1:15" ht="12.75">
      <c r="A57" s="23"/>
      <c r="B57" s="23"/>
      <c r="C57" s="20"/>
      <c r="D57" s="20"/>
      <c r="E57" s="20"/>
      <c r="F57" s="20"/>
      <c r="G57" s="9"/>
      <c r="I57" s="6"/>
      <c r="K57" s="9"/>
      <c r="O57" s="9"/>
    </row>
    <row r="58" spans="1:17" ht="12.75">
      <c r="A58" s="23"/>
      <c r="B58" s="23"/>
      <c r="C58" s="20"/>
      <c r="D58" s="20"/>
      <c r="E58" s="20"/>
      <c r="F58" s="20"/>
      <c r="G58" s="9"/>
      <c r="I58" s="6"/>
      <c r="K58" s="8" t="s">
        <v>31</v>
      </c>
      <c r="O58" s="8" t="s">
        <v>31</v>
      </c>
      <c r="Q58" s="5" t="s">
        <v>73</v>
      </c>
    </row>
    <row r="59" spans="1:17" ht="12.75">
      <c r="A59" s="3" t="s">
        <v>173</v>
      </c>
      <c r="C59" s="9"/>
      <c r="D59" s="9"/>
      <c r="E59" s="9"/>
      <c r="F59" s="9"/>
      <c r="G59" s="9"/>
      <c r="I59" s="6"/>
      <c r="K59" s="9">
        <f>SUM(K15:K58)</f>
        <v>0</v>
      </c>
      <c r="O59" s="9">
        <f>SUM(O15:O58)</f>
        <v>0</v>
      </c>
      <c r="Q59" s="9">
        <f>-K59*M56</f>
        <v>0</v>
      </c>
    </row>
    <row r="60" spans="1:17" ht="12.75">
      <c r="A60" s="23"/>
      <c r="B60" s="23"/>
      <c r="C60" s="20"/>
      <c r="D60" s="20"/>
      <c r="E60" s="20"/>
      <c r="F60" s="20"/>
      <c r="G60" s="20"/>
      <c r="H60" s="23"/>
      <c r="I60" s="6"/>
      <c r="K60" s="32" t="s">
        <v>38</v>
      </c>
      <c r="L60" s="23"/>
      <c r="M60" s="23"/>
      <c r="N60" s="23"/>
      <c r="O60" s="32" t="s">
        <v>38</v>
      </c>
      <c r="P60" s="23"/>
      <c r="Q60" s="25" t="s">
        <v>39</v>
      </c>
    </row>
    <row r="61" spans="1:15" ht="12.75">
      <c r="A61" s="23"/>
      <c r="B61" s="23"/>
      <c r="C61" s="20"/>
      <c r="D61" s="20"/>
      <c r="E61" s="20"/>
      <c r="F61" s="20"/>
      <c r="G61" s="20"/>
      <c r="H61" s="23"/>
      <c r="I61" s="6"/>
      <c r="K61" s="9"/>
      <c r="O61" s="9"/>
    </row>
    <row r="62" spans="1:15" ht="12.75">
      <c r="A62" s="3" t="s">
        <v>415</v>
      </c>
      <c r="C62" s="9"/>
      <c r="D62" s="9"/>
      <c r="E62" s="9"/>
      <c r="F62" s="9"/>
      <c r="G62" s="9"/>
      <c r="I62" s="6"/>
      <c r="K62" s="9">
        <f>+'Rev.Requirement'!D18</f>
        <v>49419392.25999995</v>
      </c>
      <c r="O62" s="9"/>
    </row>
    <row r="63" spans="1:15" ht="12.75">
      <c r="A63" s="23"/>
      <c r="B63" s="23"/>
      <c r="C63" s="20"/>
      <c r="D63" s="20"/>
      <c r="E63" s="20"/>
      <c r="F63" s="20"/>
      <c r="G63" s="20"/>
      <c r="H63" s="23"/>
      <c r="I63" s="24"/>
      <c r="K63" s="8" t="s">
        <v>31</v>
      </c>
      <c r="O63" s="8"/>
    </row>
    <row r="64" spans="1:15" ht="12.75">
      <c r="A64" s="3" t="s">
        <v>416</v>
      </c>
      <c r="C64" s="9"/>
      <c r="D64" s="9"/>
      <c r="E64" s="9"/>
      <c r="F64" s="9"/>
      <c r="G64" s="9"/>
      <c r="I64" s="6"/>
      <c r="K64" s="13">
        <f>+K59+K62</f>
        <v>49419392.25999995</v>
      </c>
      <c r="L64" s="3"/>
      <c r="M64" s="3"/>
      <c r="N64" s="3"/>
      <c r="O64" s="13"/>
    </row>
    <row r="65" spans="1:18" ht="12.75">
      <c r="A65" s="23"/>
      <c r="B65" s="23"/>
      <c r="C65" s="20"/>
      <c r="D65" s="20"/>
      <c r="E65" s="20"/>
      <c r="F65" s="20"/>
      <c r="G65" s="20"/>
      <c r="H65" s="23"/>
      <c r="I65" s="23"/>
      <c r="J65" s="23"/>
      <c r="K65" s="32" t="s">
        <v>38</v>
      </c>
      <c r="L65" s="23"/>
      <c r="M65" s="23"/>
      <c r="N65" s="23"/>
      <c r="O65" s="32"/>
      <c r="P65" s="23"/>
      <c r="Q65" s="23"/>
      <c r="R65" s="23"/>
    </row>
    <row r="66" spans="1:18" ht="12.75">
      <c r="A66" s="23"/>
      <c r="B66" s="23"/>
      <c r="C66" s="20"/>
      <c r="D66" s="20"/>
      <c r="E66" s="20"/>
      <c r="F66" s="20"/>
      <c r="G66" s="20"/>
      <c r="H66" s="23"/>
      <c r="I66" s="23"/>
      <c r="J66" s="23"/>
      <c r="K66" s="20"/>
      <c r="L66" s="23"/>
      <c r="M66" s="23"/>
      <c r="N66" s="23"/>
      <c r="O66" s="20"/>
      <c r="P66" s="23"/>
      <c r="Q66" s="23"/>
      <c r="R66" s="23"/>
    </row>
    <row r="67" spans="1:18" ht="12.75">
      <c r="A67" s="23"/>
      <c r="B67" s="23"/>
      <c r="C67" s="20"/>
      <c r="D67" s="20"/>
      <c r="E67" s="20"/>
      <c r="F67" s="20"/>
      <c r="G67" s="20"/>
      <c r="H67" s="23"/>
      <c r="I67" s="23"/>
      <c r="J67" s="23"/>
      <c r="K67" s="20"/>
      <c r="L67" s="23"/>
      <c r="M67" s="23"/>
      <c r="N67" s="23"/>
      <c r="O67" s="20"/>
      <c r="P67" s="23"/>
      <c r="Q67" s="23"/>
      <c r="R67" s="23"/>
    </row>
    <row r="68" spans="1:18" ht="12.75">
      <c r="A68" s="23"/>
      <c r="B68" s="23"/>
      <c r="C68" s="20"/>
      <c r="D68" s="20"/>
      <c r="E68" s="20"/>
      <c r="F68" s="20"/>
      <c r="G68" s="20"/>
      <c r="H68" s="23"/>
      <c r="I68" s="23"/>
      <c r="J68" s="23"/>
      <c r="K68" s="20"/>
      <c r="L68" s="23"/>
      <c r="M68" s="23"/>
      <c r="N68" s="23"/>
      <c r="O68" s="20"/>
      <c r="P68" s="23"/>
      <c r="Q68" s="23"/>
      <c r="R68" s="23"/>
    </row>
    <row r="69" spans="1:18" ht="12.75">
      <c r="A69" s="23"/>
      <c r="B69" s="23"/>
      <c r="C69" s="20"/>
      <c r="D69" s="20"/>
      <c r="E69" s="20"/>
      <c r="F69" s="20"/>
      <c r="G69" s="20"/>
      <c r="H69" s="23"/>
      <c r="I69" s="23"/>
      <c r="J69" s="23"/>
      <c r="K69" s="20"/>
      <c r="L69" s="23"/>
      <c r="M69" s="23"/>
      <c r="N69" s="23"/>
      <c r="O69" s="20"/>
      <c r="P69" s="23"/>
      <c r="Q69" s="23"/>
      <c r="R69" s="23"/>
    </row>
    <row r="70" spans="1:18" ht="12.75">
      <c r="A70" s="23"/>
      <c r="B70" s="23"/>
      <c r="C70" s="20"/>
      <c r="D70" s="20"/>
      <c r="E70" s="20"/>
      <c r="F70" s="20"/>
      <c r="G70" s="20"/>
      <c r="H70" s="23"/>
      <c r="I70" s="23"/>
      <c r="J70" s="23"/>
      <c r="K70" s="20"/>
      <c r="L70" s="23"/>
      <c r="M70" s="23"/>
      <c r="N70" s="23"/>
      <c r="O70" s="20"/>
      <c r="P70" s="23"/>
      <c r="Q70" s="23"/>
      <c r="R70" s="23"/>
    </row>
    <row r="71" spans="1:18" ht="12.75">
      <c r="A71" s="23"/>
      <c r="B71" s="23"/>
      <c r="C71" s="20"/>
      <c r="D71" s="20"/>
      <c r="E71" s="20"/>
      <c r="F71" s="20"/>
      <c r="G71" s="20"/>
      <c r="H71" s="23"/>
      <c r="I71" s="23"/>
      <c r="J71" s="23"/>
      <c r="K71" s="20"/>
      <c r="L71" s="23"/>
      <c r="M71" s="23"/>
      <c r="N71" s="23"/>
      <c r="O71" s="20"/>
      <c r="P71" s="23"/>
      <c r="Q71" s="23"/>
      <c r="R71" s="23"/>
    </row>
    <row r="72" spans="1:18" ht="12.75">
      <c r="A72" s="23"/>
      <c r="B72" s="23"/>
      <c r="C72" s="20"/>
      <c r="D72" s="20"/>
      <c r="E72" s="20"/>
      <c r="F72" s="20"/>
      <c r="G72" s="20"/>
      <c r="H72" s="23"/>
      <c r="I72" s="23"/>
      <c r="J72" s="23"/>
      <c r="K72" s="20"/>
      <c r="L72" s="23"/>
      <c r="M72" s="23"/>
      <c r="N72" s="23"/>
      <c r="O72" s="20"/>
      <c r="P72" s="23"/>
      <c r="Q72" s="23"/>
      <c r="R72" s="23"/>
    </row>
    <row r="73" spans="1:18" ht="12.75">
      <c r="A73" s="23"/>
      <c r="B73" s="23"/>
      <c r="C73" s="20"/>
      <c r="D73" s="20"/>
      <c r="E73" s="20"/>
      <c r="F73" s="20"/>
      <c r="G73" s="20"/>
      <c r="H73" s="23"/>
      <c r="I73" s="23"/>
      <c r="J73" s="23"/>
      <c r="K73" s="20"/>
      <c r="L73" s="23"/>
      <c r="M73" s="23"/>
      <c r="N73" s="23"/>
      <c r="O73" s="20"/>
      <c r="P73" s="23"/>
      <c r="Q73" s="23"/>
      <c r="R73" s="23"/>
    </row>
    <row r="74" spans="1:18" ht="12.75">
      <c r="A74" s="23"/>
      <c r="B74" s="23"/>
      <c r="C74" s="20"/>
      <c r="D74" s="20"/>
      <c r="E74" s="20"/>
      <c r="F74" s="20"/>
      <c r="G74" s="20"/>
      <c r="H74" s="23"/>
      <c r="I74" s="23"/>
      <c r="J74" s="23"/>
      <c r="K74" s="20"/>
      <c r="L74" s="23"/>
      <c r="M74" s="23"/>
      <c r="N74" s="23"/>
      <c r="O74" s="20"/>
      <c r="P74" s="23"/>
      <c r="Q74" s="23"/>
      <c r="R74" s="23"/>
    </row>
    <row r="75" spans="1:18" ht="12.75">
      <c r="A75" s="23"/>
      <c r="B75" s="23"/>
      <c r="C75" s="20"/>
      <c r="D75" s="20"/>
      <c r="E75" s="20"/>
      <c r="F75" s="20"/>
      <c r="G75" s="20"/>
      <c r="H75" s="23"/>
      <c r="I75" s="23"/>
      <c r="J75" s="23"/>
      <c r="K75" s="20"/>
      <c r="L75" s="23"/>
      <c r="M75" s="23"/>
      <c r="N75" s="23"/>
      <c r="O75" s="20"/>
      <c r="P75" s="23"/>
      <c r="Q75" s="23"/>
      <c r="R75" s="23"/>
    </row>
    <row r="76" spans="1:18" ht="12.75">
      <c r="A76" s="23"/>
      <c r="B76" s="23"/>
      <c r="C76" s="20"/>
      <c r="D76" s="20"/>
      <c r="E76" s="20"/>
      <c r="F76" s="20"/>
      <c r="G76" s="20"/>
      <c r="H76" s="23"/>
      <c r="I76" s="23"/>
      <c r="J76" s="23"/>
      <c r="K76" s="20"/>
      <c r="L76" s="23"/>
      <c r="M76" s="23"/>
      <c r="N76" s="23"/>
      <c r="O76" s="20"/>
      <c r="P76" s="23"/>
      <c r="Q76" s="23"/>
      <c r="R76" s="23"/>
    </row>
    <row r="77" spans="1:18" ht="12.75">
      <c r="A77" s="23"/>
      <c r="B77" s="23"/>
      <c r="C77" s="20"/>
      <c r="D77" s="20"/>
      <c r="E77" s="20"/>
      <c r="F77" s="20"/>
      <c r="G77" s="20"/>
      <c r="H77" s="23"/>
      <c r="I77" s="23"/>
      <c r="J77" s="23"/>
      <c r="K77" s="20"/>
      <c r="L77" s="23"/>
      <c r="M77" s="23"/>
      <c r="N77" s="23"/>
      <c r="O77" s="20"/>
      <c r="P77" s="23"/>
      <c r="Q77" s="23"/>
      <c r="R77" s="23"/>
    </row>
    <row r="78" spans="1:18" ht="12.75">
      <c r="A78" s="23"/>
      <c r="B78" s="23"/>
      <c r="C78" s="20"/>
      <c r="D78" s="20"/>
      <c r="E78" s="20"/>
      <c r="F78" s="20"/>
      <c r="G78" s="20"/>
      <c r="H78" s="23"/>
      <c r="I78" s="23"/>
      <c r="J78" s="23"/>
      <c r="K78" s="20"/>
      <c r="L78" s="23"/>
      <c r="M78" s="23"/>
      <c r="N78" s="23"/>
      <c r="O78" s="20"/>
      <c r="P78" s="23"/>
      <c r="Q78" s="23"/>
      <c r="R78" s="23"/>
    </row>
    <row r="79" spans="1:18" ht="12.75">
      <c r="A79" s="23"/>
      <c r="B79" s="23"/>
      <c r="C79" s="20"/>
      <c r="D79" s="20"/>
      <c r="E79" s="20"/>
      <c r="F79" s="20"/>
      <c r="G79" s="20"/>
      <c r="H79" s="23"/>
      <c r="I79" s="23"/>
      <c r="J79" s="23"/>
      <c r="K79" s="20"/>
      <c r="L79" s="23"/>
      <c r="M79" s="23"/>
      <c r="N79" s="23"/>
      <c r="O79" s="20"/>
      <c r="P79" s="23"/>
      <c r="Q79" s="23"/>
      <c r="R79" s="23"/>
    </row>
    <row r="80" spans="1:18" ht="12.75">
      <c r="A80" s="23"/>
      <c r="B80" s="23"/>
      <c r="C80" s="20"/>
      <c r="D80" s="20"/>
      <c r="E80" s="20"/>
      <c r="F80" s="20"/>
      <c r="G80" s="20"/>
      <c r="H80" s="23"/>
      <c r="I80" s="23"/>
      <c r="J80" s="23"/>
      <c r="K80" s="20"/>
      <c r="L80" s="23"/>
      <c r="M80" s="23"/>
      <c r="N80" s="23"/>
      <c r="O80" s="20"/>
      <c r="P80" s="23"/>
      <c r="Q80" s="23"/>
      <c r="R80" s="23"/>
    </row>
    <row r="81" spans="1:18" ht="12.75">
      <c r="A81" s="23"/>
      <c r="B81" s="23"/>
      <c r="C81" s="20"/>
      <c r="D81" s="20"/>
      <c r="E81" s="20"/>
      <c r="F81" s="20"/>
      <c r="G81" s="20"/>
      <c r="H81" s="23"/>
      <c r="I81" s="23"/>
      <c r="J81" s="23"/>
      <c r="K81" s="20"/>
      <c r="L81" s="23"/>
      <c r="M81" s="23"/>
      <c r="N81" s="23"/>
      <c r="O81" s="20"/>
      <c r="P81" s="23"/>
      <c r="Q81" s="23"/>
      <c r="R81" s="23"/>
    </row>
    <row r="82" spans="1:18" ht="12.75">
      <c r="A82" s="23"/>
      <c r="B82" s="23"/>
      <c r="C82" s="20"/>
      <c r="D82" s="20"/>
      <c r="E82" s="20"/>
      <c r="F82" s="20"/>
      <c r="G82" s="20"/>
      <c r="H82" s="23"/>
      <c r="I82" s="23"/>
      <c r="J82" s="23"/>
      <c r="K82" s="20"/>
      <c r="L82" s="23"/>
      <c r="M82" s="23"/>
      <c r="N82" s="23"/>
      <c r="O82" s="20"/>
      <c r="P82" s="23"/>
      <c r="Q82" s="23"/>
      <c r="R82" s="23"/>
    </row>
    <row r="83" spans="1:18" ht="12.75">
      <c r="A83" s="23"/>
      <c r="B83" s="23"/>
      <c r="C83" s="20"/>
      <c r="D83" s="20"/>
      <c r="E83" s="20"/>
      <c r="F83" s="20"/>
      <c r="G83" s="20"/>
      <c r="H83" s="23"/>
      <c r="I83" s="23"/>
      <c r="J83" s="23"/>
      <c r="K83" s="20"/>
      <c r="L83" s="23"/>
      <c r="M83" s="23"/>
      <c r="N83" s="23"/>
      <c r="O83" s="20"/>
      <c r="P83" s="23"/>
      <c r="Q83" s="23"/>
      <c r="R83" s="23"/>
    </row>
    <row r="84" spans="1:18" ht="12.75">
      <c r="A84" s="23"/>
      <c r="B84" s="23"/>
      <c r="C84" s="20"/>
      <c r="D84" s="20"/>
      <c r="E84" s="20"/>
      <c r="F84" s="20"/>
      <c r="G84" s="20"/>
      <c r="H84" s="23"/>
      <c r="I84" s="23"/>
      <c r="J84" s="23"/>
      <c r="K84" s="20"/>
      <c r="L84" s="23"/>
      <c r="M84" s="23"/>
      <c r="N84" s="23"/>
      <c r="O84" s="20"/>
      <c r="P84" s="23"/>
      <c r="Q84" s="23"/>
      <c r="R84" s="23"/>
    </row>
    <row r="85" spans="1:18" ht="12.75">
      <c r="A85" s="23"/>
      <c r="B85" s="23"/>
      <c r="C85" s="20"/>
      <c r="D85" s="20"/>
      <c r="E85" s="20"/>
      <c r="F85" s="20"/>
      <c r="G85" s="20"/>
      <c r="H85" s="23"/>
      <c r="I85" s="23"/>
      <c r="J85" s="23"/>
      <c r="K85" s="20"/>
      <c r="L85" s="23"/>
      <c r="M85" s="23"/>
      <c r="N85" s="23"/>
      <c r="O85" s="20"/>
      <c r="P85" s="23"/>
      <c r="Q85" s="23"/>
      <c r="R85" s="23"/>
    </row>
    <row r="86" spans="1:18" ht="12.75">
      <c r="A86" s="23"/>
      <c r="B86" s="23"/>
      <c r="C86" s="20"/>
      <c r="D86" s="20"/>
      <c r="E86" s="20"/>
      <c r="F86" s="20"/>
      <c r="G86" s="20"/>
      <c r="H86" s="23"/>
      <c r="I86" s="23"/>
      <c r="J86" s="23"/>
      <c r="K86" s="20"/>
      <c r="L86" s="23"/>
      <c r="M86" s="23"/>
      <c r="N86" s="23"/>
      <c r="O86" s="20"/>
      <c r="P86" s="23"/>
      <c r="Q86" s="23"/>
      <c r="R86" s="23"/>
    </row>
    <row r="87" spans="1:18" ht="12.75">
      <c r="A87" s="23"/>
      <c r="B87" s="23"/>
      <c r="C87" s="20"/>
      <c r="D87" s="20"/>
      <c r="E87" s="20"/>
      <c r="F87" s="20"/>
      <c r="G87" s="20"/>
      <c r="H87" s="23"/>
      <c r="I87" s="23"/>
      <c r="J87" s="23"/>
      <c r="K87" s="20"/>
      <c r="L87" s="23"/>
      <c r="M87" s="23"/>
      <c r="N87" s="23"/>
      <c r="O87" s="20"/>
      <c r="P87" s="23"/>
      <c r="Q87" s="23"/>
      <c r="R87" s="23"/>
    </row>
    <row r="88" spans="1:18" ht="12.75">
      <c r="A88" s="23"/>
      <c r="B88" s="23"/>
      <c r="C88" s="20"/>
      <c r="D88" s="20"/>
      <c r="E88" s="20"/>
      <c r="F88" s="20"/>
      <c r="G88" s="20"/>
      <c r="H88" s="23"/>
      <c r="I88" s="23"/>
      <c r="J88" s="23"/>
      <c r="K88" s="20"/>
      <c r="L88" s="23"/>
      <c r="M88" s="23"/>
      <c r="N88" s="23"/>
      <c r="O88" s="20"/>
      <c r="P88" s="23"/>
      <c r="Q88" s="23"/>
      <c r="R88" s="23"/>
    </row>
    <row r="89" spans="1:18" ht="12.75">
      <c r="A89" s="23"/>
      <c r="B89" s="23"/>
      <c r="C89" s="20"/>
      <c r="D89" s="20"/>
      <c r="E89" s="20"/>
      <c r="F89" s="20"/>
      <c r="G89" s="20"/>
      <c r="H89" s="23"/>
      <c r="I89" s="23"/>
      <c r="J89" s="23"/>
      <c r="K89" s="20"/>
      <c r="L89" s="23"/>
      <c r="M89" s="23"/>
      <c r="N89" s="23"/>
      <c r="O89" s="20"/>
      <c r="P89" s="23"/>
      <c r="Q89" s="23"/>
      <c r="R89" s="23"/>
    </row>
    <row r="90" spans="1:18" ht="12.75">
      <c r="A90" s="23"/>
      <c r="B90" s="23"/>
      <c r="C90" s="20"/>
      <c r="D90" s="20"/>
      <c r="E90" s="20"/>
      <c r="F90" s="20"/>
      <c r="G90" s="20"/>
      <c r="H90" s="23"/>
      <c r="I90" s="23"/>
      <c r="J90" s="23"/>
      <c r="K90" s="20"/>
      <c r="L90" s="23"/>
      <c r="M90" s="23"/>
      <c r="N90" s="23"/>
      <c r="O90" s="20"/>
      <c r="P90" s="23"/>
      <c r="Q90" s="23"/>
      <c r="R90" s="23"/>
    </row>
    <row r="91" spans="1:18" ht="12.75">
      <c r="A91" s="23"/>
      <c r="B91" s="23"/>
      <c r="C91" s="20"/>
      <c r="D91" s="20"/>
      <c r="E91" s="20"/>
      <c r="F91" s="20"/>
      <c r="G91" s="20"/>
      <c r="H91" s="23"/>
      <c r="I91" s="23"/>
      <c r="J91" s="23"/>
      <c r="K91" s="20"/>
      <c r="L91" s="23"/>
      <c r="M91" s="23"/>
      <c r="N91" s="23"/>
      <c r="O91" s="20"/>
      <c r="P91" s="23"/>
      <c r="Q91" s="23"/>
      <c r="R91" s="23"/>
    </row>
    <row r="92" spans="1:18" ht="12.75">
      <c r="A92" s="23"/>
      <c r="B92" s="23"/>
      <c r="C92" s="20"/>
      <c r="D92" s="20"/>
      <c r="E92" s="20"/>
      <c r="F92" s="20"/>
      <c r="G92" s="20"/>
      <c r="H92" s="23"/>
      <c r="I92" s="23"/>
      <c r="J92" s="23"/>
      <c r="K92" s="20"/>
      <c r="L92" s="23"/>
      <c r="M92" s="23"/>
      <c r="N92" s="23"/>
      <c r="O92" s="20"/>
      <c r="P92" s="23"/>
      <c r="Q92" s="23"/>
      <c r="R92" s="23"/>
    </row>
    <row r="93" spans="1:18" ht="12.75">
      <c r="A93" s="23"/>
      <c r="B93" s="23"/>
      <c r="C93" s="20"/>
      <c r="D93" s="20"/>
      <c r="E93" s="20"/>
      <c r="F93" s="20"/>
      <c r="G93" s="20"/>
      <c r="H93" s="23"/>
      <c r="I93" s="23"/>
      <c r="J93" s="23"/>
      <c r="K93" s="20"/>
      <c r="L93" s="23"/>
      <c r="M93" s="23"/>
      <c r="N93" s="23"/>
      <c r="O93" s="20"/>
      <c r="P93" s="23"/>
      <c r="Q93" s="23"/>
      <c r="R93" s="23"/>
    </row>
    <row r="94" spans="1:18" ht="12.75">
      <c r="A94" s="23"/>
      <c r="B94" s="23"/>
      <c r="C94" s="20"/>
      <c r="D94" s="20"/>
      <c r="E94" s="20"/>
      <c r="F94" s="20"/>
      <c r="G94" s="20"/>
      <c r="H94" s="23"/>
      <c r="I94" s="23"/>
      <c r="J94" s="23"/>
      <c r="K94" s="20"/>
      <c r="L94" s="23"/>
      <c r="M94" s="23"/>
      <c r="N94" s="23"/>
      <c r="O94" s="20"/>
      <c r="P94" s="23"/>
      <c r="Q94" s="23"/>
      <c r="R94" s="23"/>
    </row>
    <row r="95" spans="1:18" ht="12.75">
      <c r="A95" s="23"/>
      <c r="B95" s="23"/>
      <c r="C95" s="20"/>
      <c r="D95" s="20"/>
      <c r="E95" s="20"/>
      <c r="F95" s="20"/>
      <c r="G95" s="20"/>
      <c r="H95" s="23"/>
      <c r="I95" s="23"/>
      <c r="J95" s="23"/>
      <c r="K95" s="20"/>
      <c r="L95" s="23"/>
      <c r="M95" s="23"/>
      <c r="N95" s="23"/>
      <c r="O95" s="20"/>
      <c r="P95" s="23"/>
      <c r="Q95" s="23"/>
      <c r="R95" s="23"/>
    </row>
    <row r="96" spans="1:18" ht="12.75">
      <c r="A96" s="23"/>
      <c r="B96" s="23"/>
      <c r="C96" s="20"/>
      <c r="D96" s="20"/>
      <c r="E96" s="20"/>
      <c r="F96" s="20"/>
      <c r="G96" s="20"/>
      <c r="H96" s="23"/>
      <c r="I96" s="23"/>
      <c r="J96" s="23"/>
      <c r="K96" s="20"/>
      <c r="L96" s="23"/>
      <c r="M96" s="23"/>
      <c r="N96" s="23"/>
      <c r="O96" s="20"/>
      <c r="P96" s="23"/>
      <c r="Q96" s="23"/>
      <c r="R96" s="23"/>
    </row>
    <row r="97" spans="1:18" ht="12.75">
      <c r="A97" s="23"/>
      <c r="B97" s="23"/>
      <c r="C97" s="20"/>
      <c r="D97" s="20"/>
      <c r="E97" s="20"/>
      <c r="F97" s="20"/>
      <c r="G97" s="20"/>
      <c r="H97" s="23"/>
      <c r="I97" s="23"/>
      <c r="J97" s="23"/>
      <c r="K97" s="20"/>
      <c r="L97" s="23"/>
      <c r="M97" s="23"/>
      <c r="N97" s="23"/>
      <c r="O97" s="20"/>
      <c r="P97" s="23"/>
      <c r="Q97" s="23"/>
      <c r="R97" s="23"/>
    </row>
    <row r="98" spans="1:18" ht="12.75">
      <c r="A98" s="23"/>
      <c r="B98" s="23"/>
      <c r="C98" s="20"/>
      <c r="D98" s="20"/>
      <c r="E98" s="20"/>
      <c r="F98" s="20"/>
      <c r="G98" s="20"/>
      <c r="H98" s="23"/>
      <c r="I98" s="23"/>
      <c r="J98" s="23"/>
      <c r="K98" s="20"/>
      <c r="L98" s="23"/>
      <c r="M98" s="23"/>
      <c r="N98" s="23"/>
      <c r="O98" s="20"/>
      <c r="P98" s="23"/>
      <c r="Q98" s="23"/>
      <c r="R98" s="23"/>
    </row>
    <row r="99" spans="1:18" ht="12.75">
      <c r="A99" s="23"/>
      <c r="B99" s="23"/>
      <c r="C99" s="20"/>
      <c r="D99" s="20"/>
      <c r="E99" s="20"/>
      <c r="F99" s="20"/>
      <c r="G99" s="20"/>
      <c r="H99" s="23"/>
      <c r="I99" s="23"/>
      <c r="J99" s="23"/>
      <c r="K99" s="20"/>
      <c r="L99" s="23"/>
      <c r="M99" s="23"/>
      <c r="N99" s="23"/>
      <c r="O99" s="20"/>
      <c r="P99" s="23"/>
      <c r="Q99" s="23"/>
      <c r="R99" s="23"/>
    </row>
    <row r="100" spans="1:18" ht="12.75">
      <c r="A100" s="23"/>
      <c r="B100" s="23"/>
      <c r="C100" s="20"/>
      <c r="D100" s="20"/>
      <c r="E100" s="20"/>
      <c r="F100" s="20"/>
      <c r="G100" s="20"/>
      <c r="H100" s="23"/>
      <c r="I100" s="23"/>
      <c r="J100" s="23"/>
      <c r="K100" s="20"/>
      <c r="L100" s="23"/>
      <c r="M100" s="23"/>
      <c r="N100" s="23"/>
      <c r="O100" s="20"/>
      <c r="P100" s="23"/>
      <c r="Q100" s="23"/>
      <c r="R100" s="23"/>
    </row>
    <row r="101" spans="1:18" ht="12.75">
      <c r="A101" s="23"/>
      <c r="B101" s="23"/>
      <c r="C101" s="20"/>
      <c r="D101" s="20"/>
      <c r="E101" s="20"/>
      <c r="F101" s="20"/>
      <c r="G101" s="20"/>
      <c r="H101" s="23"/>
      <c r="I101" s="23"/>
      <c r="J101" s="23"/>
      <c r="K101" s="20"/>
      <c r="L101" s="23"/>
      <c r="M101" s="23"/>
      <c r="N101" s="23"/>
      <c r="O101" s="20"/>
      <c r="P101" s="23"/>
      <c r="Q101" s="23"/>
      <c r="R101" s="23"/>
    </row>
    <row r="102" spans="1:18" ht="12.75">
      <c r="A102" s="23"/>
      <c r="B102" s="23"/>
      <c r="C102" s="20"/>
      <c r="D102" s="20"/>
      <c r="E102" s="20"/>
      <c r="F102" s="20"/>
      <c r="G102" s="20"/>
      <c r="H102" s="23"/>
      <c r="I102" s="23"/>
      <c r="J102" s="23"/>
      <c r="K102" s="20"/>
      <c r="L102" s="23"/>
      <c r="M102" s="23"/>
      <c r="N102" s="23"/>
      <c r="O102" s="20"/>
      <c r="P102" s="23"/>
      <c r="Q102" s="23"/>
      <c r="R102" s="23"/>
    </row>
    <row r="103" spans="1:18" ht="12.75">
      <c r="A103" s="23"/>
      <c r="B103" s="23"/>
      <c r="C103" s="20"/>
      <c r="D103" s="20"/>
      <c r="E103" s="20"/>
      <c r="F103" s="20"/>
      <c r="G103" s="20"/>
      <c r="H103" s="23"/>
      <c r="I103" s="23"/>
      <c r="J103" s="23"/>
      <c r="K103" s="20"/>
      <c r="L103" s="23"/>
      <c r="M103" s="23"/>
      <c r="N103" s="23"/>
      <c r="O103" s="20"/>
      <c r="P103" s="23"/>
      <c r="Q103" s="23"/>
      <c r="R103" s="23"/>
    </row>
    <row r="104" spans="1:18" ht="12.75">
      <c r="A104" s="23"/>
      <c r="B104" s="23"/>
      <c r="C104" s="20"/>
      <c r="D104" s="20"/>
      <c r="E104" s="20"/>
      <c r="F104" s="20"/>
      <c r="G104" s="20"/>
      <c r="H104" s="23"/>
      <c r="I104" s="23"/>
      <c r="J104" s="23"/>
      <c r="K104" s="20"/>
      <c r="L104" s="23"/>
      <c r="M104" s="23"/>
      <c r="N104" s="23"/>
      <c r="O104" s="20"/>
      <c r="P104" s="23"/>
      <c r="Q104" s="23"/>
      <c r="R104" s="23"/>
    </row>
    <row r="105" spans="1:18" ht="12.75">
      <c r="A105" s="23"/>
      <c r="B105" s="23"/>
      <c r="C105" s="20"/>
      <c r="D105" s="20"/>
      <c r="E105" s="20"/>
      <c r="F105" s="20"/>
      <c r="G105" s="20"/>
      <c r="H105" s="23"/>
      <c r="I105" s="23"/>
      <c r="J105" s="23"/>
      <c r="K105" s="20"/>
      <c r="L105" s="23"/>
      <c r="M105" s="23"/>
      <c r="N105" s="23"/>
      <c r="O105" s="20"/>
      <c r="P105" s="23"/>
      <c r="Q105" s="23"/>
      <c r="R105" s="23"/>
    </row>
    <row r="106" spans="1:18" ht="12.75">
      <c r="A106" s="23"/>
      <c r="B106" s="23"/>
      <c r="C106" s="20"/>
      <c r="D106" s="20"/>
      <c r="E106" s="20"/>
      <c r="F106" s="20"/>
      <c r="G106" s="20"/>
      <c r="H106" s="23"/>
      <c r="I106" s="23"/>
      <c r="J106" s="23"/>
      <c r="K106" s="20"/>
      <c r="L106" s="23"/>
      <c r="M106" s="23"/>
      <c r="N106" s="23"/>
      <c r="O106" s="20"/>
      <c r="P106" s="23"/>
      <c r="Q106" s="23"/>
      <c r="R106" s="23"/>
    </row>
    <row r="107" spans="3:15" ht="12.75">
      <c r="C107" s="9"/>
      <c r="D107" s="9"/>
      <c r="E107" s="9"/>
      <c r="F107" s="9"/>
      <c r="G107" s="9"/>
      <c r="O107" s="9"/>
    </row>
    <row r="108" spans="3:15" ht="12.75">
      <c r="C108" s="9"/>
      <c r="D108" s="9"/>
      <c r="E108" s="9"/>
      <c r="F108" s="9"/>
      <c r="G108" s="9"/>
      <c r="O108" s="9"/>
    </row>
    <row r="109" spans="3:15" ht="12.75">
      <c r="C109" s="9"/>
      <c r="D109" s="9"/>
      <c r="E109" s="9"/>
      <c r="F109" s="9"/>
      <c r="G109" s="9"/>
      <c r="O109" s="9"/>
    </row>
    <row r="110" spans="3:15" ht="12.75">
      <c r="C110" s="9"/>
      <c r="D110" s="9"/>
      <c r="E110" s="9"/>
      <c r="F110" s="9"/>
      <c r="G110" s="9"/>
      <c r="O110" s="9"/>
    </row>
    <row r="111" spans="3:15" ht="12.75">
      <c r="C111" s="9"/>
      <c r="D111" s="9"/>
      <c r="E111" s="9"/>
      <c r="F111" s="9"/>
      <c r="G111" s="9"/>
      <c r="O111" s="9"/>
    </row>
    <row r="112" spans="3:15" ht="12.75">
      <c r="C112" s="9"/>
      <c r="D112" s="9"/>
      <c r="E112" s="9"/>
      <c r="F112" s="9"/>
      <c r="G112" s="9"/>
      <c r="O112" s="9"/>
    </row>
    <row r="113" spans="3:15" ht="12.75">
      <c r="C113" s="9"/>
      <c r="D113" s="9"/>
      <c r="E113" s="9"/>
      <c r="F113" s="9"/>
      <c r="G113" s="9"/>
      <c r="O113" s="9"/>
    </row>
    <row r="114" spans="3:15" ht="12.75">
      <c r="C114" s="9"/>
      <c r="D114" s="9"/>
      <c r="E114" s="9"/>
      <c r="F114" s="9"/>
      <c r="G114" s="9"/>
      <c r="O114" s="9"/>
    </row>
    <row r="115" spans="3:15" ht="12.75">
      <c r="C115" s="9"/>
      <c r="D115" s="9"/>
      <c r="E115" s="9"/>
      <c r="F115" s="9"/>
      <c r="G115" s="9"/>
      <c r="O115" s="9"/>
    </row>
    <row r="116" spans="3:15" ht="12.75">
      <c r="C116" s="9"/>
      <c r="D116" s="9"/>
      <c r="E116" s="9"/>
      <c r="F116" s="9"/>
      <c r="G116" s="9"/>
      <c r="O116" s="9"/>
    </row>
    <row r="117" spans="3:15" ht="12.75">
      <c r="C117" s="9"/>
      <c r="D117" s="9"/>
      <c r="E117" s="9"/>
      <c r="F117" s="9"/>
      <c r="G117" s="9"/>
      <c r="O117" s="9"/>
    </row>
    <row r="118" spans="3:15" ht="12.75">
      <c r="C118" s="9"/>
      <c r="D118" s="9"/>
      <c r="E118" s="9"/>
      <c r="F118" s="9"/>
      <c r="G118" s="9"/>
      <c r="O118" s="9"/>
    </row>
    <row r="119" spans="3:15" ht="12.75">
      <c r="C119" s="9"/>
      <c r="D119" s="9"/>
      <c r="E119" s="9"/>
      <c r="F119" s="9"/>
      <c r="G119" s="9"/>
      <c r="O119" s="9"/>
    </row>
    <row r="120" spans="3:15" ht="12.75">
      <c r="C120" s="9"/>
      <c r="D120" s="9"/>
      <c r="E120" s="9"/>
      <c r="F120" s="9"/>
      <c r="G120" s="9"/>
      <c r="O120" s="9"/>
    </row>
    <row r="121" spans="3:15" ht="12.75">
      <c r="C121" s="9"/>
      <c r="D121" s="9"/>
      <c r="E121" s="9"/>
      <c r="F121" s="9"/>
      <c r="G121" s="9"/>
      <c r="O121" s="9"/>
    </row>
    <row r="122" spans="3:15" ht="12.75">
      <c r="C122" s="9"/>
      <c r="D122" s="9"/>
      <c r="E122" s="9"/>
      <c r="F122" s="9"/>
      <c r="G122" s="9"/>
      <c r="O122" s="9"/>
    </row>
    <row r="123" spans="3:15" ht="12.75">
      <c r="C123" s="9"/>
      <c r="D123" s="9"/>
      <c r="E123" s="9"/>
      <c r="F123" s="9"/>
      <c r="G123" s="9"/>
      <c r="O123" s="9"/>
    </row>
    <row r="124" spans="3:15" ht="12.75">
      <c r="C124" s="9"/>
      <c r="D124" s="9"/>
      <c r="E124" s="9"/>
      <c r="F124" s="9"/>
      <c r="G124" s="9"/>
      <c r="O124" s="9"/>
    </row>
    <row r="125" spans="3:15" ht="12.75">
      <c r="C125" s="9"/>
      <c r="D125" s="9"/>
      <c r="E125" s="9"/>
      <c r="F125" s="9"/>
      <c r="G125" s="9"/>
      <c r="O125" s="9"/>
    </row>
    <row r="126" spans="3:15" ht="12.75">
      <c r="C126" s="9"/>
      <c r="D126" s="9"/>
      <c r="E126" s="9"/>
      <c r="F126" s="9"/>
      <c r="G126" s="9"/>
      <c r="O126" s="9"/>
    </row>
    <row r="127" spans="3:15" ht="12.75">
      <c r="C127" s="9"/>
      <c r="D127" s="9"/>
      <c r="E127" s="9"/>
      <c r="F127" s="9"/>
      <c r="G127" s="9"/>
      <c r="O127" s="9"/>
    </row>
    <row r="128" spans="3:15" ht="12.75">
      <c r="C128" s="9"/>
      <c r="D128" s="9"/>
      <c r="E128" s="9"/>
      <c r="F128" s="9"/>
      <c r="G128" s="9"/>
      <c r="O128" s="9"/>
    </row>
    <row r="129" spans="3:15" ht="12.75">
      <c r="C129" s="9"/>
      <c r="D129" s="9"/>
      <c r="E129" s="9"/>
      <c r="F129" s="9"/>
      <c r="G129" s="9"/>
      <c r="O129" s="9"/>
    </row>
    <row r="130" spans="3:15" ht="12.75">
      <c r="C130" s="9"/>
      <c r="D130" s="9"/>
      <c r="E130" s="9"/>
      <c r="F130" s="9"/>
      <c r="G130" s="9"/>
      <c r="O130" s="51"/>
    </row>
    <row r="131" spans="3:15" ht="12.75">
      <c r="C131" s="9"/>
      <c r="D131" s="9"/>
      <c r="E131" s="9"/>
      <c r="F131" s="9"/>
      <c r="G131" s="9"/>
      <c r="O131" s="51"/>
    </row>
    <row r="132" spans="3:15" ht="12.75">
      <c r="C132" s="9"/>
      <c r="D132" s="9"/>
      <c r="E132" s="9"/>
      <c r="F132" s="9"/>
      <c r="G132" s="9"/>
      <c r="O132" s="51"/>
    </row>
    <row r="133" spans="3:15" ht="12.75">
      <c r="C133" s="9"/>
      <c r="D133" s="9"/>
      <c r="E133" s="9"/>
      <c r="F133" s="9"/>
      <c r="G133" s="9"/>
      <c r="O133" s="51"/>
    </row>
    <row r="134" spans="3:15" ht="12.75">
      <c r="C134" s="9"/>
      <c r="D134" s="9"/>
      <c r="E134" s="9"/>
      <c r="F134" s="9"/>
      <c r="G134" s="9"/>
      <c r="O134" s="51"/>
    </row>
    <row r="135" spans="3:15" ht="12.75">
      <c r="C135" s="9"/>
      <c r="D135" s="9"/>
      <c r="E135" s="9"/>
      <c r="F135" s="9"/>
      <c r="G135" s="9"/>
      <c r="O135" s="51"/>
    </row>
    <row r="136" spans="3:15" ht="12.75">
      <c r="C136" s="9"/>
      <c r="D136" s="9"/>
      <c r="E136" s="9"/>
      <c r="F136" s="9"/>
      <c r="G136" s="9"/>
      <c r="O136" s="51"/>
    </row>
    <row r="137" spans="3:15" ht="12.75">
      <c r="C137" s="9"/>
      <c r="D137" s="9"/>
      <c r="E137" s="9"/>
      <c r="F137" s="9"/>
      <c r="G137" s="9"/>
      <c r="O137" s="51"/>
    </row>
    <row r="138" spans="3:15" ht="12.75">
      <c r="C138" s="9"/>
      <c r="D138" s="9"/>
      <c r="E138" s="9"/>
      <c r="F138" s="9"/>
      <c r="G138" s="9"/>
      <c r="O138" s="51"/>
    </row>
    <row r="139" spans="3:15" ht="12.75">
      <c r="C139" s="9"/>
      <c r="D139" s="9"/>
      <c r="E139" s="9"/>
      <c r="F139" s="9"/>
      <c r="G139" s="9"/>
      <c r="O139" s="51"/>
    </row>
    <row r="140" spans="3:15" ht="12.75">
      <c r="C140" s="9"/>
      <c r="D140" s="9"/>
      <c r="E140" s="9"/>
      <c r="F140" s="9"/>
      <c r="G140" s="9"/>
      <c r="O140" s="51"/>
    </row>
    <row r="141" spans="3:15" ht="12.75">
      <c r="C141" s="9"/>
      <c r="D141" s="9"/>
      <c r="E141" s="9"/>
      <c r="F141" s="9"/>
      <c r="G141" s="9"/>
      <c r="O141" s="51"/>
    </row>
    <row r="142" spans="3:15" ht="12.75">
      <c r="C142" s="9"/>
      <c r="D142" s="9"/>
      <c r="E142" s="9"/>
      <c r="F142" s="9"/>
      <c r="G142" s="9"/>
      <c r="O142" s="51"/>
    </row>
    <row r="143" spans="3:15" ht="12.75">
      <c r="C143" s="9"/>
      <c r="D143" s="9"/>
      <c r="E143" s="9"/>
      <c r="F143" s="9"/>
      <c r="G143" s="9"/>
      <c r="O143" s="51"/>
    </row>
    <row r="144" spans="3:15" ht="12.75">
      <c r="C144" s="9"/>
      <c r="D144" s="9"/>
      <c r="E144" s="9"/>
      <c r="F144" s="9"/>
      <c r="G144" s="9"/>
      <c r="O144" s="51"/>
    </row>
    <row r="145" spans="3:15" ht="12.75">
      <c r="C145" s="9"/>
      <c r="D145" s="9"/>
      <c r="E145" s="9"/>
      <c r="F145" s="9"/>
      <c r="G145" s="9"/>
      <c r="O145" s="51"/>
    </row>
    <row r="146" spans="3:15" ht="12.75">
      <c r="C146" s="9"/>
      <c r="D146" s="9"/>
      <c r="E146" s="9"/>
      <c r="F146" s="9"/>
      <c r="G146" s="9"/>
      <c r="O146" s="51"/>
    </row>
    <row r="147" spans="3:15" ht="12.75">
      <c r="C147" s="9"/>
      <c r="D147" s="9"/>
      <c r="E147" s="9"/>
      <c r="F147" s="9"/>
      <c r="G147" s="9"/>
      <c r="O147" s="51"/>
    </row>
    <row r="148" spans="3:15" ht="12.75">
      <c r="C148" s="9"/>
      <c r="D148" s="9"/>
      <c r="E148" s="9"/>
      <c r="F148" s="9"/>
      <c r="G148" s="9"/>
      <c r="O148" s="51"/>
    </row>
    <row r="149" spans="3:15" ht="12.75">
      <c r="C149" s="9"/>
      <c r="D149" s="9"/>
      <c r="E149" s="9"/>
      <c r="F149" s="9"/>
      <c r="G149" s="9"/>
      <c r="O149" s="51"/>
    </row>
    <row r="150" spans="3:15" ht="12.75">
      <c r="C150" s="9"/>
      <c r="D150" s="9"/>
      <c r="E150" s="9"/>
      <c r="F150" s="9"/>
      <c r="G150" s="9"/>
      <c r="O150" s="51"/>
    </row>
    <row r="151" spans="3:15" ht="12.75">
      <c r="C151" s="9"/>
      <c r="D151" s="9"/>
      <c r="E151" s="9"/>
      <c r="F151" s="9"/>
      <c r="G151" s="9"/>
      <c r="O151" s="51"/>
    </row>
    <row r="152" spans="3:15" ht="12.75">
      <c r="C152" s="9"/>
      <c r="D152" s="9"/>
      <c r="E152" s="9"/>
      <c r="F152" s="9"/>
      <c r="G152" s="9"/>
      <c r="O152" s="51"/>
    </row>
  </sheetData>
  <printOptions/>
  <pageMargins left="0.25" right="0.25" top="0.5" bottom="0.5" header="0.5" footer="0.5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71"/>
  <sheetViews>
    <sheetView zoomScale="75" zoomScaleNormal="75" workbookViewId="0" topLeftCell="H37">
      <selection activeCell="V53" sqref="V53"/>
    </sheetView>
  </sheetViews>
  <sheetFormatPr defaultColWidth="9.140625" defaultRowHeight="12.75"/>
  <cols>
    <col min="1" max="2" width="4.7109375" style="0" customWidth="1"/>
    <col min="3" max="3" width="27.7109375" style="0" customWidth="1"/>
    <col min="5" max="5" width="14.7109375" style="0" bestFit="1" customWidth="1"/>
    <col min="6" max="6" width="8.710937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8.7109375" style="0" customWidth="1"/>
    <col min="11" max="11" width="13.7109375" style="0" customWidth="1"/>
    <col min="12" max="12" width="3.7109375" style="0" customWidth="1"/>
    <col min="13" max="13" width="14.7109375" style="0" customWidth="1"/>
    <col min="14" max="14" width="3.7109375" style="0" customWidth="1"/>
    <col min="15" max="15" width="12.7109375" style="0" customWidth="1"/>
    <col min="16" max="16" width="3.7109375" style="0" customWidth="1"/>
    <col min="17" max="17" width="12.7109375" style="0" customWidth="1"/>
    <col min="18" max="18" width="3.7109375" style="0" customWidth="1"/>
    <col min="19" max="19" width="13.7109375" style="0" customWidth="1"/>
    <col min="20" max="20" width="3.7109375" style="0" customWidth="1"/>
    <col min="21" max="21" width="12.7109375" style="0" customWidth="1"/>
    <col min="23" max="23" width="10.28125" style="0" bestFit="1" customWidth="1"/>
  </cols>
  <sheetData>
    <row r="2" ht="18">
      <c r="H2" s="1" t="s">
        <v>13</v>
      </c>
    </row>
    <row r="4" spans="8:13" ht="12.75">
      <c r="H4" s="23"/>
      <c r="I4" s="23" t="str">
        <f>+'Rev.Requirement'!E4</f>
        <v>Missouri Public Service Division</v>
      </c>
      <c r="J4" s="23"/>
      <c r="K4" s="23"/>
      <c r="L4" s="23"/>
      <c r="M4" s="23"/>
    </row>
    <row r="5" spans="8:13" ht="12.75">
      <c r="H5" s="23"/>
      <c r="I5" s="23"/>
      <c r="J5" s="23"/>
      <c r="K5" s="23"/>
      <c r="L5" s="23"/>
      <c r="M5" s="23"/>
    </row>
    <row r="6" spans="3:21" ht="12.75">
      <c r="C6">
        <f>1184025311+47841436</f>
        <v>1231866747</v>
      </c>
      <c r="H6" s="23" t="s">
        <v>231</v>
      </c>
      <c r="I6" s="23" t="str">
        <f>+'Rev.Requirement'!E6</f>
        <v>         Case No. ER 2004-0034</v>
      </c>
      <c r="J6" s="23"/>
      <c r="K6" s="23"/>
      <c r="L6" s="23"/>
      <c r="M6" s="23"/>
      <c r="O6" s="16" t="s">
        <v>17</v>
      </c>
      <c r="S6" s="5" t="s">
        <v>34</v>
      </c>
      <c r="U6" s="5"/>
    </row>
    <row r="7" spans="5:21" ht="12.75">
      <c r="E7" s="16"/>
      <c r="F7" s="16"/>
      <c r="G7" s="16"/>
      <c r="H7" s="23"/>
      <c r="I7" s="41"/>
      <c r="J7" s="41"/>
      <c r="K7" s="41"/>
      <c r="L7" s="23"/>
      <c r="M7" s="23"/>
      <c r="O7" s="5" t="s">
        <v>221</v>
      </c>
      <c r="Q7" s="5" t="s">
        <v>53</v>
      </c>
      <c r="S7" s="5" t="s">
        <v>33</v>
      </c>
      <c r="U7" s="5"/>
    </row>
    <row r="8" spans="5:21" ht="12.75">
      <c r="E8" s="93" t="s">
        <v>124</v>
      </c>
      <c r="F8" s="93" t="s">
        <v>116</v>
      </c>
      <c r="G8" s="93" t="s">
        <v>250</v>
      </c>
      <c r="H8" s="19"/>
      <c r="I8" s="93" t="s">
        <v>124</v>
      </c>
      <c r="J8" s="93" t="s">
        <v>116</v>
      </c>
      <c r="K8" s="93" t="s">
        <v>250</v>
      </c>
      <c r="L8" s="19"/>
      <c r="M8" s="16" t="s">
        <v>345</v>
      </c>
      <c r="O8" s="5" t="s">
        <v>32</v>
      </c>
      <c r="Q8" s="5" t="s">
        <v>40</v>
      </c>
      <c r="S8" s="16" t="s">
        <v>346</v>
      </c>
      <c r="U8" s="5"/>
    </row>
    <row r="9" spans="3:21" ht="12.75">
      <c r="C9" s="23"/>
      <c r="D9" s="23"/>
      <c r="E9" s="41" t="s">
        <v>249</v>
      </c>
      <c r="F9" s="54" t="s">
        <v>40</v>
      </c>
      <c r="G9" s="41" t="s">
        <v>249</v>
      </c>
      <c r="H9" s="30"/>
      <c r="I9" s="16" t="s">
        <v>17</v>
      </c>
      <c r="J9" s="54" t="s">
        <v>40</v>
      </c>
      <c r="K9" s="16" t="s">
        <v>17</v>
      </c>
      <c r="L9" s="30"/>
      <c r="M9" s="30" t="s">
        <v>19</v>
      </c>
      <c r="N9" s="5"/>
      <c r="O9" s="17">
        <f>+RateofReturn!H20</f>
        <v>0.0815</v>
      </c>
      <c r="Q9" s="100">
        <f>+'IncomeStat.'!N13</f>
        <v>1.6230755440453266</v>
      </c>
      <c r="S9" s="5" t="s">
        <v>35</v>
      </c>
      <c r="U9" s="5"/>
    </row>
    <row r="10" spans="1:21" ht="12.75">
      <c r="A10" t="s">
        <v>430</v>
      </c>
      <c r="C10" s="23"/>
      <c r="D10" s="23"/>
      <c r="E10" s="32" t="s">
        <v>31</v>
      </c>
      <c r="F10" s="32" t="s">
        <v>240</v>
      </c>
      <c r="G10" s="32" t="s">
        <v>58</v>
      </c>
      <c r="H10" s="20"/>
      <c r="I10" s="32" t="s">
        <v>58</v>
      </c>
      <c r="J10" s="32" t="s">
        <v>240</v>
      </c>
      <c r="K10" s="32" t="s">
        <v>64</v>
      </c>
      <c r="L10" s="20"/>
      <c r="M10" s="32" t="s">
        <v>31</v>
      </c>
      <c r="N10" s="9"/>
      <c r="O10" s="4" t="s">
        <v>31</v>
      </c>
      <c r="P10" s="9"/>
      <c r="Q10" s="8" t="s">
        <v>42</v>
      </c>
      <c r="R10" s="9"/>
      <c r="S10" s="8" t="s">
        <v>31</v>
      </c>
      <c r="T10" s="9"/>
      <c r="U10" s="8"/>
    </row>
    <row r="11" spans="1:23" ht="12.75">
      <c r="A11" s="5">
        <v>1</v>
      </c>
      <c r="B11" s="5"/>
      <c r="C11" s="29" t="s">
        <v>14</v>
      </c>
      <c r="D11" s="29" t="s">
        <v>18</v>
      </c>
      <c r="E11" s="23"/>
      <c r="F11" s="28">
        <v>1</v>
      </c>
      <c r="G11" s="36"/>
      <c r="H11" s="36"/>
      <c r="I11" s="36"/>
      <c r="J11" s="28">
        <f>1226246984/(1234469227+1992959)</f>
        <v>0.9917383627937328</v>
      </c>
      <c r="V11" s="9"/>
      <c r="W11" s="9"/>
    </row>
    <row r="12" spans="1:23" ht="12.75">
      <c r="A12" s="5">
        <f>+A11+1</f>
        <v>2</v>
      </c>
      <c r="B12" s="5"/>
      <c r="C12" s="29"/>
      <c r="D12" s="23"/>
      <c r="E12" s="23"/>
      <c r="F12" s="11"/>
      <c r="I12" s="23"/>
      <c r="J12" s="11"/>
      <c r="V12" s="9"/>
      <c r="W12" s="9"/>
    </row>
    <row r="13" spans="1:23" ht="12.75">
      <c r="A13" s="5">
        <f aca="true" t="shared" si="0" ref="A13:A76">+A12+1</f>
        <v>3</v>
      </c>
      <c r="B13" s="5"/>
      <c r="C13" s="29"/>
      <c r="D13" s="23"/>
      <c r="E13" s="23"/>
      <c r="F13" s="11"/>
      <c r="I13" s="23"/>
      <c r="J13" s="11"/>
      <c r="V13" s="9"/>
      <c r="W13" s="9"/>
    </row>
    <row r="14" spans="1:23" ht="12.75">
      <c r="A14" s="5">
        <f t="shared" si="0"/>
        <v>4</v>
      </c>
      <c r="B14" s="5"/>
      <c r="C14" s="29"/>
      <c r="D14" s="23"/>
      <c r="E14" s="23"/>
      <c r="F14" s="11"/>
      <c r="I14" s="23"/>
      <c r="J14" s="152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9"/>
      <c r="W14" s="9"/>
    </row>
    <row r="15" spans="1:23" ht="12.75">
      <c r="A15" s="5">
        <f t="shared" si="0"/>
        <v>5</v>
      </c>
      <c r="B15" s="5"/>
      <c r="C15" s="23"/>
      <c r="D15" s="23"/>
      <c r="E15" s="20"/>
      <c r="F15" s="24">
        <f>+F11</f>
        <v>1</v>
      </c>
      <c r="G15" s="33">
        <f aca="true" t="shared" si="1" ref="G15:G20">+E15*F15</f>
        <v>0</v>
      </c>
      <c r="H15" s="20"/>
      <c r="I15" s="20"/>
      <c r="J15" s="192">
        <f>+J11</f>
        <v>0.9917383627937328</v>
      </c>
      <c r="K15" s="33">
        <f aca="true" t="shared" si="2" ref="K15:K20">+I15*J15</f>
        <v>0</v>
      </c>
      <c r="L15" s="33"/>
      <c r="M15" s="33">
        <f aca="true" t="shared" si="3" ref="M15:M20">+K15-G15</f>
        <v>0</v>
      </c>
      <c r="N15" s="33"/>
      <c r="O15" s="26">
        <f>+O9</f>
        <v>0.0815</v>
      </c>
      <c r="P15" s="33"/>
      <c r="Q15" s="193">
        <f>+Q9</f>
        <v>1.6230755440453266</v>
      </c>
      <c r="R15" s="33"/>
      <c r="S15" s="33">
        <f aca="true" t="shared" si="4" ref="S15:S20">+(M15*O15)*Q15</f>
        <v>0</v>
      </c>
      <c r="T15" s="33"/>
      <c r="U15" s="9"/>
      <c r="V15" s="9"/>
      <c r="W15" s="84"/>
    </row>
    <row r="16" spans="1:23" ht="12.75">
      <c r="A16" s="5">
        <f t="shared" si="0"/>
        <v>6</v>
      </c>
      <c r="B16" s="5"/>
      <c r="C16" s="23"/>
      <c r="D16" s="23"/>
      <c r="E16" s="20"/>
      <c r="F16" s="24">
        <f>+F11</f>
        <v>1</v>
      </c>
      <c r="G16" s="33">
        <f t="shared" si="1"/>
        <v>0</v>
      </c>
      <c r="H16" s="20"/>
      <c r="I16" s="20"/>
      <c r="J16" s="26">
        <f>+J11</f>
        <v>0.9917383627937328</v>
      </c>
      <c r="K16" s="33">
        <f t="shared" si="2"/>
        <v>0</v>
      </c>
      <c r="L16" s="33"/>
      <c r="M16" s="33">
        <f t="shared" si="3"/>
        <v>0</v>
      </c>
      <c r="N16" s="33"/>
      <c r="O16" s="26">
        <f>+O9</f>
        <v>0.0815</v>
      </c>
      <c r="P16" s="33"/>
      <c r="Q16" s="182">
        <f>+Q9</f>
        <v>1.6230755440453266</v>
      </c>
      <c r="R16" s="33"/>
      <c r="S16" s="33">
        <f t="shared" si="4"/>
        <v>0</v>
      </c>
      <c r="T16" s="33"/>
      <c r="U16" s="9"/>
      <c r="V16" s="9"/>
      <c r="W16" s="84"/>
    </row>
    <row r="17" spans="1:23" ht="12.75">
      <c r="A17" s="5">
        <f t="shared" si="0"/>
        <v>7</v>
      </c>
      <c r="B17" s="5"/>
      <c r="C17" s="23" t="s">
        <v>822</v>
      </c>
      <c r="D17" s="23"/>
      <c r="E17" s="20">
        <v>2002410</v>
      </c>
      <c r="F17" s="24">
        <f>+F11</f>
        <v>1</v>
      </c>
      <c r="G17" s="33">
        <f t="shared" si="1"/>
        <v>2002410</v>
      </c>
      <c r="H17" s="20"/>
      <c r="I17" s="20">
        <v>0</v>
      </c>
      <c r="J17" s="26">
        <f>+J11</f>
        <v>0.9917383627937328</v>
      </c>
      <c r="K17" s="33">
        <f t="shared" si="2"/>
        <v>0</v>
      </c>
      <c r="L17" s="33"/>
      <c r="M17" s="33">
        <f t="shared" si="3"/>
        <v>-2002410</v>
      </c>
      <c r="N17" s="33"/>
      <c r="O17" s="26">
        <f>+O9</f>
        <v>0.0815</v>
      </c>
      <c r="P17" s="33"/>
      <c r="Q17" s="182">
        <f>+Q9</f>
        <v>1.6230755440453266</v>
      </c>
      <c r="R17" s="33"/>
      <c r="S17" s="33">
        <f t="shared" si="4"/>
        <v>-264880.11006237194</v>
      </c>
      <c r="T17" s="33"/>
      <c r="U17" s="9"/>
      <c r="V17" s="9"/>
      <c r="W17" s="84"/>
    </row>
    <row r="18" spans="1:23" ht="12.75">
      <c r="A18" s="5">
        <f t="shared" si="0"/>
        <v>8</v>
      </c>
      <c r="B18" s="5"/>
      <c r="C18" s="29" t="s">
        <v>251</v>
      </c>
      <c r="D18" s="23"/>
      <c r="E18" s="21">
        <v>1976494</v>
      </c>
      <c r="F18" s="24">
        <f>+F11</f>
        <v>1</v>
      </c>
      <c r="G18" s="33">
        <f t="shared" si="1"/>
        <v>1976494</v>
      </c>
      <c r="H18" s="20"/>
      <c r="I18" s="20">
        <v>1992959</v>
      </c>
      <c r="J18" s="26">
        <f>+J11</f>
        <v>0.9917383627937328</v>
      </c>
      <c r="K18" s="33">
        <f t="shared" si="2"/>
        <v>1976493.895775035</v>
      </c>
      <c r="L18" s="33"/>
      <c r="M18" s="33">
        <f t="shared" si="3"/>
        <v>-0.10422496497631073</v>
      </c>
      <c r="N18" s="33"/>
      <c r="O18" s="26">
        <f>+O9</f>
        <v>0.0815</v>
      </c>
      <c r="P18" s="33"/>
      <c r="Q18" s="182">
        <f>+Q9</f>
        <v>1.6230755440453266</v>
      </c>
      <c r="R18" s="33"/>
      <c r="S18" s="33">
        <f t="shared" si="4"/>
        <v>-0.013786946826160499</v>
      </c>
      <c r="T18" s="33"/>
      <c r="U18" s="9"/>
      <c r="V18" s="9"/>
      <c r="W18" s="9"/>
    </row>
    <row r="19" spans="1:23" ht="12.75">
      <c r="A19" s="5">
        <f t="shared" si="0"/>
        <v>9</v>
      </c>
      <c r="B19" s="5"/>
      <c r="C19" s="23"/>
      <c r="D19" s="23"/>
      <c r="E19" s="20">
        <v>0</v>
      </c>
      <c r="F19" s="24">
        <f>+F11</f>
        <v>1</v>
      </c>
      <c r="G19" s="33">
        <f t="shared" si="1"/>
        <v>0</v>
      </c>
      <c r="H19" s="20"/>
      <c r="I19" s="20"/>
      <c r="J19" s="26">
        <f>+J11</f>
        <v>0.9917383627937328</v>
      </c>
      <c r="K19" s="33">
        <f t="shared" si="2"/>
        <v>0</v>
      </c>
      <c r="L19" s="33"/>
      <c r="M19" s="33">
        <f t="shared" si="3"/>
        <v>0</v>
      </c>
      <c r="N19" s="33"/>
      <c r="O19" s="26">
        <f>+O9</f>
        <v>0.0815</v>
      </c>
      <c r="P19" s="33"/>
      <c r="Q19" s="182">
        <f>+Q9</f>
        <v>1.6230755440453266</v>
      </c>
      <c r="R19" s="33"/>
      <c r="S19" s="33">
        <f t="shared" si="4"/>
        <v>0</v>
      </c>
      <c r="T19" s="33"/>
      <c r="U19" s="9"/>
      <c r="V19" s="9"/>
      <c r="W19" s="9"/>
    </row>
    <row r="20" spans="1:23" ht="12.75">
      <c r="A20" s="5">
        <f t="shared" si="0"/>
        <v>10</v>
      </c>
      <c r="B20" s="5"/>
      <c r="C20" s="3" t="s">
        <v>23</v>
      </c>
      <c r="E20" s="9">
        <f>+E22-SUM(E12:E19)</f>
        <v>1227887843</v>
      </c>
      <c r="F20" s="26">
        <f>+F11</f>
        <v>1</v>
      </c>
      <c r="G20" s="33">
        <f t="shared" si="1"/>
        <v>1227887843</v>
      </c>
      <c r="H20" s="9"/>
      <c r="I20" s="9">
        <f>+I22-SUM(I12:I19)</f>
        <v>1234469227</v>
      </c>
      <c r="J20" s="26">
        <f>+J11</f>
        <v>0.9917383627937328</v>
      </c>
      <c r="K20" s="33">
        <f t="shared" si="2"/>
        <v>1224270490.104225</v>
      </c>
      <c r="L20" s="33"/>
      <c r="M20" s="33">
        <f t="shared" si="3"/>
        <v>-3617352.8957750797</v>
      </c>
      <c r="N20" s="33"/>
      <c r="O20" s="26">
        <f>+O9</f>
        <v>0.0815</v>
      </c>
      <c r="P20" s="33"/>
      <c r="Q20" s="182">
        <f>+Q9</f>
        <v>1.6230755440453266</v>
      </c>
      <c r="R20" s="33"/>
      <c r="S20" s="33">
        <f t="shared" si="4"/>
        <v>-478505.81707409717</v>
      </c>
      <c r="T20" s="33"/>
      <c r="U20" s="9"/>
      <c r="V20" s="9"/>
      <c r="W20" s="85"/>
    </row>
    <row r="21" spans="1:23" ht="12.75">
      <c r="A21" s="5">
        <f t="shared" si="0"/>
        <v>11</v>
      </c>
      <c r="B21" s="5"/>
      <c r="E21" s="8" t="s">
        <v>58</v>
      </c>
      <c r="F21" s="7"/>
      <c r="G21" s="8" t="s">
        <v>58</v>
      </c>
      <c r="H21" s="9"/>
      <c r="I21" s="8" t="s">
        <v>134</v>
      </c>
      <c r="J21" s="38"/>
      <c r="K21" s="34" t="s">
        <v>134</v>
      </c>
      <c r="L21" s="33"/>
      <c r="M21" s="34" t="s">
        <v>31</v>
      </c>
      <c r="N21" s="33"/>
      <c r="O21" s="38"/>
      <c r="P21" s="33"/>
      <c r="Q21" s="182"/>
      <c r="R21" s="33"/>
      <c r="S21" s="34" t="s">
        <v>31</v>
      </c>
      <c r="T21" s="33"/>
      <c r="U21" s="8"/>
      <c r="V21" s="9"/>
      <c r="W21" s="9"/>
    </row>
    <row r="22" spans="1:23" ht="12.75">
      <c r="A22" s="5">
        <f t="shared" si="0"/>
        <v>12</v>
      </c>
      <c r="B22" s="5"/>
      <c r="C22" s="23" t="s">
        <v>15</v>
      </c>
      <c r="D22" s="29" t="s">
        <v>18</v>
      </c>
      <c r="E22" s="20">
        <v>1231866747</v>
      </c>
      <c r="F22" s="24"/>
      <c r="G22" s="33">
        <f>SUM(G15:G21)</f>
        <v>1231866747</v>
      </c>
      <c r="H22" s="20"/>
      <c r="I22" s="20">
        <f>1234469227+1992959</f>
        <v>1236462186</v>
      </c>
      <c r="J22" s="26"/>
      <c r="K22" s="33">
        <f>SUM(K15:K21)</f>
        <v>1226246984</v>
      </c>
      <c r="L22" s="33"/>
      <c r="M22" s="33">
        <f>SUM(M15:M21)</f>
        <v>-5619763.000000045</v>
      </c>
      <c r="N22" s="33"/>
      <c r="O22" s="26"/>
      <c r="P22" s="33"/>
      <c r="Q22" s="182"/>
      <c r="R22" s="33"/>
      <c r="S22" s="33">
        <f>SUM(S15:S21)</f>
        <v>-743385.9409234159</v>
      </c>
      <c r="T22" s="33"/>
      <c r="U22" s="9"/>
      <c r="V22" s="9"/>
      <c r="W22" s="9"/>
    </row>
    <row r="23" spans="1:23" ht="12.75">
      <c r="A23" s="5">
        <f t="shared" si="0"/>
        <v>13</v>
      </c>
      <c r="B23" s="5"/>
      <c r="E23" s="9"/>
      <c r="F23" s="6"/>
      <c r="G23" s="9"/>
      <c r="H23" s="9"/>
      <c r="I23" s="9"/>
      <c r="J23" s="6"/>
      <c r="K23" s="33"/>
      <c r="L23" s="33"/>
      <c r="M23" s="33"/>
      <c r="N23" s="33"/>
      <c r="O23" s="26"/>
      <c r="P23" s="33"/>
      <c r="Q23" s="182"/>
      <c r="R23" s="33"/>
      <c r="S23" s="33"/>
      <c r="T23" s="33"/>
      <c r="U23" s="9"/>
      <c r="V23" s="9"/>
      <c r="W23" s="9"/>
    </row>
    <row r="24" spans="1:23" ht="12.75">
      <c r="A24" s="5">
        <f t="shared" si="0"/>
        <v>14</v>
      </c>
      <c r="B24" s="5"/>
      <c r="C24" s="29" t="s">
        <v>21</v>
      </c>
      <c r="D24" s="23"/>
      <c r="E24" s="20"/>
      <c r="F24" s="28">
        <v>1</v>
      </c>
      <c r="G24" s="33"/>
      <c r="H24" s="33"/>
      <c r="I24" s="33"/>
      <c r="J24" s="28">
        <f>498759920/(501828777+1490134)</f>
        <v>0.9909421424461439</v>
      </c>
      <c r="K24" s="33"/>
      <c r="L24" s="33"/>
      <c r="M24" s="33"/>
      <c r="N24" s="33"/>
      <c r="O24" s="26"/>
      <c r="P24" s="33"/>
      <c r="Q24" s="182"/>
      <c r="R24" s="33"/>
      <c r="S24" s="33"/>
      <c r="T24" s="33"/>
      <c r="U24" s="9"/>
      <c r="V24" s="9"/>
      <c r="W24" s="9"/>
    </row>
    <row r="25" spans="1:23" ht="12.75">
      <c r="A25" s="5">
        <f t="shared" si="0"/>
        <v>15</v>
      </c>
      <c r="B25" s="5"/>
      <c r="C25" s="29"/>
      <c r="D25" s="23"/>
      <c r="E25" s="20"/>
      <c r="F25" s="24"/>
      <c r="G25" s="20"/>
      <c r="H25" s="20"/>
      <c r="I25" s="20"/>
      <c r="J25" s="28"/>
      <c r="K25" s="33"/>
      <c r="L25" s="33"/>
      <c r="M25" s="33"/>
      <c r="N25" s="33"/>
      <c r="O25" s="26"/>
      <c r="P25" s="33"/>
      <c r="Q25" s="182"/>
      <c r="R25" s="33"/>
      <c r="S25" s="33"/>
      <c r="T25" s="33"/>
      <c r="U25" s="9"/>
      <c r="V25" s="9"/>
      <c r="W25" s="9"/>
    </row>
    <row r="26" spans="1:23" ht="12.75">
      <c r="A26" s="5">
        <f t="shared" si="0"/>
        <v>16</v>
      </c>
      <c r="B26" s="5"/>
      <c r="C26" s="29"/>
      <c r="D26" s="23"/>
      <c r="E26" s="20"/>
      <c r="F26" s="24"/>
      <c r="G26" s="20"/>
      <c r="H26" s="20"/>
      <c r="I26" s="20"/>
      <c r="J26" s="28"/>
      <c r="K26" s="33"/>
      <c r="L26" s="33"/>
      <c r="M26" s="33"/>
      <c r="N26" s="33"/>
      <c r="O26" s="26"/>
      <c r="P26" s="33"/>
      <c r="Q26" s="182"/>
      <c r="R26" s="33"/>
      <c r="S26" s="33"/>
      <c r="T26" s="33"/>
      <c r="U26" s="9"/>
      <c r="V26" s="9"/>
      <c r="W26" s="9"/>
    </row>
    <row r="27" spans="1:23" ht="12.75">
      <c r="A27" s="5">
        <f t="shared" si="0"/>
        <v>17</v>
      </c>
      <c r="B27" s="5"/>
      <c r="C27" s="29"/>
      <c r="D27" s="23"/>
      <c r="E27" s="20"/>
      <c r="F27" s="24"/>
      <c r="G27" s="20"/>
      <c r="H27" s="20"/>
      <c r="I27" s="20"/>
      <c r="J27" s="28"/>
      <c r="K27" s="33"/>
      <c r="L27" s="33"/>
      <c r="M27" s="33"/>
      <c r="N27" s="33"/>
      <c r="O27" s="26"/>
      <c r="P27" s="33"/>
      <c r="Q27" s="182"/>
      <c r="R27" s="33"/>
      <c r="S27" s="33"/>
      <c r="T27" s="33"/>
      <c r="U27" s="9"/>
      <c r="V27" s="9"/>
      <c r="W27" s="9"/>
    </row>
    <row r="28" spans="1:23" ht="12.75">
      <c r="A28" s="5">
        <f t="shared" si="0"/>
        <v>18</v>
      </c>
      <c r="B28" s="5"/>
      <c r="C28" s="48"/>
      <c r="D28" s="23"/>
      <c r="E28" s="20"/>
      <c r="F28" s="26">
        <f>+F24</f>
        <v>1</v>
      </c>
      <c r="G28" s="33">
        <f>+E28*F28</f>
        <v>0</v>
      </c>
      <c r="H28" s="33"/>
      <c r="I28" s="20"/>
      <c r="J28" s="192">
        <f>+J24</f>
        <v>0.9909421424461439</v>
      </c>
      <c r="K28" s="33">
        <f>+I28*I28</f>
        <v>0</v>
      </c>
      <c r="L28" s="33"/>
      <c r="M28" s="33">
        <f>+K28-G28</f>
        <v>0</v>
      </c>
      <c r="N28" s="33"/>
      <c r="O28" s="26">
        <f>+O9</f>
        <v>0.0815</v>
      </c>
      <c r="P28" s="33"/>
      <c r="Q28" s="182">
        <f>+Q9</f>
        <v>1.6230755440453266</v>
      </c>
      <c r="R28" s="33"/>
      <c r="S28" s="33">
        <f aca="true" t="shared" si="5" ref="S28:S35">-(M28*O28)*Q28</f>
        <v>0</v>
      </c>
      <c r="T28" s="33"/>
      <c r="U28" s="9"/>
      <c r="V28" s="9"/>
      <c r="W28" s="9"/>
    </row>
    <row r="29" spans="1:23" ht="12.75">
      <c r="A29" s="5">
        <f t="shared" si="0"/>
        <v>19</v>
      </c>
      <c r="B29" s="5"/>
      <c r="C29" s="48"/>
      <c r="D29" s="23"/>
      <c r="E29" s="20"/>
      <c r="F29" s="26">
        <f>+F24</f>
        <v>1</v>
      </c>
      <c r="G29" s="33">
        <f aca="true" t="shared" si="6" ref="G29:G35">+E29*F29</f>
        <v>0</v>
      </c>
      <c r="H29" s="33"/>
      <c r="I29" s="20"/>
      <c r="J29" s="192">
        <f>+J24</f>
        <v>0.9909421424461439</v>
      </c>
      <c r="K29" s="33">
        <f>+I29*I29</f>
        <v>0</v>
      </c>
      <c r="L29" s="33"/>
      <c r="M29" s="33">
        <f aca="true" t="shared" si="7" ref="M29:M35">+K29-G29</f>
        <v>0</v>
      </c>
      <c r="N29" s="33"/>
      <c r="O29" s="26">
        <f>+O9</f>
        <v>0.0815</v>
      </c>
      <c r="P29" s="33"/>
      <c r="Q29" s="182">
        <f>+Q9</f>
        <v>1.6230755440453266</v>
      </c>
      <c r="R29" s="33"/>
      <c r="S29" s="33">
        <f t="shared" si="5"/>
        <v>0</v>
      </c>
      <c r="T29" s="33"/>
      <c r="U29" s="9"/>
      <c r="V29" s="9"/>
      <c r="W29" s="9"/>
    </row>
    <row r="30" spans="1:23" ht="12.75">
      <c r="A30" s="5">
        <f t="shared" si="0"/>
        <v>20</v>
      </c>
      <c r="B30" s="5"/>
      <c r="C30" s="23"/>
      <c r="D30" s="23"/>
      <c r="E30" s="20"/>
      <c r="F30" s="26">
        <f>+F24</f>
        <v>1</v>
      </c>
      <c r="G30" s="33">
        <f t="shared" si="6"/>
        <v>0</v>
      </c>
      <c r="H30" s="33"/>
      <c r="I30" s="20"/>
      <c r="J30" s="26">
        <f>+J24</f>
        <v>0.9909421424461439</v>
      </c>
      <c r="K30" s="33">
        <f aca="true" t="shared" si="8" ref="K30:K35">+I30*J30</f>
        <v>0</v>
      </c>
      <c r="L30" s="33"/>
      <c r="M30" s="33">
        <f t="shared" si="7"/>
        <v>0</v>
      </c>
      <c r="N30" s="33"/>
      <c r="O30" s="26">
        <f>+O9</f>
        <v>0.0815</v>
      </c>
      <c r="P30" s="33"/>
      <c r="Q30" s="182">
        <f>+Q9</f>
        <v>1.6230755440453266</v>
      </c>
      <c r="R30" s="33"/>
      <c r="S30" s="33">
        <f t="shared" si="5"/>
        <v>0</v>
      </c>
      <c r="T30" s="33"/>
      <c r="U30" s="9"/>
      <c r="V30" s="9"/>
      <c r="W30" s="9"/>
    </row>
    <row r="31" spans="1:23" ht="12.75">
      <c r="A31" s="5">
        <f t="shared" si="0"/>
        <v>21</v>
      </c>
      <c r="B31" s="5"/>
      <c r="C31" s="23"/>
      <c r="D31" s="23"/>
      <c r="E31" s="20"/>
      <c r="F31" s="26">
        <f>+F24</f>
        <v>1</v>
      </c>
      <c r="G31" s="33">
        <f t="shared" si="6"/>
        <v>0</v>
      </c>
      <c r="H31" s="33"/>
      <c r="I31" s="20"/>
      <c r="J31" s="26">
        <f>+J24</f>
        <v>0.9909421424461439</v>
      </c>
      <c r="K31" s="33">
        <f t="shared" si="8"/>
        <v>0</v>
      </c>
      <c r="L31" s="33"/>
      <c r="M31" s="33">
        <f t="shared" si="7"/>
        <v>0</v>
      </c>
      <c r="N31" s="33"/>
      <c r="O31" s="26">
        <f>+O9</f>
        <v>0.0815</v>
      </c>
      <c r="P31" s="33"/>
      <c r="Q31" s="182">
        <f>+Q9</f>
        <v>1.6230755440453266</v>
      </c>
      <c r="R31" s="33"/>
      <c r="S31" s="33">
        <f t="shared" si="5"/>
        <v>0</v>
      </c>
      <c r="T31" s="33"/>
      <c r="U31" s="9"/>
      <c r="V31" s="9"/>
      <c r="W31" s="9"/>
    </row>
    <row r="32" spans="1:23" ht="12.75">
      <c r="A32" s="5">
        <f t="shared" si="0"/>
        <v>22</v>
      </c>
      <c r="B32" s="5"/>
      <c r="C32" s="23" t="s">
        <v>823</v>
      </c>
      <c r="D32" s="23"/>
      <c r="E32" s="20">
        <v>366130</v>
      </c>
      <c r="F32" s="26">
        <f>+F24</f>
        <v>1</v>
      </c>
      <c r="G32" s="33">
        <f t="shared" si="6"/>
        <v>366130</v>
      </c>
      <c r="H32" s="33"/>
      <c r="I32" s="20">
        <v>0</v>
      </c>
      <c r="J32" s="26">
        <f>+J24</f>
        <v>0.9909421424461439</v>
      </c>
      <c r="K32" s="33">
        <f t="shared" si="8"/>
        <v>0</v>
      </c>
      <c r="L32" s="33"/>
      <c r="M32" s="33">
        <f t="shared" si="7"/>
        <v>-366130</v>
      </c>
      <c r="N32" s="33"/>
      <c r="O32" s="26">
        <f>+O9</f>
        <v>0.0815</v>
      </c>
      <c r="P32" s="33"/>
      <c r="Q32" s="182">
        <f>+Q9</f>
        <v>1.6230755440453266</v>
      </c>
      <c r="R32" s="33"/>
      <c r="S32" s="33">
        <f t="shared" si="5"/>
        <v>48431.91688871721</v>
      </c>
      <c r="T32" s="33"/>
      <c r="U32" s="9"/>
      <c r="V32" s="9"/>
      <c r="W32" s="9"/>
    </row>
    <row r="33" spans="1:23" ht="12.75">
      <c r="A33" s="5">
        <f t="shared" si="0"/>
        <v>23</v>
      </c>
      <c r="B33" s="5"/>
      <c r="C33" s="29" t="s">
        <v>824</v>
      </c>
      <c r="D33" s="23"/>
      <c r="E33" s="20">
        <v>1476637</v>
      </c>
      <c r="F33" s="26">
        <f>+F24</f>
        <v>1</v>
      </c>
      <c r="G33" s="151">
        <f t="shared" si="6"/>
        <v>1476637</v>
      </c>
      <c r="H33" s="33"/>
      <c r="I33" s="20">
        <v>1490134</v>
      </c>
      <c r="J33" s="26">
        <f>+J24</f>
        <v>0.9909421424461439</v>
      </c>
      <c r="K33" s="33">
        <f t="shared" si="8"/>
        <v>1476636.5784918421</v>
      </c>
      <c r="L33" s="33"/>
      <c r="M33" s="33">
        <f t="shared" si="7"/>
        <v>-0.42150815785862505</v>
      </c>
      <c r="N33" s="33"/>
      <c r="O33" s="26">
        <f>+O9</f>
        <v>0.0815</v>
      </c>
      <c r="P33" s="33"/>
      <c r="Q33" s="182">
        <f>+Q9</f>
        <v>1.6230755440453266</v>
      </c>
      <c r="R33" s="33"/>
      <c r="S33" s="33">
        <f t="shared" si="5"/>
        <v>0.055757375984828404</v>
      </c>
      <c r="T33" s="33"/>
      <c r="U33" s="9"/>
      <c r="V33" s="9"/>
      <c r="W33" s="9"/>
    </row>
    <row r="34" spans="1:23" ht="12.75">
      <c r="A34" s="5">
        <f t="shared" si="0"/>
        <v>24</v>
      </c>
      <c r="B34" s="5"/>
      <c r="C34" s="23" t="s">
        <v>820</v>
      </c>
      <c r="D34" s="23"/>
      <c r="E34" s="20">
        <v>0</v>
      </c>
      <c r="F34" s="26">
        <f>+F24</f>
        <v>1</v>
      </c>
      <c r="G34" s="33">
        <f t="shared" si="6"/>
        <v>0</v>
      </c>
      <c r="H34" s="33"/>
      <c r="I34" s="20">
        <v>0</v>
      </c>
      <c r="J34" s="26">
        <f>+J24</f>
        <v>0.9909421424461439</v>
      </c>
      <c r="K34" s="33">
        <f t="shared" si="8"/>
        <v>0</v>
      </c>
      <c r="L34" s="33"/>
      <c r="M34" s="33">
        <f t="shared" si="7"/>
        <v>0</v>
      </c>
      <c r="N34" s="33"/>
      <c r="O34" s="26">
        <f>+O9</f>
        <v>0.0815</v>
      </c>
      <c r="P34" s="33"/>
      <c r="Q34" s="182">
        <f>+Q9</f>
        <v>1.6230755440453266</v>
      </c>
      <c r="R34" s="33"/>
      <c r="S34" s="33">
        <f t="shared" si="5"/>
        <v>0</v>
      </c>
      <c r="T34" s="33"/>
      <c r="U34" s="9"/>
      <c r="V34" s="9"/>
      <c r="W34" s="9"/>
    </row>
    <row r="35" spans="1:23" ht="12.75">
      <c r="A35" s="5">
        <f t="shared" si="0"/>
        <v>25</v>
      </c>
      <c r="B35" s="5"/>
      <c r="C35" t="s">
        <v>24</v>
      </c>
      <c r="E35" s="9">
        <f>+E37-SUM(E28:E34)</f>
        <v>500256760</v>
      </c>
      <c r="F35" s="26">
        <f>+F24</f>
        <v>1</v>
      </c>
      <c r="G35" s="33">
        <f t="shared" si="6"/>
        <v>500256760</v>
      </c>
      <c r="H35" s="33"/>
      <c r="I35" s="9">
        <f>+I37-SUM(I28:I34)</f>
        <v>501828777</v>
      </c>
      <c r="J35" s="26">
        <f>+J24</f>
        <v>0.9909421424461439</v>
      </c>
      <c r="K35" s="33">
        <f t="shared" si="8"/>
        <v>497283283.4215082</v>
      </c>
      <c r="L35" s="33"/>
      <c r="M35" s="33">
        <f t="shared" si="7"/>
        <v>-2973476.578491807</v>
      </c>
      <c r="N35" s="33"/>
      <c r="O35" s="26">
        <f>+O9</f>
        <v>0.0815</v>
      </c>
      <c r="P35" s="33"/>
      <c r="Q35" s="182">
        <f>+Q9</f>
        <v>1.6230755440453266</v>
      </c>
      <c r="R35" s="33"/>
      <c r="S35" s="33">
        <f t="shared" si="5"/>
        <v>393333.43490034255</v>
      </c>
      <c r="T35" s="33"/>
      <c r="U35" s="9"/>
      <c r="V35" s="9"/>
      <c r="W35" s="9"/>
    </row>
    <row r="36" spans="1:23" ht="12.75">
      <c r="A36" s="5">
        <f t="shared" si="0"/>
        <v>26</v>
      </c>
      <c r="B36" s="5"/>
      <c r="E36" s="8" t="s">
        <v>58</v>
      </c>
      <c r="F36" s="38"/>
      <c r="G36" s="34" t="s">
        <v>58</v>
      </c>
      <c r="H36" s="33"/>
      <c r="I36" s="8" t="s">
        <v>58</v>
      </c>
      <c r="J36" s="194"/>
      <c r="K36" s="34" t="s">
        <v>31</v>
      </c>
      <c r="L36" s="33"/>
      <c r="M36" s="34" t="s">
        <v>31</v>
      </c>
      <c r="N36" s="33"/>
      <c r="O36" s="38"/>
      <c r="P36" s="33"/>
      <c r="Q36" s="182"/>
      <c r="R36" s="33"/>
      <c r="S36" s="34" t="s">
        <v>31</v>
      </c>
      <c r="T36" s="33"/>
      <c r="U36" s="8"/>
      <c r="V36" s="9"/>
      <c r="W36" s="9"/>
    </row>
    <row r="37" spans="1:23" ht="12.75">
      <c r="A37" s="5">
        <f t="shared" si="0"/>
        <v>27</v>
      </c>
      <c r="B37" s="5"/>
      <c r="C37" s="23" t="s">
        <v>22</v>
      </c>
      <c r="D37" s="29" t="s">
        <v>18</v>
      </c>
      <c r="E37" s="20">
        <v>502099527</v>
      </c>
      <c r="F37" s="26"/>
      <c r="G37" s="33">
        <f>SUM(G28:G36)</f>
        <v>502099527</v>
      </c>
      <c r="H37" s="33"/>
      <c r="I37" s="20">
        <f>501828777+1490134</f>
        <v>503318911</v>
      </c>
      <c r="J37" s="87"/>
      <c r="K37" s="33">
        <f>SUM(K28:K36)</f>
        <v>498759920.00000006</v>
      </c>
      <c r="L37" s="33"/>
      <c r="M37" s="33">
        <f>SUM(M28:M36)</f>
        <v>-3339606.9999999646</v>
      </c>
      <c r="N37" s="33"/>
      <c r="O37" s="26"/>
      <c r="P37" s="33"/>
      <c r="Q37" s="182"/>
      <c r="R37" s="33"/>
      <c r="S37" s="33">
        <f>SUM(S28:S36)</f>
        <v>441765.4075464357</v>
      </c>
      <c r="T37" s="33"/>
      <c r="U37" s="9"/>
      <c r="V37" s="9"/>
      <c r="W37" s="9"/>
    </row>
    <row r="38" spans="1:23" ht="12.75">
      <c r="A38" s="5">
        <f t="shared" si="0"/>
        <v>28</v>
      </c>
      <c r="B38" s="5"/>
      <c r="C38" s="23"/>
      <c r="D38" s="29"/>
      <c r="E38" s="20"/>
      <c r="F38" s="24"/>
      <c r="G38" s="20"/>
      <c r="H38" s="20"/>
      <c r="I38" s="20"/>
      <c r="J38" s="95"/>
      <c r="K38" s="33"/>
      <c r="L38" s="33"/>
      <c r="M38" s="33"/>
      <c r="N38" s="33"/>
      <c r="O38" s="26"/>
      <c r="P38" s="33"/>
      <c r="Q38" s="182"/>
      <c r="R38" s="33"/>
      <c r="S38" s="33"/>
      <c r="T38" s="33"/>
      <c r="U38" s="9"/>
      <c r="V38" s="9"/>
      <c r="W38" s="9"/>
    </row>
    <row r="39" spans="1:23" ht="12.75">
      <c r="A39" s="5">
        <f t="shared" si="0"/>
        <v>29</v>
      </c>
      <c r="B39" s="5"/>
      <c r="C39" s="29" t="s">
        <v>227</v>
      </c>
      <c r="E39" s="9"/>
      <c r="F39" s="6"/>
      <c r="G39" s="9"/>
      <c r="H39" s="9"/>
      <c r="I39" s="9"/>
      <c r="J39" s="88"/>
      <c r="K39" s="33"/>
      <c r="L39" s="33"/>
      <c r="M39" s="33"/>
      <c r="N39" s="33"/>
      <c r="O39" s="26"/>
      <c r="P39" s="33"/>
      <c r="Q39" s="182"/>
      <c r="R39" s="33"/>
      <c r="S39" s="33"/>
      <c r="T39" s="33"/>
      <c r="U39" s="9"/>
      <c r="V39" s="9"/>
      <c r="W39" s="9"/>
    </row>
    <row r="40" spans="1:23" ht="12.75">
      <c r="A40" s="5">
        <f t="shared" si="0"/>
        <v>30</v>
      </c>
      <c r="B40" s="5"/>
      <c r="C40" s="23" t="s">
        <v>26</v>
      </c>
      <c r="D40" s="23"/>
      <c r="E40" s="20"/>
      <c r="F40" s="24"/>
      <c r="G40" s="20">
        <v>-2515815</v>
      </c>
      <c r="H40" s="20"/>
      <c r="I40" s="20"/>
      <c r="J40" s="95"/>
      <c r="K40" s="20">
        <v>-17446320</v>
      </c>
      <c r="L40" s="20"/>
      <c r="M40" s="33">
        <f aca="true" t="shared" si="9" ref="M40:M53">+K40-G40</f>
        <v>-14930505</v>
      </c>
      <c r="N40" s="33"/>
      <c r="O40" s="26">
        <f>+O9</f>
        <v>0.0815</v>
      </c>
      <c r="P40" s="33"/>
      <c r="Q40" s="182">
        <f>+Q9</f>
        <v>1.6230755440453266</v>
      </c>
      <c r="R40" s="33"/>
      <c r="S40" s="33">
        <f aca="true" t="shared" si="10" ref="S40:S53">+(M40*O40)*Q40</f>
        <v>-1975017.0083483371</v>
      </c>
      <c r="T40" s="33"/>
      <c r="U40" s="9"/>
      <c r="V40" s="9"/>
      <c r="W40" s="9"/>
    </row>
    <row r="41" spans="1:23" ht="12.75">
      <c r="A41" s="5">
        <f t="shared" si="0"/>
        <v>31</v>
      </c>
      <c r="B41" s="5"/>
      <c r="C41" s="29" t="s">
        <v>25</v>
      </c>
      <c r="D41" s="23"/>
      <c r="E41" s="20"/>
      <c r="F41" s="24"/>
      <c r="G41" s="21">
        <v>14918410</v>
      </c>
      <c r="H41" s="20"/>
      <c r="I41" s="20"/>
      <c r="J41" s="95"/>
      <c r="K41" s="20">
        <v>14918410</v>
      </c>
      <c r="L41" s="20"/>
      <c r="M41" s="33">
        <f t="shared" si="9"/>
        <v>0</v>
      </c>
      <c r="N41" s="33"/>
      <c r="O41" s="26">
        <f>+O9</f>
        <v>0.0815</v>
      </c>
      <c r="P41" s="33"/>
      <c r="Q41" s="182">
        <f>+Q9</f>
        <v>1.6230755440453266</v>
      </c>
      <c r="R41" s="33"/>
      <c r="S41" s="33">
        <f t="shared" si="10"/>
        <v>0</v>
      </c>
      <c r="T41" s="33"/>
      <c r="U41" s="9"/>
      <c r="V41" s="9"/>
      <c r="W41" s="9"/>
    </row>
    <row r="42" spans="1:23" ht="12.75">
      <c r="A42" s="5">
        <f t="shared" si="0"/>
        <v>32</v>
      </c>
      <c r="B42" s="5"/>
      <c r="C42" s="29" t="s">
        <v>819</v>
      </c>
      <c r="D42" s="23"/>
      <c r="E42" s="20"/>
      <c r="F42" s="24"/>
      <c r="G42" s="21">
        <v>2467194</v>
      </c>
      <c r="H42" s="20"/>
      <c r="I42" s="20"/>
      <c r="J42" s="95"/>
      <c r="K42" s="20">
        <v>2467194</v>
      </c>
      <c r="L42" s="20"/>
      <c r="M42" s="33">
        <f t="shared" si="9"/>
        <v>0</v>
      </c>
      <c r="N42" s="33"/>
      <c r="O42" s="26">
        <f>+O9</f>
        <v>0.0815</v>
      </c>
      <c r="P42" s="33"/>
      <c r="Q42" s="182">
        <f>+Q9</f>
        <v>1.6230755440453266</v>
      </c>
      <c r="R42" s="33"/>
      <c r="S42" s="33">
        <f t="shared" si="10"/>
        <v>0</v>
      </c>
      <c r="T42" s="33"/>
      <c r="U42" s="9"/>
      <c r="V42" s="9"/>
      <c r="W42" s="9"/>
    </row>
    <row r="43" spans="1:23" ht="12.75">
      <c r="A43" s="5">
        <f t="shared" si="0"/>
        <v>33</v>
      </c>
      <c r="B43" s="5"/>
      <c r="C43" s="29" t="s">
        <v>252</v>
      </c>
      <c r="D43" s="23"/>
      <c r="E43" s="20"/>
      <c r="F43" s="24"/>
      <c r="G43" s="21">
        <v>142786</v>
      </c>
      <c r="H43" s="20"/>
      <c r="I43" s="20"/>
      <c r="J43" s="95"/>
      <c r="K43" s="20">
        <v>142786</v>
      </c>
      <c r="L43" s="20"/>
      <c r="M43" s="33">
        <f t="shared" si="9"/>
        <v>0</v>
      </c>
      <c r="N43" s="33"/>
      <c r="O43" s="26">
        <f>+O9</f>
        <v>0.0815</v>
      </c>
      <c r="P43" s="33"/>
      <c r="Q43" s="182">
        <f>+Q9</f>
        <v>1.6230755440453266</v>
      </c>
      <c r="R43" s="33"/>
      <c r="S43" s="33">
        <f t="shared" si="10"/>
        <v>0</v>
      </c>
      <c r="T43" s="33"/>
      <c r="U43" s="9"/>
      <c r="V43" s="9"/>
      <c r="W43" s="9"/>
    </row>
    <row r="44" spans="1:23" ht="12.75">
      <c r="A44" s="5">
        <f t="shared" si="0"/>
        <v>34</v>
      </c>
      <c r="B44" s="5"/>
      <c r="C44" s="29" t="s">
        <v>448</v>
      </c>
      <c r="D44" s="23"/>
      <c r="E44" s="20"/>
      <c r="F44" s="24"/>
      <c r="G44" s="21">
        <v>1080341</v>
      </c>
      <c r="H44" s="20"/>
      <c r="I44" s="20"/>
      <c r="J44" s="95"/>
      <c r="K44" s="20">
        <v>1080341</v>
      </c>
      <c r="L44" s="20"/>
      <c r="M44" s="33">
        <f t="shared" si="9"/>
        <v>0</v>
      </c>
      <c r="N44" s="33"/>
      <c r="O44" s="26">
        <f>+O9</f>
        <v>0.0815</v>
      </c>
      <c r="P44" s="33"/>
      <c r="Q44" s="182">
        <f>+Q9</f>
        <v>1.6230755440453266</v>
      </c>
      <c r="R44" s="33"/>
      <c r="S44" s="33">
        <f t="shared" si="10"/>
        <v>0</v>
      </c>
      <c r="T44" s="33"/>
      <c r="U44" s="9"/>
      <c r="V44" s="9"/>
      <c r="W44" s="9"/>
    </row>
    <row r="45" spans="1:23" ht="12.75">
      <c r="A45" s="5">
        <f t="shared" si="0"/>
        <v>35</v>
      </c>
      <c r="B45" s="5"/>
      <c r="C45" s="29" t="s">
        <v>442</v>
      </c>
      <c r="D45" s="23"/>
      <c r="E45" s="20"/>
      <c r="F45" s="24"/>
      <c r="G45" s="21">
        <v>221619</v>
      </c>
      <c r="H45" s="20"/>
      <c r="I45" s="20"/>
      <c r="J45" s="95"/>
      <c r="K45" s="20">
        <v>221619</v>
      </c>
      <c r="L45" s="20"/>
      <c r="M45" s="33">
        <f t="shared" si="9"/>
        <v>0</v>
      </c>
      <c r="N45" s="33"/>
      <c r="O45" s="26">
        <f>+O9</f>
        <v>0.0815</v>
      </c>
      <c r="P45" s="33"/>
      <c r="Q45" s="182">
        <f>+Q9</f>
        <v>1.6230755440453266</v>
      </c>
      <c r="R45" s="33"/>
      <c r="S45" s="33">
        <f t="shared" si="10"/>
        <v>0</v>
      </c>
      <c r="T45" s="33"/>
      <c r="U45" s="9"/>
      <c r="V45" s="9"/>
      <c r="W45" s="9"/>
    </row>
    <row r="46" spans="1:23" ht="12.75">
      <c r="A46" s="5">
        <f t="shared" si="0"/>
        <v>36</v>
      </c>
      <c r="B46" s="5"/>
      <c r="C46" s="23" t="s">
        <v>253</v>
      </c>
      <c r="D46" s="23"/>
      <c r="E46" s="20"/>
      <c r="F46" s="24"/>
      <c r="G46" s="20">
        <v>1505960</v>
      </c>
      <c r="H46" s="20"/>
      <c r="I46" s="20"/>
      <c r="J46" s="95"/>
      <c r="K46" s="20">
        <v>1482919</v>
      </c>
      <c r="L46" s="20"/>
      <c r="M46" s="33">
        <f t="shared" si="9"/>
        <v>-23041</v>
      </c>
      <c r="N46" s="33"/>
      <c r="O46" s="26">
        <f>+O9</f>
        <v>0.0815</v>
      </c>
      <c r="P46" s="33"/>
      <c r="Q46" s="182">
        <f>+Q9</f>
        <v>1.6230755440453266</v>
      </c>
      <c r="R46" s="33"/>
      <c r="S46" s="33">
        <f t="shared" si="10"/>
        <v>-3047.8786142433923</v>
      </c>
      <c r="T46" s="33"/>
      <c r="U46" s="9"/>
      <c r="V46" s="9"/>
      <c r="W46" s="9"/>
    </row>
    <row r="47" spans="1:23" ht="12.75">
      <c r="A47" s="5">
        <f t="shared" si="0"/>
        <v>37</v>
      </c>
      <c r="B47" s="5"/>
      <c r="C47" s="23" t="s">
        <v>254</v>
      </c>
      <c r="D47" s="23"/>
      <c r="E47" s="20"/>
      <c r="F47" s="24"/>
      <c r="G47" s="20">
        <v>8298085</v>
      </c>
      <c r="H47" s="20"/>
      <c r="I47" s="20"/>
      <c r="J47" s="95"/>
      <c r="K47" s="20">
        <v>7053821</v>
      </c>
      <c r="L47" s="20"/>
      <c r="M47" s="33">
        <f t="shared" si="9"/>
        <v>-1244264</v>
      </c>
      <c r="N47" s="33"/>
      <c r="O47" s="26">
        <f>+O9</f>
        <v>0.0815</v>
      </c>
      <c r="P47" s="33"/>
      <c r="Q47" s="182">
        <f>+Q9</f>
        <v>1.6230755440453266</v>
      </c>
      <c r="R47" s="33"/>
      <c r="S47" s="33">
        <f t="shared" si="10"/>
        <v>-164592.05920198516</v>
      </c>
      <c r="T47" s="33"/>
      <c r="U47" s="9"/>
      <c r="V47" s="9"/>
      <c r="W47" s="9"/>
    </row>
    <row r="48" spans="1:23" ht="12.75">
      <c r="A48" s="5">
        <f t="shared" si="0"/>
        <v>38</v>
      </c>
      <c r="B48" s="5"/>
      <c r="C48" s="23" t="s">
        <v>255</v>
      </c>
      <c r="D48" s="23"/>
      <c r="E48" s="20"/>
      <c r="F48" s="24"/>
      <c r="G48" s="20">
        <v>0</v>
      </c>
      <c r="H48" s="20"/>
      <c r="I48" s="20"/>
      <c r="J48" s="95"/>
      <c r="K48" s="20">
        <v>0</v>
      </c>
      <c r="L48" s="20"/>
      <c r="M48" s="33">
        <f t="shared" si="9"/>
        <v>0</v>
      </c>
      <c r="N48" s="33"/>
      <c r="O48" s="26">
        <f>+O9</f>
        <v>0.0815</v>
      </c>
      <c r="P48" s="33"/>
      <c r="Q48" s="182">
        <f>+Q9</f>
        <v>1.6230755440453266</v>
      </c>
      <c r="R48" s="33"/>
      <c r="S48" s="33">
        <f t="shared" si="10"/>
        <v>0</v>
      </c>
      <c r="T48" s="33"/>
      <c r="U48" s="9"/>
      <c r="V48" s="9"/>
      <c r="W48" s="9"/>
    </row>
    <row r="49" spans="1:23" ht="12.75">
      <c r="A49" s="5">
        <f t="shared" si="0"/>
        <v>39</v>
      </c>
      <c r="B49" s="5"/>
      <c r="C49" s="23" t="s">
        <v>449</v>
      </c>
      <c r="D49" s="23"/>
      <c r="E49" s="20"/>
      <c r="F49" s="24"/>
      <c r="G49" s="20">
        <f>16745609+1454438</f>
        <v>18200047</v>
      </c>
      <c r="H49" s="20"/>
      <c r="I49" s="20"/>
      <c r="J49" s="95"/>
      <c r="K49" s="20">
        <v>10298625</v>
      </c>
      <c r="L49" s="20"/>
      <c r="M49" s="33">
        <f t="shared" si="9"/>
        <v>-7901422</v>
      </c>
      <c r="N49" s="33"/>
      <c r="O49" s="26">
        <f>+O9</f>
        <v>0.0815</v>
      </c>
      <c r="P49" s="33"/>
      <c r="Q49" s="182">
        <f>+Q9</f>
        <v>1.6230755440453266</v>
      </c>
      <c r="R49" s="33"/>
      <c r="S49" s="33">
        <f t="shared" si="10"/>
        <v>-1045205.2921276096</v>
      </c>
      <c r="T49" s="33"/>
      <c r="U49" s="9"/>
      <c r="V49" s="9"/>
      <c r="W49" s="9"/>
    </row>
    <row r="50" spans="1:23" ht="12.75">
      <c r="A50" s="5">
        <f t="shared" si="0"/>
        <v>40</v>
      </c>
      <c r="B50" s="5"/>
      <c r="C50" s="53" t="s">
        <v>256</v>
      </c>
      <c r="D50" s="23"/>
      <c r="E50" s="20"/>
      <c r="F50" s="24"/>
      <c r="G50" s="20">
        <v>1391872</v>
      </c>
      <c r="H50" s="20"/>
      <c r="I50" s="20"/>
      <c r="J50" s="95"/>
      <c r="K50" s="20">
        <v>1391880</v>
      </c>
      <c r="L50" s="20"/>
      <c r="M50" s="33">
        <f t="shared" si="9"/>
        <v>8</v>
      </c>
      <c r="N50" s="33"/>
      <c r="O50" s="26">
        <f>+O9</f>
        <v>0.0815</v>
      </c>
      <c r="P50" s="33"/>
      <c r="Q50" s="182">
        <f>+Q9</f>
        <v>1.6230755440453266</v>
      </c>
      <c r="R50" s="33"/>
      <c r="S50" s="33">
        <f t="shared" si="10"/>
        <v>1.058245254717553</v>
      </c>
      <c r="T50" s="33"/>
      <c r="U50" s="9"/>
      <c r="V50" s="9"/>
      <c r="W50" s="9"/>
    </row>
    <row r="51" spans="1:23" ht="12.75">
      <c r="A51" s="5">
        <f t="shared" si="0"/>
        <v>41</v>
      </c>
      <c r="B51" s="5"/>
      <c r="C51" s="53" t="s">
        <v>257</v>
      </c>
      <c r="D51" s="23"/>
      <c r="E51" s="20"/>
      <c r="F51" s="24"/>
      <c r="G51" s="20">
        <v>1421181</v>
      </c>
      <c r="H51" s="20"/>
      <c r="I51" s="20"/>
      <c r="J51" s="95"/>
      <c r="K51" s="20">
        <v>1421182</v>
      </c>
      <c r="L51" s="20"/>
      <c r="M51" s="33">
        <f t="shared" si="9"/>
        <v>1</v>
      </c>
      <c r="N51" s="33"/>
      <c r="O51" s="26">
        <f>+O9</f>
        <v>0.0815</v>
      </c>
      <c r="P51" s="33"/>
      <c r="Q51" s="182">
        <f>+Q9</f>
        <v>1.6230755440453266</v>
      </c>
      <c r="R51" s="33"/>
      <c r="S51" s="33">
        <f t="shared" si="10"/>
        <v>0.13228065683969412</v>
      </c>
      <c r="T51" s="33"/>
      <c r="U51" s="9"/>
      <c r="V51" s="9"/>
      <c r="W51" s="9"/>
    </row>
    <row r="52" spans="1:23" ht="12.75">
      <c r="A52" s="5">
        <f t="shared" si="0"/>
        <v>42</v>
      </c>
      <c r="B52" s="5"/>
      <c r="C52" s="53" t="s">
        <v>443</v>
      </c>
      <c r="D52" s="23"/>
      <c r="E52" s="20"/>
      <c r="F52" s="24"/>
      <c r="G52" s="20">
        <v>5497628</v>
      </c>
      <c r="H52" s="20"/>
      <c r="I52" s="20"/>
      <c r="J52" s="95"/>
      <c r="K52" s="20">
        <v>0</v>
      </c>
      <c r="L52" s="20"/>
      <c r="M52" s="33">
        <f t="shared" si="9"/>
        <v>-5497628</v>
      </c>
      <c r="N52" s="33"/>
      <c r="O52" s="26">
        <f>+O9</f>
        <v>0.0815</v>
      </c>
      <c r="P52" s="33"/>
      <c r="Q52" s="182">
        <f>+Q9</f>
        <v>1.6230755440453266</v>
      </c>
      <c r="R52" s="33"/>
      <c r="S52" s="33">
        <f t="shared" si="10"/>
        <v>-727229.842900294</v>
      </c>
      <c r="T52" s="33"/>
      <c r="U52" s="9"/>
      <c r="V52" s="9"/>
      <c r="W52" s="9"/>
    </row>
    <row r="53" spans="1:23" ht="12.75">
      <c r="A53" s="5">
        <f t="shared" si="0"/>
        <v>43</v>
      </c>
      <c r="B53" s="5"/>
      <c r="C53" s="53" t="s">
        <v>444</v>
      </c>
      <c r="D53" s="23"/>
      <c r="E53" s="20"/>
      <c r="F53" s="24"/>
      <c r="G53" s="20">
        <v>0</v>
      </c>
      <c r="H53" s="20"/>
      <c r="I53" s="20"/>
      <c r="J53" s="95"/>
      <c r="K53" s="20">
        <v>0</v>
      </c>
      <c r="L53" s="20"/>
      <c r="M53" s="33">
        <f t="shared" si="9"/>
        <v>0</v>
      </c>
      <c r="N53" s="33"/>
      <c r="O53" s="26">
        <f>+O9</f>
        <v>0.0815</v>
      </c>
      <c r="P53" s="33"/>
      <c r="Q53" s="182">
        <f>+Q9</f>
        <v>1.6230755440453266</v>
      </c>
      <c r="R53" s="33"/>
      <c r="S53" s="33">
        <f t="shared" si="10"/>
        <v>0</v>
      </c>
      <c r="T53" s="33"/>
      <c r="U53" s="9"/>
      <c r="V53" s="9"/>
      <c r="W53" s="9"/>
    </row>
    <row r="54" spans="1:23" ht="12.75">
      <c r="A54" s="5">
        <f t="shared" si="0"/>
        <v>44</v>
      </c>
      <c r="B54" s="5"/>
      <c r="C54" s="53"/>
      <c r="D54" s="23"/>
      <c r="E54" s="20"/>
      <c r="F54" s="24"/>
      <c r="G54" s="20"/>
      <c r="H54" s="20"/>
      <c r="I54" s="20"/>
      <c r="J54" s="95"/>
      <c r="K54" s="20"/>
      <c r="L54" s="20"/>
      <c r="M54" s="33"/>
      <c r="N54" s="33"/>
      <c r="O54" s="26"/>
      <c r="P54" s="33"/>
      <c r="Q54" s="182"/>
      <c r="R54" s="33"/>
      <c r="S54" s="33"/>
      <c r="T54" s="33"/>
      <c r="U54" s="9"/>
      <c r="V54" s="9"/>
      <c r="W54" s="9"/>
    </row>
    <row r="55" spans="1:23" ht="12.75">
      <c r="A55" s="5">
        <f t="shared" si="0"/>
        <v>45</v>
      </c>
      <c r="B55" s="5"/>
      <c r="C55" s="29" t="s">
        <v>228</v>
      </c>
      <c r="D55" s="23"/>
      <c r="E55" s="20"/>
      <c r="F55" s="24"/>
      <c r="G55" s="20"/>
      <c r="H55" s="20"/>
      <c r="I55" s="20"/>
      <c r="J55" s="95"/>
      <c r="K55" s="20"/>
      <c r="L55" s="20"/>
      <c r="M55" s="33"/>
      <c r="N55" s="33"/>
      <c r="O55" s="26"/>
      <c r="P55" s="33"/>
      <c r="Q55" s="182"/>
      <c r="R55" s="33"/>
      <c r="S55" s="33"/>
      <c r="T55" s="33"/>
      <c r="U55" s="9"/>
      <c r="V55" s="9"/>
      <c r="W55" s="9"/>
    </row>
    <row r="56" spans="1:23" ht="12.75">
      <c r="A56" s="5">
        <f t="shared" si="0"/>
        <v>46</v>
      </c>
      <c r="B56" s="5"/>
      <c r="C56" s="23" t="s">
        <v>27</v>
      </c>
      <c r="D56" s="23"/>
      <c r="E56" s="20"/>
      <c r="F56" s="24"/>
      <c r="G56" s="20"/>
      <c r="H56" s="20"/>
      <c r="I56" s="20"/>
      <c r="J56" s="95"/>
      <c r="K56" s="20">
        <f>919357+99910</f>
        <v>1019267</v>
      </c>
      <c r="L56" s="20"/>
      <c r="M56" s="33">
        <f aca="true" t="shared" si="11" ref="M56:M64">+K56-G56</f>
        <v>1019267</v>
      </c>
      <c r="N56" s="33"/>
      <c r="O56" s="26">
        <f>+O9</f>
        <v>0.0815</v>
      </c>
      <c r="P56" s="33"/>
      <c r="Q56" s="182">
        <f>+Q9</f>
        <v>1.6230755440453266</v>
      </c>
      <c r="R56" s="33"/>
      <c r="S56" s="33">
        <f aca="true" t="shared" si="12" ref="S56:S64">-(M56*O56)*Q56</f>
        <v>-134829.30825502452</v>
      </c>
      <c r="T56" s="33"/>
      <c r="U56" s="9"/>
      <c r="V56" s="9"/>
      <c r="W56" s="9"/>
    </row>
    <row r="57" spans="1:23" ht="12.75">
      <c r="A57" s="5">
        <f t="shared" si="0"/>
        <v>47</v>
      </c>
      <c r="B57" s="5"/>
      <c r="C57" s="23" t="s">
        <v>28</v>
      </c>
      <c r="D57" s="23"/>
      <c r="E57" s="20"/>
      <c r="F57" s="24"/>
      <c r="G57" s="20"/>
      <c r="H57" s="20"/>
      <c r="I57" s="20"/>
      <c r="J57" s="95"/>
      <c r="K57" s="20">
        <v>6080261</v>
      </c>
      <c r="L57" s="20"/>
      <c r="M57" s="33">
        <f t="shared" si="11"/>
        <v>6080261</v>
      </c>
      <c r="N57" s="33"/>
      <c r="O57" s="26">
        <f>+O9</f>
        <v>0.0815</v>
      </c>
      <c r="P57" s="33"/>
      <c r="Q57" s="182">
        <f>+Q9</f>
        <v>1.6230755440453266</v>
      </c>
      <c r="R57" s="33"/>
      <c r="S57" s="33">
        <f t="shared" si="12"/>
        <v>-804300.9188367755</v>
      </c>
      <c r="T57" s="33"/>
      <c r="U57" s="9"/>
      <c r="V57" s="9"/>
      <c r="W57" s="9"/>
    </row>
    <row r="58" spans="1:23" ht="12.75">
      <c r="A58" s="5">
        <f t="shared" si="0"/>
        <v>48</v>
      </c>
      <c r="B58" s="5"/>
      <c r="C58" s="29" t="s">
        <v>29</v>
      </c>
      <c r="D58" s="23"/>
      <c r="E58" s="20"/>
      <c r="F58" s="24"/>
      <c r="G58" s="21">
        <v>5119690</v>
      </c>
      <c r="H58" s="20"/>
      <c r="I58" s="20"/>
      <c r="J58" s="95"/>
      <c r="K58" s="20">
        <v>5119690</v>
      </c>
      <c r="L58" s="20"/>
      <c r="M58" s="33">
        <f t="shared" si="11"/>
        <v>0</v>
      </c>
      <c r="N58" s="33"/>
      <c r="O58" s="26">
        <f>+O9</f>
        <v>0.0815</v>
      </c>
      <c r="P58" s="33"/>
      <c r="Q58" s="182">
        <f>+Q9</f>
        <v>1.6230755440453266</v>
      </c>
      <c r="R58" s="33"/>
      <c r="S58" s="33">
        <f t="shared" si="12"/>
        <v>0</v>
      </c>
      <c r="T58" s="33"/>
      <c r="U58" s="9"/>
      <c r="V58" s="9"/>
      <c r="W58" s="9"/>
    </row>
    <row r="59" spans="1:23" ht="12.75">
      <c r="A59" s="5">
        <f t="shared" si="0"/>
        <v>49</v>
      </c>
      <c r="B59" s="5"/>
      <c r="C59" s="23" t="s">
        <v>30</v>
      </c>
      <c r="D59" s="23"/>
      <c r="E59" s="20"/>
      <c r="F59" s="24"/>
      <c r="G59" s="20">
        <v>2760633</v>
      </c>
      <c r="H59" s="20"/>
      <c r="I59" s="20"/>
      <c r="J59" s="95"/>
      <c r="K59" s="20">
        <v>2760632</v>
      </c>
      <c r="L59" s="20"/>
      <c r="M59" s="33">
        <f t="shared" si="11"/>
        <v>-1</v>
      </c>
      <c r="N59" s="33"/>
      <c r="O59" s="26">
        <f>+O9</f>
        <v>0.0815</v>
      </c>
      <c r="P59" s="33"/>
      <c r="Q59" s="182">
        <f>+Q9</f>
        <v>1.6230755440453266</v>
      </c>
      <c r="R59" s="33"/>
      <c r="S59" s="33">
        <f t="shared" si="12"/>
        <v>0.13228065683969412</v>
      </c>
      <c r="T59" s="33"/>
      <c r="U59" s="9"/>
      <c r="V59" s="9"/>
      <c r="W59" s="9"/>
    </row>
    <row r="60" spans="1:23" ht="12.75">
      <c r="A60" s="5">
        <f t="shared" si="0"/>
        <v>50</v>
      </c>
      <c r="B60" s="5"/>
      <c r="C60" s="29" t="s">
        <v>258</v>
      </c>
      <c r="D60" s="23"/>
      <c r="E60" s="20"/>
      <c r="F60" s="24"/>
      <c r="G60" s="21">
        <v>78834905</v>
      </c>
      <c r="H60" s="20"/>
      <c r="I60" s="20"/>
      <c r="J60" s="95"/>
      <c r="K60" s="20">
        <f>58362711+20472194</f>
        <v>78834905</v>
      </c>
      <c r="L60" s="20"/>
      <c r="M60" s="33">
        <f t="shared" si="11"/>
        <v>0</v>
      </c>
      <c r="N60" s="33"/>
      <c r="O60" s="26">
        <f>+O9</f>
        <v>0.0815</v>
      </c>
      <c r="P60" s="33"/>
      <c r="Q60" s="182">
        <f>+Q9</f>
        <v>1.6230755440453266</v>
      </c>
      <c r="R60" s="33"/>
      <c r="S60" s="33">
        <f t="shared" si="12"/>
        <v>0</v>
      </c>
      <c r="T60" s="33"/>
      <c r="U60" s="9"/>
      <c r="V60" s="9"/>
      <c r="W60" s="9"/>
    </row>
    <row r="61" spans="1:23" ht="12.75">
      <c r="A61" s="5">
        <f t="shared" si="0"/>
        <v>51</v>
      </c>
      <c r="B61" s="5"/>
      <c r="C61" s="23" t="s">
        <v>446</v>
      </c>
      <c r="D61" s="23"/>
      <c r="E61" s="20"/>
      <c r="F61" s="24"/>
      <c r="G61" s="20">
        <v>818979</v>
      </c>
      <c r="H61" s="20"/>
      <c r="I61" s="20"/>
      <c r="J61" s="95"/>
      <c r="K61" s="20">
        <v>0</v>
      </c>
      <c r="L61" s="20"/>
      <c r="M61" s="33">
        <f t="shared" si="11"/>
        <v>-818979</v>
      </c>
      <c r="N61" s="33"/>
      <c r="O61" s="26">
        <f>+O9</f>
        <v>0.0815</v>
      </c>
      <c r="P61" s="33"/>
      <c r="Q61" s="182">
        <f>+Q9</f>
        <v>1.6230755440453266</v>
      </c>
      <c r="R61" s="33"/>
      <c r="S61" s="33">
        <f t="shared" si="12"/>
        <v>108335.08005791587</v>
      </c>
      <c r="T61" s="33"/>
      <c r="U61" s="9"/>
      <c r="V61" s="9"/>
      <c r="W61" s="9"/>
    </row>
    <row r="62" spans="1:23" ht="12.75">
      <c r="A62" s="5">
        <f t="shared" si="0"/>
        <v>52</v>
      </c>
      <c r="B62" s="5"/>
      <c r="C62" s="29" t="s">
        <v>445</v>
      </c>
      <c r="D62" s="23"/>
      <c r="E62" s="20"/>
      <c r="F62" s="24"/>
      <c r="G62" s="20">
        <v>0</v>
      </c>
      <c r="H62" s="20"/>
      <c r="I62" s="20"/>
      <c r="J62" s="95"/>
      <c r="K62" s="20">
        <v>0</v>
      </c>
      <c r="L62" s="20"/>
      <c r="M62" s="33">
        <f t="shared" si="11"/>
        <v>0</v>
      </c>
      <c r="N62" s="33"/>
      <c r="O62" s="26">
        <f>+O9</f>
        <v>0.0815</v>
      </c>
      <c r="P62" s="33"/>
      <c r="Q62" s="182">
        <f>+Q9</f>
        <v>1.6230755440453266</v>
      </c>
      <c r="R62" s="33"/>
      <c r="S62" s="33">
        <f t="shared" si="12"/>
        <v>0</v>
      </c>
      <c r="T62" s="33"/>
      <c r="U62" s="9"/>
      <c r="V62" s="9"/>
      <c r="W62" s="9"/>
    </row>
    <row r="63" spans="1:23" ht="12.75">
      <c r="A63" s="5">
        <f t="shared" si="0"/>
        <v>53</v>
      </c>
      <c r="B63" s="5"/>
      <c r="C63" s="23" t="s">
        <v>447</v>
      </c>
      <c r="D63" s="23"/>
      <c r="E63" s="20"/>
      <c r="F63" s="24"/>
      <c r="G63" s="20">
        <v>0</v>
      </c>
      <c r="H63" s="20"/>
      <c r="I63" s="20"/>
      <c r="J63" s="95"/>
      <c r="K63" s="20">
        <v>0</v>
      </c>
      <c r="L63" s="20"/>
      <c r="M63" s="33">
        <f t="shared" si="11"/>
        <v>0</v>
      </c>
      <c r="N63" s="33"/>
      <c r="O63" s="26">
        <f>+O9</f>
        <v>0.0815</v>
      </c>
      <c r="P63" s="33"/>
      <c r="Q63" s="182">
        <f>+Q9</f>
        <v>1.6230755440453266</v>
      </c>
      <c r="R63" s="33"/>
      <c r="S63" s="33">
        <f t="shared" si="12"/>
        <v>0</v>
      </c>
      <c r="T63" s="33"/>
      <c r="U63" s="9"/>
      <c r="V63" s="9"/>
      <c r="W63" s="9"/>
    </row>
    <row r="64" spans="1:23" ht="12.75">
      <c r="A64" s="5">
        <f t="shared" si="0"/>
        <v>54</v>
      </c>
      <c r="B64" s="5"/>
      <c r="C64" s="29" t="s">
        <v>259</v>
      </c>
      <c r="D64" s="23"/>
      <c r="E64" s="20"/>
      <c r="F64" s="24"/>
      <c r="G64" s="20">
        <v>35240</v>
      </c>
      <c r="H64" s="20"/>
      <c r="I64" s="20"/>
      <c r="J64" s="95"/>
      <c r="K64" s="21">
        <v>35240</v>
      </c>
      <c r="L64" s="20"/>
      <c r="M64" s="33">
        <f t="shared" si="11"/>
        <v>0</v>
      </c>
      <c r="N64" s="33"/>
      <c r="O64" s="26">
        <f>+O9</f>
        <v>0.0815</v>
      </c>
      <c r="P64" s="33"/>
      <c r="Q64" s="182">
        <f>+Q9</f>
        <v>1.6230755440453266</v>
      </c>
      <c r="R64" s="33"/>
      <c r="S64" s="33">
        <f t="shared" si="12"/>
        <v>0</v>
      </c>
      <c r="T64" s="33"/>
      <c r="U64" s="9"/>
      <c r="V64" s="9"/>
      <c r="W64" s="9"/>
    </row>
    <row r="65" spans="1:23" ht="12.75">
      <c r="A65" s="5">
        <f t="shared" si="0"/>
        <v>55</v>
      </c>
      <c r="B65" s="5"/>
      <c r="C65" s="23"/>
      <c r="D65" s="23"/>
      <c r="E65" s="20"/>
      <c r="F65" s="24"/>
      <c r="G65" s="20"/>
      <c r="H65" s="20"/>
      <c r="I65" s="20"/>
      <c r="J65" s="95"/>
      <c r="K65" s="20"/>
      <c r="L65" s="20"/>
      <c r="M65" s="33"/>
      <c r="N65" s="33"/>
      <c r="O65" s="26"/>
      <c r="P65" s="33"/>
      <c r="Q65" s="182"/>
      <c r="R65" s="33"/>
      <c r="S65" s="33"/>
      <c r="T65" s="33"/>
      <c r="U65" s="9"/>
      <c r="V65" s="9"/>
      <c r="W65" s="9"/>
    </row>
    <row r="66" spans="1:23" ht="12.75">
      <c r="A66" s="5">
        <f t="shared" si="0"/>
        <v>56</v>
      </c>
      <c r="B66" s="5"/>
      <c r="C66" s="23"/>
      <c r="D66" s="23"/>
      <c r="E66" s="20"/>
      <c r="F66" s="24"/>
      <c r="G66" s="20"/>
      <c r="H66" s="20"/>
      <c r="I66" s="20"/>
      <c r="J66" s="95"/>
      <c r="K66" s="20"/>
      <c r="L66" s="20"/>
      <c r="M66" s="33"/>
      <c r="N66" s="33"/>
      <c r="O66" s="26"/>
      <c r="P66" s="33"/>
      <c r="Q66" s="182"/>
      <c r="R66" s="33"/>
      <c r="S66" s="33"/>
      <c r="T66" s="33"/>
      <c r="U66" s="9"/>
      <c r="V66" s="9"/>
      <c r="W66" s="9"/>
    </row>
    <row r="67" spans="1:23" ht="12.75">
      <c r="A67" s="5">
        <f t="shared" si="0"/>
        <v>57</v>
      </c>
      <c r="B67" s="5"/>
      <c r="C67" s="23"/>
      <c r="D67" s="23"/>
      <c r="E67" s="20"/>
      <c r="F67" s="24"/>
      <c r="G67" s="20"/>
      <c r="H67" s="20"/>
      <c r="I67" s="20"/>
      <c r="J67" s="95"/>
      <c r="K67" s="20"/>
      <c r="L67" s="20"/>
      <c r="M67" s="33"/>
      <c r="N67" s="33"/>
      <c r="O67" s="26"/>
      <c r="P67" s="33"/>
      <c r="Q67" s="182"/>
      <c r="R67" s="33"/>
      <c r="S67" s="33"/>
      <c r="T67" s="33"/>
      <c r="U67" s="9"/>
      <c r="V67" s="9"/>
      <c r="W67" s="9"/>
    </row>
    <row r="68" spans="1:23" ht="12.75">
      <c r="A68" s="5">
        <f t="shared" si="0"/>
        <v>58</v>
      </c>
      <c r="B68" s="5"/>
      <c r="C68" s="23"/>
      <c r="E68" s="8"/>
      <c r="F68" s="7"/>
      <c r="G68" s="8" t="s">
        <v>58</v>
      </c>
      <c r="H68" s="9"/>
      <c r="I68" s="8"/>
      <c r="J68" s="89"/>
      <c r="K68" s="34" t="s">
        <v>58</v>
      </c>
      <c r="L68" s="33"/>
      <c r="M68" s="34" t="s">
        <v>58</v>
      </c>
      <c r="N68" s="33"/>
      <c r="O68" s="34"/>
      <c r="P68" s="33"/>
      <c r="Q68" s="182"/>
      <c r="R68" s="33"/>
      <c r="S68" s="34" t="s">
        <v>31</v>
      </c>
      <c r="T68" s="33"/>
      <c r="U68" s="8"/>
      <c r="V68" s="9"/>
      <c r="W68" s="9"/>
    </row>
    <row r="69" spans="1:23" ht="12.75">
      <c r="A69" s="5">
        <f t="shared" si="0"/>
        <v>59</v>
      </c>
      <c r="B69" s="5"/>
      <c r="C69" s="23" t="s">
        <v>37</v>
      </c>
      <c r="E69" s="9"/>
      <c r="F69" s="6"/>
      <c r="G69" s="13">
        <f>+G22-G37+SUM(G40:G54)-SUM(G56:G67)</f>
        <v>694827081</v>
      </c>
      <c r="H69" s="9"/>
      <c r="I69" s="18"/>
      <c r="J69" s="88"/>
      <c r="K69" s="151">
        <f>+K22-K37+SUM(K40:K54)-SUM(K56:K67)</f>
        <v>656669526</v>
      </c>
      <c r="L69" s="33"/>
      <c r="M69" s="151">
        <f>+M22-M37+SUM(M40:M54)-SUM(M56:M67)</f>
        <v>-38157555.00000008</v>
      </c>
      <c r="N69" s="33"/>
      <c r="O69" s="33"/>
      <c r="P69" s="33"/>
      <c r="Q69" s="182"/>
      <c r="R69" s="33"/>
      <c r="S69" s="151">
        <f>+S22+S37+SUM(S40:S68)</f>
        <v>-5047506.438796765</v>
      </c>
      <c r="T69" s="33"/>
      <c r="U69" s="9"/>
      <c r="V69" s="9"/>
      <c r="W69" s="9"/>
    </row>
    <row r="70" spans="1:23" ht="12.75">
      <c r="A70" s="5">
        <f t="shared" si="0"/>
        <v>60</v>
      </c>
      <c r="B70" s="5"/>
      <c r="E70" s="8"/>
      <c r="F70" s="7"/>
      <c r="G70" s="8" t="s">
        <v>88</v>
      </c>
      <c r="H70" s="9"/>
      <c r="I70" s="8"/>
      <c r="J70" s="89"/>
      <c r="K70" s="34" t="s">
        <v>88</v>
      </c>
      <c r="L70" s="33"/>
      <c r="M70" s="34" t="s">
        <v>88</v>
      </c>
      <c r="N70" s="33"/>
      <c r="O70" s="33"/>
      <c r="P70" s="33"/>
      <c r="Q70" s="182"/>
      <c r="R70" s="33"/>
      <c r="S70" s="34" t="s">
        <v>38</v>
      </c>
      <c r="T70" s="33"/>
      <c r="U70" s="8"/>
      <c r="V70" s="9"/>
      <c r="W70" s="9"/>
    </row>
    <row r="71" spans="1:23" ht="12.75">
      <c r="A71" s="5">
        <f t="shared" si="0"/>
        <v>61</v>
      </c>
      <c r="B71" s="5"/>
      <c r="E71" s="9"/>
      <c r="F71" s="6"/>
      <c r="G71" s="9"/>
      <c r="H71" s="9"/>
      <c r="I71" s="9"/>
      <c r="J71" s="88"/>
      <c r="K71" s="33"/>
      <c r="L71" s="33"/>
      <c r="M71" s="33">
        <f>+K69-G69</f>
        <v>-38157555</v>
      </c>
      <c r="N71" s="33"/>
      <c r="O71" s="33"/>
      <c r="P71" s="33"/>
      <c r="Q71" s="182" t="s">
        <v>73</v>
      </c>
      <c r="R71" s="33"/>
      <c r="S71" s="33">
        <f>+(+M71*O9)*Q9</f>
        <v>-5047506.438796754</v>
      </c>
      <c r="T71" s="33"/>
      <c r="U71" s="9"/>
      <c r="V71" s="9"/>
      <c r="W71" s="9"/>
    </row>
    <row r="72" spans="1:23" ht="12.75">
      <c r="A72" s="5">
        <f t="shared" si="0"/>
        <v>62</v>
      </c>
      <c r="B72" s="5"/>
      <c r="E72" s="9"/>
      <c r="F72" s="6"/>
      <c r="G72" s="9"/>
      <c r="H72" s="9"/>
      <c r="I72" s="9"/>
      <c r="J72" s="88"/>
      <c r="K72" s="33"/>
      <c r="L72" s="33"/>
      <c r="M72" s="34" t="s">
        <v>88</v>
      </c>
      <c r="N72" s="33"/>
      <c r="O72" s="33"/>
      <c r="P72" s="33"/>
      <c r="Q72" s="182"/>
      <c r="R72" s="33"/>
      <c r="S72" s="34" t="s">
        <v>38</v>
      </c>
      <c r="T72" s="33"/>
      <c r="U72" s="9"/>
      <c r="V72" s="9"/>
      <c r="W72" s="9"/>
    </row>
    <row r="73" spans="1:23" ht="12.75">
      <c r="A73" s="5">
        <f t="shared" si="0"/>
        <v>63</v>
      </c>
      <c r="B73" s="5"/>
      <c r="E73" s="195"/>
      <c r="G73" s="9"/>
      <c r="H73" s="9"/>
      <c r="I73" s="9"/>
      <c r="J73" s="88"/>
      <c r="K73" s="33"/>
      <c r="L73" s="33"/>
      <c r="M73" s="33"/>
      <c r="N73" s="33"/>
      <c r="O73" s="33"/>
      <c r="P73" s="33"/>
      <c r="Q73" s="182"/>
      <c r="R73" s="33"/>
      <c r="S73" s="33">
        <f>+S69-S71</f>
        <v>-1.1175870895385742E-08</v>
      </c>
      <c r="T73" s="33"/>
      <c r="U73" s="9"/>
      <c r="V73" s="9"/>
      <c r="W73" s="9"/>
    </row>
    <row r="74" spans="1:23" ht="12.75">
      <c r="A74" s="5">
        <f t="shared" si="0"/>
        <v>64</v>
      </c>
      <c r="B74" s="5"/>
      <c r="E74" s="9"/>
      <c r="F74" s="6"/>
      <c r="G74" s="9"/>
      <c r="H74" s="9"/>
      <c r="I74" s="9"/>
      <c r="J74" s="88"/>
      <c r="K74" s="9"/>
      <c r="L74" s="9"/>
      <c r="M74" s="9"/>
      <c r="N74" s="9"/>
      <c r="O74" s="6"/>
      <c r="P74" s="9"/>
      <c r="Q74" s="14"/>
      <c r="R74" s="9"/>
      <c r="S74" s="9"/>
      <c r="T74" s="9"/>
      <c r="U74" s="9"/>
      <c r="V74" s="9"/>
      <c r="W74" s="9"/>
    </row>
    <row r="75" spans="1:23" ht="12.75">
      <c r="A75" s="5">
        <f t="shared" si="0"/>
        <v>65</v>
      </c>
      <c r="B75" s="5"/>
      <c r="E75" s="9"/>
      <c r="F75" s="6"/>
      <c r="G75" s="9"/>
      <c r="H75" s="9"/>
      <c r="I75" s="9"/>
      <c r="J75" s="88"/>
      <c r="K75" s="9"/>
      <c r="L75" s="9"/>
      <c r="M75" s="9"/>
      <c r="N75" s="9"/>
      <c r="O75" s="9"/>
      <c r="P75" s="9"/>
      <c r="Q75" s="14"/>
      <c r="R75" s="9"/>
      <c r="S75" s="9"/>
      <c r="T75" s="9"/>
      <c r="U75" s="9"/>
      <c r="V75" s="9"/>
      <c r="W75" s="9"/>
    </row>
    <row r="76" spans="1:23" ht="12.75">
      <c r="A76" s="5">
        <f t="shared" si="0"/>
        <v>66</v>
      </c>
      <c r="B76" s="5"/>
      <c r="E76" s="9"/>
      <c r="F76" s="6"/>
      <c r="G76" s="9"/>
      <c r="H76" s="9"/>
      <c r="I76" s="9"/>
      <c r="J76" s="88"/>
      <c r="K76" s="9"/>
      <c r="L76" s="9"/>
      <c r="M76" s="9"/>
      <c r="N76" s="9"/>
      <c r="O76" s="9"/>
      <c r="P76" s="9"/>
      <c r="Q76" s="14"/>
      <c r="R76" s="9"/>
      <c r="S76" s="9"/>
      <c r="T76" s="9"/>
      <c r="U76" s="9"/>
      <c r="V76" s="9"/>
      <c r="W76" s="9"/>
    </row>
    <row r="77" spans="1:23" ht="12.75">
      <c r="A77" s="5">
        <f aca="true" t="shared" si="13" ref="A77:A144">+A76+1</f>
        <v>67</v>
      </c>
      <c r="B77" s="5"/>
      <c r="E77" s="9"/>
      <c r="F77" s="6"/>
      <c r="G77" s="9"/>
      <c r="H77" s="9"/>
      <c r="I77" s="9"/>
      <c r="J77" s="88"/>
      <c r="K77" s="9"/>
      <c r="L77" s="9"/>
      <c r="M77" s="9"/>
      <c r="N77" s="9"/>
      <c r="O77" s="9"/>
      <c r="P77" s="9"/>
      <c r="Q77" s="14"/>
      <c r="R77" s="9"/>
      <c r="S77" s="9"/>
      <c r="T77" s="9"/>
      <c r="U77" s="9"/>
      <c r="V77" s="9"/>
      <c r="W77" s="9"/>
    </row>
    <row r="78" spans="1:23" ht="12.75">
      <c r="A78" s="5">
        <f t="shared" si="13"/>
        <v>68</v>
      </c>
      <c r="B78" s="5"/>
      <c r="E78" s="9"/>
      <c r="F78" s="6"/>
      <c r="G78" s="9"/>
      <c r="H78" s="9"/>
      <c r="I78" s="9"/>
      <c r="J78" s="88"/>
      <c r="K78" s="9"/>
      <c r="L78" s="9"/>
      <c r="M78" s="9"/>
      <c r="N78" s="9"/>
      <c r="O78" s="9"/>
      <c r="P78" s="9"/>
      <c r="Q78" s="14"/>
      <c r="R78" s="9"/>
      <c r="S78" s="9"/>
      <c r="T78" s="9"/>
      <c r="U78" s="9"/>
      <c r="V78" s="9"/>
      <c r="W78" s="9"/>
    </row>
    <row r="79" spans="1:23" ht="12.75">
      <c r="A79" s="5">
        <f t="shared" si="13"/>
        <v>69</v>
      </c>
      <c r="B79" s="5"/>
      <c r="E79" s="9"/>
      <c r="F79" s="6"/>
      <c r="G79" s="9"/>
      <c r="H79" s="9"/>
      <c r="I79" s="9"/>
      <c r="J79" s="88"/>
      <c r="K79" s="9"/>
      <c r="L79" s="9"/>
      <c r="M79" s="9"/>
      <c r="N79" s="9"/>
      <c r="O79" s="9"/>
      <c r="P79" s="9"/>
      <c r="Q79" s="14"/>
      <c r="R79" s="9"/>
      <c r="S79" s="9"/>
      <c r="T79" s="9"/>
      <c r="U79" s="9"/>
      <c r="V79" s="9"/>
      <c r="W79" s="9"/>
    </row>
    <row r="80" spans="1:23" ht="12.75">
      <c r="A80" s="5">
        <f t="shared" si="13"/>
        <v>70</v>
      </c>
      <c r="B80" s="5"/>
      <c r="F80" s="6"/>
      <c r="J80" s="88"/>
      <c r="U80" s="9"/>
      <c r="V80" s="9"/>
      <c r="W80" s="9"/>
    </row>
    <row r="81" spans="1:23" ht="18">
      <c r="A81" s="5">
        <f t="shared" si="13"/>
        <v>71</v>
      </c>
      <c r="B81" s="5"/>
      <c r="F81" s="6"/>
      <c r="H81" s="1" t="s">
        <v>13</v>
      </c>
      <c r="J81" s="88"/>
      <c r="U81" s="9"/>
      <c r="V81" s="9"/>
      <c r="W81" s="9"/>
    </row>
    <row r="82" spans="1:23" ht="12.75">
      <c r="A82" s="5">
        <f t="shared" si="13"/>
        <v>72</v>
      </c>
      <c r="B82" s="5"/>
      <c r="F82" s="6"/>
      <c r="J82" s="88"/>
      <c r="U82" s="9"/>
      <c r="V82" s="9"/>
      <c r="W82" s="9"/>
    </row>
    <row r="83" spans="1:23" ht="12.75">
      <c r="A83" s="5">
        <f t="shared" si="13"/>
        <v>73</v>
      </c>
      <c r="B83" s="5"/>
      <c r="F83" s="6"/>
      <c r="H83" s="23" t="str">
        <f>+'Rev.Requirement'!E4</f>
        <v>Missouri Public Service Division</v>
      </c>
      <c r="I83" s="23"/>
      <c r="J83" s="95"/>
      <c r="K83" s="23"/>
      <c r="L83" s="23"/>
      <c r="M83" s="23"/>
      <c r="N83" s="23"/>
      <c r="U83" s="9"/>
      <c r="V83" s="9"/>
      <c r="W83" s="9"/>
    </row>
    <row r="84" spans="1:23" ht="12.75">
      <c r="A84" s="5">
        <f t="shared" si="13"/>
        <v>74</v>
      </c>
      <c r="B84" s="5"/>
      <c r="F84" s="6"/>
      <c r="H84" s="23"/>
      <c r="I84" s="23"/>
      <c r="J84" s="95"/>
      <c r="K84" s="23"/>
      <c r="L84" s="23"/>
      <c r="M84" s="23"/>
      <c r="N84" s="23"/>
      <c r="U84" s="9"/>
      <c r="V84" s="9"/>
      <c r="W84" s="9"/>
    </row>
    <row r="85" spans="1:23" ht="12.75">
      <c r="A85" s="5">
        <f t="shared" si="13"/>
        <v>75</v>
      </c>
      <c r="B85" s="5"/>
      <c r="F85" s="6"/>
      <c r="H85" s="23" t="s">
        <v>107</v>
      </c>
      <c r="I85" s="23" t="str">
        <f>+'Rev.Requirement'!E6</f>
        <v>         Case No. ER 2004-0034</v>
      </c>
      <c r="J85" s="95"/>
      <c r="K85" s="23"/>
      <c r="L85" s="23"/>
      <c r="M85" s="23"/>
      <c r="N85" s="23"/>
      <c r="S85" s="5" t="s">
        <v>34</v>
      </c>
      <c r="U85" s="9"/>
      <c r="V85" s="9"/>
      <c r="W85" s="9"/>
    </row>
    <row r="86" spans="1:23" ht="12.75">
      <c r="A86" s="5">
        <f t="shared" si="13"/>
        <v>76</v>
      </c>
      <c r="B86" s="5"/>
      <c r="F86" s="6"/>
      <c r="J86" s="88"/>
      <c r="S86" s="5" t="s">
        <v>33</v>
      </c>
      <c r="U86" s="9"/>
      <c r="V86" s="9"/>
      <c r="W86" s="9"/>
    </row>
    <row r="87" spans="1:23" ht="12.75">
      <c r="A87" s="5">
        <f t="shared" si="13"/>
        <v>77</v>
      </c>
      <c r="B87" s="5"/>
      <c r="E87" t="s">
        <v>124</v>
      </c>
      <c r="F87" s="6"/>
      <c r="G87" s="93" t="s">
        <v>250</v>
      </c>
      <c r="I87" t="s">
        <v>124</v>
      </c>
      <c r="J87" s="88"/>
      <c r="K87" s="93" t="s">
        <v>250</v>
      </c>
      <c r="M87" s="16" t="s">
        <v>407</v>
      </c>
      <c r="O87" s="16" t="s">
        <v>17</v>
      </c>
      <c r="Q87" s="5" t="s">
        <v>53</v>
      </c>
      <c r="S87" s="16" t="s">
        <v>36</v>
      </c>
      <c r="U87" s="9"/>
      <c r="V87" s="9"/>
      <c r="W87" s="9"/>
    </row>
    <row r="88" spans="1:23" ht="12.75">
      <c r="A88" s="5">
        <f t="shared" si="13"/>
        <v>78</v>
      </c>
      <c r="B88" s="5"/>
      <c r="C88" s="3" t="s">
        <v>14</v>
      </c>
      <c r="E88" s="16" t="s">
        <v>17</v>
      </c>
      <c r="F88" s="17"/>
      <c r="G88" s="16" t="s">
        <v>17</v>
      </c>
      <c r="H88" s="5"/>
      <c r="I88" s="16" t="s">
        <v>20</v>
      </c>
      <c r="J88" s="96"/>
      <c r="K88" s="16" t="s">
        <v>20</v>
      </c>
      <c r="L88" s="5"/>
      <c r="M88" s="5" t="s">
        <v>19</v>
      </c>
      <c r="N88" s="5"/>
      <c r="O88" s="5" t="s">
        <v>32</v>
      </c>
      <c r="Q88" s="5" t="s">
        <v>40</v>
      </c>
      <c r="S88" s="5" t="s">
        <v>35</v>
      </c>
      <c r="U88" s="9"/>
      <c r="V88" s="9"/>
      <c r="W88" s="9"/>
    </row>
    <row r="89" spans="1:23" ht="12.75">
      <c r="A89" s="5">
        <f t="shared" si="13"/>
        <v>79</v>
      </c>
      <c r="B89" s="5"/>
      <c r="C89" s="4" t="s">
        <v>224</v>
      </c>
      <c r="E89" s="8" t="s">
        <v>58</v>
      </c>
      <c r="F89" s="7"/>
      <c r="G89" s="8" t="s">
        <v>58</v>
      </c>
      <c r="H89" s="9"/>
      <c r="I89" s="8" t="s">
        <v>31</v>
      </c>
      <c r="J89" s="89"/>
      <c r="K89" s="8" t="s">
        <v>58</v>
      </c>
      <c r="L89" s="9"/>
      <c r="M89" s="8" t="s">
        <v>31</v>
      </c>
      <c r="N89" s="9"/>
      <c r="O89" s="4" t="s">
        <v>31</v>
      </c>
      <c r="P89" s="9"/>
      <c r="Q89" s="8" t="s">
        <v>42</v>
      </c>
      <c r="R89" s="9"/>
      <c r="S89" s="8" t="s">
        <v>31</v>
      </c>
      <c r="T89" s="9"/>
      <c r="U89" s="9"/>
      <c r="V89" s="9"/>
      <c r="W89" s="9"/>
    </row>
    <row r="90" spans="1:23" ht="12.75">
      <c r="A90" s="5">
        <f t="shared" si="13"/>
        <v>80</v>
      </c>
      <c r="B90" s="5"/>
      <c r="C90" s="4"/>
      <c r="E90" s="8"/>
      <c r="F90" s="7">
        <f>+J11</f>
        <v>0.9917383627937328</v>
      </c>
      <c r="G90" s="8">
        <f>+E90*F90</f>
        <v>0</v>
      </c>
      <c r="H90" s="9"/>
      <c r="I90" s="8"/>
      <c r="J90" s="145">
        <v>1</v>
      </c>
      <c r="K90" s="8">
        <f>+I90*J90</f>
        <v>0</v>
      </c>
      <c r="L90" s="9"/>
      <c r="M90" s="9">
        <f>+K90-G90</f>
        <v>0</v>
      </c>
      <c r="N90" s="9"/>
      <c r="O90" s="7">
        <f>+O9</f>
        <v>0.0815</v>
      </c>
      <c r="P90" s="9"/>
      <c r="Q90" s="146">
        <f>+Q9</f>
        <v>1.6230755440453266</v>
      </c>
      <c r="R90" s="9"/>
      <c r="S90" s="9">
        <f aca="true" t="shared" si="14" ref="S90:S98">+(M90*O90)*Q90</f>
        <v>0</v>
      </c>
      <c r="T90" s="9"/>
      <c r="U90" s="9"/>
      <c r="V90" s="9"/>
      <c r="W90" s="9"/>
    </row>
    <row r="91" spans="1:23" ht="12.75">
      <c r="A91" s="5">
        <f t="shared" si="13"/>
        <v>81</v>
      </c>
      <c r="B91" s="5"/>
      <c r="E91" s="8"/>
      <c r="F91" s="7">
        <f>+J11</f>
        <v>0.9917383627937328</v>
      </c>
      <c r="G91" s="8">
        <f>+F91*E91</f>
        <v>0</v>
      </c>
      <c r="H91" s="9"/>
      <c r="I91" s="8"/>
      <c r="J91" s="7">
        <f>+J90</f>
        <v>1</v>
      </c>
      <c r="K91" s="8">
        <f aca="true" t="shared" si="15" ref="K91:K98">+I91*J91</f>
        <v>0</v>
      </c>
      <c r="L91" s="9"/>
      <c r="M91" s="9">
        <f aca="true" t="shared" si="16" ref="M91:M98">+K91-G91</f>
        <v>0</v>
      </c>
      <c r="N91" s="9"/>
      <c r="O91" s="7">
        <f>+O9</f>
        <v>0.0815</v>
      </c>
      <c r="P91" s="9"/>
      <c r="Q91" s="146">
        <f>+Q9</f>
        <v>1.6230755440453266</v>
      </c>
      <c r="R91" s="9"/>
      <c r="S91" s="9">
        <f t="shared" si="14"/>
        <v>0</v>
      </c>
      <c r="T91" s="9"/>
      <c r="U91" s="9"/>
      <c r="V91" s="9"/>
      <c r="W91" s="9"/>
    </row>
    <row r="92" spans="1:23" ht="12.75">
      <c r="A92" s="5">
        <f t="shared" si="13"/>
        <v>82</v>
      </c>
      <c r="B92" s="5"/>
      <c r="C92" s="3"/>
      <c r="E92" s="8"/>
      <c r="F92" s="7">
        <f>+J11</f>
        <v>0.9917383627937328</v>
      </c>
      <c r="G92" s="8">
        <f aca="true" t="shared" si="17" ref="G92:G98">+F92*E92</f>
        <v>0</v>
      </c>
      <c r="H92" s="9"/>
      <c r="I92" s="8"/>
      <c r="J92" s="7">
        <f>+J90</f>
        <v>1</v>
      </c>
      <c r="K92" s="8">
        <f t="shared" si="15"/>
        <v>0</v>
      </c>
      <c r="L92" s="9"/>
      <c r="M92" s="9">
        <f t="shared" si="16"/>
        <v>0</v>
      </c>
      <c r="N92" s="9"/>
      <c r="O92" s="7">
        <f>+O9</f>
        <v>0.0815</v>
      </c>
      <c r="P92" s="9"/>
      <c r="Q92" s="146">
        <f>+Q9</f>
        <v>1.6230755440453266</v>
      </c>
      <c r="R92" s="9"/>
      <c r="S92" s="9">
        <f t="shared" si="14"/>
        <v>0</v>
      </c>
      <c r="T92" s="9"/>
      <c r="U92" s="9"/>
      <c r="V92" s="9"/>
      <c r="W92" s="9"/>
    </row>
    <row r="93" spans="1:23" ht="12.75">
      <c r="A93" s="5">
        <f t="shared" si="13"/>
        <v>83</v>
      </c>
      <c r="B93" s="5"/>
      <c r="C93" s="23">
        <f>+C15</f>
        <v>0</v>
      </c>
      <c r="D93" s="23"/>
      <c r="E93" s="20">
        <f>+I15</f>
        <v>0</v>
      </c>
      <c r="F93" s="24">
        <f>+J11</f>
        <v>0.9917383627937328</v>
      </c>
      <c r="G93" s="8">
        <f t="shared" si="17"/>
        <v>0</v>
      </c>
      <c r="H93" s="20"/>
      <c r="I93" s="20"/>
      <c r="J93" s="24">
        <f>+J90</f>
        <v>1</v>
      </c>
      <c r="K93" s="8">
        <f t="shared" si="15"/>
        <v>0</v>
      </c>
      <c r="L93" s="9"/>
      <c r="M93" s="9">
        <f t="shared" si="16"/>
        <v>0</v>
      </c>
      <c r="N93" s="9"/>
      <c r="O93" s="6">
        <f>+O9</f>
        <v>0.0815</v>
      </c>
      <c r="P93" s="9"/>
      <c r="Q93" s="14">
        <f>+Q9</f>
        <v>1.6230755440453266</v>
      </c>
      <c r="R93" s="9"/>
      <c r="S93" s="9">
        <f t="shared" si="14"/>
        <v>0</v>
      </c>
      <c r="T93" s="9"/>
      <c r="U93" s="9"/>
      <c r="V93" s="9"/>
      <c r="W93" s="9"/>
    </row>
    <row r="94" spans="1:23" ht="12.75">
      <c r="A94" s="5">
        <f t="shared" si="13"/>
        <v>84</v>
      </c>
      <c r="B94" s="5"/>
      <c r="C94" s="23">
        <f>+C16</f>
        <v>0</v>
      </c>
      <c r="D94" s="23"/>
      <c r="E94" s="20">
        <f>+I16</f>
        <v>0</v>
      </c>
      <c r="F94" s="24">
        <f>+J11</f>
        <v>0.9917383627937328</v>
      </c>
      <c r="G94" s="8">
        <f t="shared" si="17"/>
        <v>0</v>
      </c>
      <c r="H94" s="20"/>
      <c r="I94" s="20"/>
      <c r="J94" s="24">
        <f>+J90</f>
        <v>1</v>
      </c>
      <c r="K94" s="8">
        <f t="shared" si="15"/>
        <v>0</v>
      </c>
      <c r="L94" s="9"/>
      <c r="M94" s="9">
        <f t="shared" si="16"/>
        <v>0</v>
      </c>
      <c r="N94" s="9"/>
      <c r="O94" s="6">
        <f>+O9</f>
        <v>0.0815</v>
      </c>
      <c r="P94" s="9"/>
      <c r="Q94" s="14">
        <f>+Q9</f>
        <v>1.6230755440453266</v>
      </c>
      <c r="R94" s="9"/>
      <c r="S94" s="9">
        <f t="shared" si="14"/>
        <v>0</v>
      </c>
      <c r="T94" s="9"/>
      <c r="U94" s="9"/>
      <c r="V94" s="9"/>
      <c r="W94" s="9"/>
    </row>
    <row r="95" spans="1:23" ht="12.75">
      <c r="A95" s="5">
        <f t="shared" si="13"/>
        <v>85</v>
      </c>
      <c r="B95" s="5"/>
      <c r="C95" s="23" t="str">
        <f>+C17</f>
        <v>Synergies from Merger - Plant</v>
      </c>
      <c r="D95" s="23"/>
      <c r="E95" s="20">
        <f>+I17</f>
        <v>0</v>
      </c>
      <c r="F95" s="24">
        <f>+J11</f>
        <v>0.9917383627937328</v>
      </c>
      <c r="G95" s="8">
        <f t="shared" si="17"/>
        <v>0</v>
      </c>
      <c r="H95" s="20"/>
      <c r="I95" s="20"/>
      <c r="J95" s="24">
        <f>+J90</f>
        <v>1</v>
      </c>
      <c r="K95" s="8">
        <f t="shared" si="15"/>
        <v>0</v>
      </c>
      <c r="L95" s="9"/>
      <c r="M95" s="9">
        <f t="shared" si="16"/>
        <v>0</v>
      </c>
      <c r="N95" s="9"/>
      <c r="O95" s="6">
        <f>+O9</f>
        <v>0.0815</v>
      </c>
      <c r="P95" s="9"/>
      <c r="Q95" s="14">
        <f>+Q9</f>
        <v>1.6230755440453266</v>
      </c>
      <c r="R95" s="9"/>
      <c r="S95" s="9">
        <f t="shared" si="14"/>
        <v>0</v>
      </c>
      <c r="T95" s="9"/>
      <c r="U95" s="9"/>
      <c r="V95" s="9"/>
      <c r="W95" s="9"/>
    </row>
    <row r="96" spans="1:23" ht="12.75">
      <c r="A96" s="5">
        <f t="shared" si="13"/>
        <v>86</v>
      </c>
      <c r="B96" s="5"/>
      <c r="C96" s="23" t="str">
        <f>+C18</f>
        <v>Include Jeffrey Common Plant</v>
      </c>
      <c r="D96" s="23"/>
      <c r="E96" s="20">
        <f>+I18</f>
        <v>1992959</v>
      </c>
      <c r="F96" s="24">
        <f>+J11</f>
        <v>0.9917383627937328</v>
      </c>
      <c r="G96" s="8">
        <f t="shared" si="17"/>
        <v>1976493.895775035</v>
      </c>
      <c r="H96" s="20"/>
      <c r="I96" s="20"/>
      <c r="J96" s="24">
        <f>+J90</f>
        <v>1</v>
      </c>
      <c r="K96" s="8">
        <f t="shared" si="15"/>
        <v>0</v>
      </c>
      <c r="L96" s="9"/>
      <c r="M96" s="9">
        <f t="shared" si="16"/>
        <v>-1976493.895775035</v>
      </c>
      <c r="N96" s="9"/>
      <c r="O96" s="6">
        <f>+O9</f>
        <v>0.0815</v>
      </c>
      <c r="P96" s="9"/>
      <c r="Q96" s="14">
        <f>+Q9</f>
        <v>1.6230755440453266</v>
      </c>
      <c r="R96" s="9"/>
      <c r="S96" s="9">
        <f t="shared" si="14"/>
        <v>-261451.91077276756</v>
      </c>
      <c r="T96" s="9"/>
      <c r="U96" s="9"/>
      <c r="V96" s="9"/>
      <c r="W96" s="9"/>
    </row>
    <row r="97" spans="1:23" ht="12.75">
      <c r="A97" s="5">
        <f t="shared" si="13"/>
        <v>87</v>
      </c>
      <c r="B97" s="5"/>
      <c r="C97" s="23">
        <f>+C19</f>
        <v>0</v>
      </c>
      <c r="D97" s="23"/>
      <c r="E97" s="20">
        <f>+I19</f>
        <v>0</v>
      </c>
      <c r="F97" s="24">
        <f>+J11</f>
        <v>0.9917383627937328</v>
      </c>
      <c r="G97" s="8">
        <f t="shared" si="17"/>
        <v>0</v>
      </c>
      <c r="H97" s="20"/>
      <c r="I97" s="20"/>
      <c r="J97" s="24">
        <f>+J90</f>
        <v>1</v>
      </c>
      <c r="K97" s="8">
        <f t="shared" si="15"/>
        <v>0</v>
      </c>
      <c r="L97" s="9"/>
      <c r="M97" s="9">
        <f t="shared" si="16"/>
        <v>0</v>
      </c>
      <c r="N97" s="9"/>
      <c r="O97" s="6">
        <f>+O9</f>
        <v>0.0815</v>
      </c>
      <c r="P97" s="9"/>
      <c r="Q97" s="14">
        <f>+Q9</f>
        <v>1.6230755440453266</v>
      </c>
      <c r="R97" s="9"/>
      <c r="S97" s="9">
        <f t="shared" si="14"/>
        <v>0</v>
      </c>
      <c r="T97" s="9"/>
      <c r="U97" s="9"/>
      <c r="V97" s="9"/>
      <c r="W97" s="9"/>
    </row>
    <row r="98" spans="1:23" ht="12.75">
      <c r="A98" s="5">
        <f t="shared" si="13"/>
        <v>88</v>
      </c>
      <c r="B98" s="5"/>
      <c r="C98" t="s">
        <v>404</v>
      </c>
      <c r="E98" s="9">
        <f>+E100-SUM(E90:E97)</f>
        <v>1234469227</v>
      </c>
      <c r="F98" s="6">
        <f>+J11</f>
        <v>0.9917383627937328</v>
      </c>
      <c r="G98" s="8">
        <f t="shared" si="17"/>
        <v>1224270490.104225</v>
      </c>
      <c r="H98" s="9"/>
      <c r="I98" s="9">
        <f>+I100-SUM(I91:I97)</f>
        <v>0</v>
      </c>
      <c r="J98" s="6">
        <f>+J90</f>
        <v>1</v>
      </c>
      <c r="K98" s="8">
        <f t="shared" si="15"/>
        <v>0</v>
      </c>
      <c r="L98" s="9"/>
      <c r="M98" s="9">
        <f t="shared" si="16"/>
        <v>-1224270490.104225</v>
      </c>
      <c r="N98" s="9"/>
      <c r="O98" s="6">
        <f>+O9</f>
        <v>0.0815</v>
      </c>
      <c r="P98" s="9"/>
      <c r="Q98" s="14">
        <f>+Q9</f>
        <v>1.6230755440453266</v>
      </c>
      <c r="R98" s="9"/>
      <c r="S98" s="9">
        <f t="shared" si="14"/>
        <v>-161947304.58044112</v>
      </c>
      <c r="T98" s="9"/>
      <c r="U98" s="9"/>
      <c r="V98" s="9"/>
      <c r="W98" s="9"/>
    </row>
    <row r="99" spans="1:23" ht="12.75">
      <c r="A99" s="5">
        <f t="shared" si="13"/>
        <v>89</v>
      </c>
      <c r="B99" s="5"/>
      <c r="E99" s="8" t="s">
        <v>58</v>
      </c>
      <c r="F99" s="7"/>
      <c r="G99" s="8" t="s">
        <v>58</v>
      </c>
      <c r="H99" s="9"/>
      <c r="I99" s="8" t="s">
        <v>134</v>
      </c>
      <c r="J99" s="7"/>
      <c r="K99" s="8" t="s">
        <v>134</v>
      </c>
      <c r="L99" s="9"/>
      <c r="M99" s="8" t="s">
        <v>31</v>
      </c>
      <c r="N99" s="9"/>
      <c r="O99" s="7"/>
      <c r="P99" s="9"/>
      <c r="Q99" s="14"/>
      <c r="R99" s="9"/>
      <c r="S99" s="8" t="s">
        <v>31</v>
      </c>
      <c r="T99" s="9"/>
      <c r="U99" s="9"/>
      <c r="V99" s="9"/>
      <c r="W99" s="9"/>
    </row>
    <row r="100" spans="1:23" ht="12.75">
      <c r="A100" s="5">
        <f t="shared" si="13"/>
        <v>90</v>
      </c>
      <c r="B100" s="5"/>
      <c r="C100" s="23" t="s">
        <v>15</v>
      </c>
      <c r="D100" s="29" t="s">
        <v>18</v>
      </c>
      <c r="E100" s="20">
        <f>+I22</f>
        <v>1236462186</v>
      </c>
      <c r="F100" s="24"/>
      <c r="G100" s="20">
        <f>SUM(G90:G99)</f>
        <v>1226246984</v>
      </c>
      <c r="H100" s="20"/>
      <c r="I100" s="20"/>
      <c r="J100" s="24"/>
      <c r="K100" s="20">
        <f>SUM(K90:K99)</f>
        <v>0</v>
      </c>
      <c r="L100" s="20"/>
      <c r="M100" s="9">
        <f>SUM(M93:M99)</f>
        <v>-1226246984</v>
      </c>
      <c r="N100" s="9"/>
      <c r="O100" s="6"/>
      <c r="P100" s="9"/>
      <c r="Q100" s="14"/>
      <c r="R100" s="9"/>
      <c r="S100" s="9">
        <f>SUM(S93:S99)</f>
        <v>-162208756.4912139</v>
      </c>
      <c r="T100" s="9"/>
      <c r="U100" s="9"/>
      <c r="V100" s="9"/>
      <c r="W100" s="9"/>
    </row>
    <row r="101" spans="1:23" ht="12.75">
      <c r="A101" s="5">
        <f t="shared" si="13"/>
        <v>91</v>
      </c>
      <c r="B101" s="5"/>
      <c r="E101" s="9"/>
      <c r="F101" s="6"/>
      <c r="G101" s="9"/>
      <c r="H101" s="9"/>
      <c r="I101" s="9"/>
      <c r="J101" s="6"/>
      <c r="K101" s="9"/>
      <c r="L101" s="9"/>
      <c r="M101" s="9"/>
      <c r="N101" s="9"/>
      <c r="O101" s="6"/>
      <c r="P101" s="9"/>
      <c r="Q101" s="14"/>
      <c r="R101" s="9"/>
      <c r="S101" s="9"/>
      <c r="T101" s="9"/>
      <c r="U101" s="9"/>
      <c r="V101" s="9"/>
      <c r="W101" s="9"/>
    </row>
    <row r="102" spans="1:23" ht="12.75">
      <c r="A102" s="5">
        <f t="shared" si="13"/>
        <v>92</v>
      </c>
      <c r="B102" s="5"/>
      <c r="C102" s="29" t="s">
        <v>21</v>
      </c>
      <c r="D102" s="23"/>
      <c r="E102" s="20"/>
      <c r="F102" s="24"/>
      <c r="G102" s="20"/>
      <c r="H102" s="20"/>
      <c r="I102" s="20"/>
      <c r="J102" s="24"/>
      <c r="K102" s="20"/>
      <c r="L102" s="20"/>
      <c r="M102" s="9"/>
      <c r="N102" s="9"/>
      <c r="O102" s="6"/>
      <c r="P102" s="9"/>
      <c r="Q102" s="14"/>
      <c r="R102" s="9"/>
      <c r="S102" s="9"/>
      <c r="T102" s="9"/>
      <c r="U102" s="9"/>
      <c r="V102" s="9"/>
      <c r="W102" s="9"/>
    </row>
    <row r="103" spans="1:23" ht="12.75">
      <c r="A103" s="5">
        <f t="shared" si="13"/>
        <v>93</v>
      </c>
      <c r="B103" s="5"/>
      <c r="C103" s="29"/>
      <c r="D103" s="23"/>
      <c r="E103" s="20"/>
      <c r="F103" s="24">
        <f>+J24</f>
        <v>0.9909421424461439</v>
      </c>
      <c r="G103" s="20">
        <f>+E103*F103</f>
        <v>0</v>
      </c>
      <c r="H103" s="20"/>
      <c r="I103" s="20"/>
      <c r="J103" s="28">
        <v>1</v>
      </c>
      <c r="K103" s="20">
        <f>+I103*J103</f>
        <v>0</v>
      </c>
      <c r="L103" s="20"/>
      <c r="M103" s="9">
        <f>+K103-G103</f>
        <v>0</v>
      </c>
      <c r="N103" s="9"/>
      <c r="O103" s="6">
        <f>+O9</f>
        <v>0.0815</v>
      </c>
      <c r="P103" s="9"/>
      <c r="Q103" s="14">
        <f>+Q9</f>
        <v>1.6230755440453266</v>
      </c>
      <c r="R103" s="9"/>
      <c r="S103" s="9">
        <f aca="true" t="shared" si="18" ref="S103:S113">-(M103*O103)*Q103</f>
        <v>0</v>
      </c>
      <c r="T103" s="9"/>
      <c r="U103" s="9"/>
      <c r="V103" s="9"/>
      <c r="W103" s="9"/>
    </row>
    <row r="104" spans="1:23" ht="12.75">
      <c r="A104" s="5">
        <f t="shared" si="13"/>
        <v>94</v>
      </c>
      <c r="B104" s="5"/>
      <c r="C104" s="29"/>
      <c r="D104" s="23"/>
      <c r="E104" s="20"/>
      <c r="F104" s="24">
        <f>+J24</f>
        <v>0.9909421424461439</v>
      </c>
      <c r="G104" s="20">
        <f aca="true" t="shared" si="19" ref="G104:G113">+E104*F104</f>
        <v>0</v>
      </c>
      <c r="H104" s="20"/>
      <c r="I104" s="20"/>
      <c r="J104" s="24">
        <f>+J103</f>
        <v>1</v>
      </c>
      <c r="K104" s="20">
        <f aca="true" t="shared" si="20" ref="K104:K113">+I104*J104</f>
        <v>0</v>
      </c>
      <c r="L104" s="20"/>
      <c r="M104" s="9">
        <f aca="true" t="shared" si="21" ref="M104:M113">+K104-G104</f>
        <v>0</v>
      </c>
      <c r="N104" s="9"/>
      <c r="O104" s="6">
        <f>+O9</f>
        <v>0.0815</v>
      </c>
      <c r="P104" s="9"/>
      <c r="Q104" s="14">
        <f>+Q9</f>
        <v>1.6230755440453266</v>
      </c>
      <c r="R104" s="9"/>
      <c r="S104" s="9">
        <f t="shared" si="18"/>
        <v>0</v>
      </c>
      <c r="T104" s="9"/>
      <c r="U104" s="9"/>
      <c r="V104" s="9"/>
      <c r="W104" s="9"/>
    </row>
    <row r="105" spans="1:23" ht="12.75">
      <c r="A105" s="5">
        <f t="shared" si="13"/>
        <v>95</v>
      </c>
      <c r="B105" s="5"/>
      <c r="C105" s="23"/>
      <c r="D105" s="23"/>
      <c r="E105" s="20"/>
      <c r="F105" s="24">
        <f>+J24</f>
        <v>0.9909421424461439</v>
      </c>
      <c r="G105" s="20">
        <f t="shared" si="19"/>
        <v>0</v>
      </c>
      <c r="H105" s="20"/>
      <c r="I105" s="20"/>
      <c r="J105" s="24">
        <f>+J103</f>
        <v>1</v>
      </c>
      <c r="K105" s="20">
        <f t="shared" si="20"/>
        <v>0</v>
      </c>
      <c r="L105" s="20"/>
      <c r="M105" s="9">
        <f t="shared" si="21"/>
        <v>0</v>
      </c>
      <c r="N105" s="9"/>
      <c r="O105" s="6">
        <f>+O9</f>
        <v>0.0815</v>
      </c>
      <c r="P105" s="9"/>
      <c r="Q105" s="14">
        <f>+Q9</f>
        <v>1.6230755440453266</v>
      </c>
      <c r="R105" s="9"/>
      <c r="S105" s="9">
        <f t="shared" si="18"/>
        <v>0</v>
      </c>
      <c r="T105" s="9"/>
      <c r="U105" s="9"/>
      <c r="V105" s="9"/>
      <c r="W105" s="9"/>
    </row>
    <row r="106" spans="1:23" ht="12.75">
      <c r="A106" s="5">
        <f t="shared" si="13"/>
        <v>96</v>
      </c>
      <c r="B106" s="5"/>
      <c r="C106" s="23">
        <f aca="true" t="shared" si="22" ref="C106:C112">+C28</f>
        <v>0</v>
      </c>
      <c r="D106" s="23"/>
      <c r="E106" s="20">
        <f aca="true" t="shared" si="23" ref="E106:E112">+I28</f>
        <v>0</v>
      </c>
      <c r="F106" s="24">
        <f>+J24</f>
        <v>0.9909421424461439</v>
      </c>
      <c r="G106" s="20">
        <f t="shared" si="19"/>
        <v>0</v>
      </c>
      <c r="H106" s="20"/>
      <c r="I106" s="20"/>
      <c r="J106" s="24">
        <f>+J103</f>
        <v>1</v>
      </c>
      <c r="K106" s="20">
        <f t="shared" si="20"/>
        <v>0</v>
      </c>
      <c r="L106" s="20"/>
      <c r="M106" s="9">
        <f t="shared" si="21"/>
        <v>0</v>
      </c>
      <c r="N106" s="9"/>
      <c r="O106" s="6">
        <f>+O9</f>
        <v>0.0815</v>
      </c>
      <c r="P106" s="9"/>
      <c r="Q106" s="14">
        <f>+Q9</f>
        <v>1.6230755440453266</v>
      </c>
      <c r="R106" s="9"/>
      <c r="S106" s="9">
        <f t="shared" si="18"/>
        <v>0</v>
      </c>
      <c r="T106" s="9"/>
      <c r="U106" s="9"/>
      <c r="V106" s="9"/>
      <c r="W106" s="9"/>
    </row>
    <row r="107" spans="1:23" ht="12.75">
      <c r="A107" s="5">
        <f t="shared" si="13"/>
        <v>97</v>
      </c>
      <c r="B107" s="5"/>
      <c r="C107" s="23">
        <f t="shared" si="22"/>
        <v>0</v>
      </c>
      <c r="D107" s="23"/>
      <c r="E107" s="20">
        <f t="shared" si="23"/>
        <v>0</v>
      </c>
      <c r="F107" s="24">
        <f>+J24</f>
        <v>0.9909421424461439</v>
      </c>
      <c r="G107" s="20">
        <f t="shared" si="19"/>
        <v>0</v>
      </c>
      <c r="H107" s="20"/>
      <c r="I107" s="20"/>
      <c r="J107" s="24">
        <f>+J103</f>
        <v>1</v>
      </c>
      <c r="K107" s="20">
        <f t="shared" si="20"/>
        <v>0</v>
      </c>
      <c r="L107" s="20"/>
      <c r="M107" s="9">
        <f t="shared" si="21"/>
        <v>0</v>
      </c>
      <c r="N107" s="9"/>
      <c r="O107" s="6">
        <f>+O9</f>
        <v>0.0815</v>
      </c>
      <c r="P107" s="9"/>
      <c r="Q107" s="14">
        <f>+Q9</f>
        <v>1.6230755440453266</v>
      </c>
      <c r="R107" s="9"/>
      <c r="S107" s="9">
        <f t="shared" si="18"/>
        <v>0</v>
      </c>
      <c r="T107" s="9"/>
      <c r="U107" s="9"/>
      <c r="V107" s="9"/>
      <c r="W107" s="9"/>
    </row>
    <row r="108" spans="1:23" ht="12.75">
      <c r="A108" s="5">
        <f t="shared" si="13"/>
        <v>98</v>
      </c>
      <c r="B108" s="5"/>
      <c r="C108" s="23">
        <f t="shared" si="22"/>
        <v>0</v>
      </c>
      <c r="D108" s="23"/>
      <c r="E108" s="20">
        <f t="shared" si="23"/>
        <v>0</v>
      </c>
      <c r="F108" s="24">
        <f>+J24</f>
        <v>0.9909421424461439</v>
      </c>
      <c r="G108" s="20">
        <f t="shared" si="19"/>
        <v>0</v>
      </c>
      <c r="H108" s="20"/>
      <c r="I108" s="20"/>
      <c r="J108" s="24">
        <f>+J103</f>
        <v>1</v>
      </c>
      <c r="K108" s="20">
        <f t="shared" si="20"/>
        <v>0</v>
      </c>
      <c r="L108" s="20"/>
      <c r="M108" s="9">
        <f t="shared" si="21"/>
        <v>0</v>
      </c>
      <c r="N108" s="9"/>
      <c r="O108" s="6">
        <f>+O9</f>
        <v>0.0815</v>
      </c>
      <c r="P108" s="9"/>
      <c r="Q108" s="14">
        <f>+Q9</f>
        <v>1.6230755440453266</v>
      </c>
      <c r="R108" s="9"/>
      <c r="S108" s="9">
        <f t="shared" si="18"/>
        <v>0</v>
      </c>
      <c r="T108" s="9"/>
      <c r="U108" s="9"/>
      <c r="V108" s="9"/>
      <c r="W108" s="9"/>
    </row>
    <row r="109" spans="1:23" ht="12.75">
      <c r="A109" s="5">
        <f t="shared" si="13"/>
        <v>99</v>
      </c>
      <c r="B109" s="5"/>
      <c r="C109" s="23">
        <f t="shared" si="22"/>
        <v>0</v>
      </c>
      <c r="D109" s="23"/>
      <c r="E109" s="20">
        <f t="shared" si="23"/>
        <v>0</v>
      </c>
      <c r="F109" s="24">
        <f>+J24</f>
        <v>0.9909421424461439</v>
      </c>
      <c r="G109" s="20">
        <f t="shared" si="19"/>
        <v>0</v>
      </c>
      <c r="H109" s="20"/>
      <c r="I109" s="20"/>
      <c r="J109" s="24">
        <f>+J103</f>
        <v>1</v>
      </c>
      <c r="K109" s="20">
        <f t="shared" si="20"/>
        <v>0</v>
      </c>
      <c r="L109" s="20"/>
      <c r="M109" s="9">
        <f t="shared" si="21"/>
        <v>0</v>
      </c>
      <c r="N109" s="9"/>
      <c r="O109" s="6">
        <f>+O9</f>
        <v>0.0815</v>
      </c>
      <c r="P109" s="9"/>
      <c r="Q109" s="14">
        <f>+Q9</f>
        <v>1.6230755440453266</v>
      </c>
      <c r="R109" s="9"/>
      <c r="S109" s="9">
        <f t="shared" si="18"/>
        <v>0</v>
      </c>
      <c r="T109" s="9"/>
      <c r="U109" s="9"/>
      <c r="V109" s="9"/>
      <c r="W109" s="9"/>
    </row>
    <row r="110" spans="1:23" ht="12.75">
      <c r="A110" s="5">
        <f t="shared" si="13"/>
        <v>100</v>
      </c>
      <c r="B110" s="5"/>
      <c r="C110" s="23" t="str">
        <f t="shared" si="22"/>
        <v>Synergies from Merger - Reserve</v>
      </c>
      <c r="D110" s="23"/>
      <c r="E110" s="20">
        <f t="shared" si="23"/>
        <v>0</v>
      </c>
      <c r="F110" s="24">
        <f>+J24</f>
        <v>0.9909421424461439</v>
      </c>
      <c r="G110" s="20">
        <f t="shared" si="19"/>
        <v>0</v>
      </c>
      <c r="H110" s="20"/>
      <c r="I110" s="20"/>
      <c r="J110" s="24">
        <f>+J103</f>
        <v>1</v>
      </c>
      <c r="K110" s="20">
        <f t="shared" si="20"/>
        <v>0</v>
      </c>
      <c r="L110" s="20"/>
      <c r="M110" s="9">
        <f t="shared" si="21"/>
        <v>0</v>
      </c>
      <c r="N110" s="9"/>
      <c r="O110" s="6">
        <f>+O9</f>
        <v>0.0815</v>
      </c>
      <c r="P110" s="9"/>
      <c r="Q110" s="14">
        <f>+Q9</f>
        <v>1.6230755440453266</v>
      </c>
      <c r="R110" s="9"/>
      <c r="S110" s="9">
        <f t="shared" si="18"/>
        <v>0</v>
      </c>
      <c r="T110" s="9"/>
      <c r="U110" s="9"/>
      <c r="V110" s="9"/>
      <c r="W110" s="9"/>
    </row>
    <row r="111" spans="1:23" ht="12.75">
      <c r="A111" s="5">
        <f t="shared" si="13"/>
        <v>101</v>
      </c>
      <c r="B111" s="5"/>
      <c r="C111" s="23" t="str">
        <f t="shared" si="22"/>
        <v>Include Jeffrey Common Plant - Reserve</v>
      </c>
      <c r="D111" s="23"/>
      <c r="E111" s="20">
        <f t="shared" si="23"/>
        <v>1490134</v>
      </c>
      <c r="F111" s="24">
        <f>+J24</f>
        <v>0.9909421424461439</v>
      </c>
      <c r="G111" s="20">
        <f t="shared" si="19"/>
        <v>1476636.5784918421</v>
      </c>
      <c r="H111" s="20"/>
      <c r="I111" s="20"/>
      <c r="J111" s="24">
        <f>+J103</f>
        <v>1</v>
      </c>
      <c r="K111" s="20">
        <f t="shared" si="20"/>
        <v>0</v>
      </c>
      <c r="L111" s="20"/>
      <c r="M111" s="9">
        <f t="shared" si="21"/>
        <v>-1476636.5784918421</v>
      </c>
      <c r="N111" s="9"/>
      <c r="O111" s="6">
        <f>+O9</f>
        <v>0.0815</v>
      </c>
      <c r="P111" s="9"/>
      <c r="Q111" s="14">
        <f>+Q9</f>
        <v>1.6230755440453266</v>
      </c>
      <c r="R111" s="9"/>
      <c r="S111" s="9">
        <f t="shared" si="18"/>
        <v>195330.45651641942</v>
      </c>
      <c r="T111" s="9"/>
      <c r="U111" s="9"/>
      <c r="V111" s="9"/>
      <c r="W111" s="9"/>
    </row>
    <row r="112" spans="1:23" ht="12.75">
      <c r="A112" s="5">
        <f t="shared" si="13"/>
        <v>102</v>
      </c>
      <c r="B112" s="5"/>
      <c r="C112" s="23" t="str">
        <f t="shared" si="22"/>
        <v>Eliminate Corp. Reserve Write Off</v>
      </c>
      <c r="D112" s="23"/>
      <c r="E112" s="20">
        <f t="shared" si="23"/>
        <v>0</v>
      </c>
      <c r="F112" s="24">
        <f>+J24</f>
        <v>0.9909421424461439</v>
      </c>
      <c r="G112" s="20">
        <f t="shared" si="19"/>
        <v>0</v>
      </c>
      <c r="H112" s="20"/>
      <c r="I112" s="20"/>
      <c r="J112" s="24">
        <f>+J103</f>
        <v>1</v>
      </c>
      <c r="K112" s="20">
        <f t="shared" si="20"/>
        <v>0</v>
      </c>
      <c r="L112" s="20"/>
      <c r="M112" s="9">
        <f t="shared" si="21"/>
        <v>0</v>
      </c>
      <c r="N112" s="9"/>
      <c r="O112" s="6">
        <f>+O9</f>
        <v>0.0815</v>
      </c>
      <c r="P112" s="9"/>
      <c r="Q112" s="14">
        <f>+Q9</f>
        <v>1.6230755440453266</v>
      </c>
      <c r="R112" s="9"/>
      <c r="S112" s="9">
        <f t="shared" si="18"/>
        <v>0</v>
      </c>
      <c r="T112" s="9"/>
      <c r="U112" s="9"/>
      <c r="V112" s="9"/>
      <c r="W112" s="9"/>
    </row>
    <row r="113" spans="1:23" ht="12.75">
      <c r="A113" s="5">
        <f t="shared" si="13"/>
        <v>103</v>
      </c>
      <c r="B113" s="5"/>
      <c r="C113" t="s">
        <v>24</v>
      </c>
      <c r="E113" s="9">
        <f>+E115-SUM(E105:E112)</f>
        <v>501828777</v>
      </c>
      <c r="F113" s="6">
        <f>+J24</f>
        <v>0.9909421424461439</v>
      </c>
      <c r="G113" s="20">
        <f t="shared" si="19"/>
        <v>497283283.4215082</v>
      </c>
      <c r="H113" s="9"/>
      <c r="I113" s="9">
        <f>+I115-SUM(I105:I112)</f>
        <v>0</v>
      </c>
      <c r="J113" s="24">
        <f>+J103</f>
        <v>1</v>
      </c>
      <c r="K113" s="20">
        <f t="shared" si="20"/>
        <v>0</v>
      </c>
      <c r="L113" s="9"/>
      <c r="M113" s="9">
        <f t="shared" si="21"/>
        <v>-497283283.4215082</v>
      </c>
      <c r="N113" s="9"/>
      <c r="O113" s="6">
        <f>+O9</f>
        <v>0.0815</v>
      </c>
      <c r="P113" s="9"/>
      <c r="Q113" s="14">
        <f>+Q9</f>
        <v>1.6230755440453266</v>
      </c>
      <c r="R113" s="9"/>
      <c r="S113" s="9">
        <f t="shared" si="18"/>
        <v>65780959.366396874</v>
      </c>
      <c r="T113" s="9"/>
      <c r="U113" s="9"/>
      <c r="V113" s="9"/>
      <c r="W113" s="9"/>
    </row>
    <row r="114" spans="1:23" ht="12.75">
      <c r="A114" s="5">
        <f t="shared" si="13"/>
        <v>104</v>
      </c>
      <c r="B114" s="5"/>
      <c r="E114" s="8" t="s">
        <v>134</v>
      </c>
      <c r="F114" s="7"/>
      <c r="G114" s="8" t="s">
        <v>58</v>
      </c>
      <c r="H114" s="9"/>
      <c r="I114" s="8" t="s">
        <v>134</v>
      </c>
      <c r="J114" s="7"/>
      <c r="K114" s="8" t="s">
        <v>134</v>
      </c>
      <c r="L114" s="9"/>
      <c r="M114" s="8" t="s">
        <v>58</v>
      </c>
      <c r="N114" s="9"/>
      <c r="O114" s="7"/>
      <c r="P114" s="9"/>
      <c r="Q114" s="14"/>
      <c r="R114" s="9"/>
      <c r="S114" s="8" t="s">
        <v>31</v>
      </c>
      <c r="T114" s="9"/>
      <c r="U114" s="9"/>
      <c r="V114" s="9"/>
      <c r="W114" s="9"/>
    </row>
    <row r="115" spans="1:23" ht="12.75">
      <c r="A115" s="5">
        <f t="shared" si="13"/>
        <v>105</v>
      </c>
      <c r="B115" s="5"/>
      <c r="C115" s="23" t="s">
        <v>22</v>
      </c>
      <c r="D115" s="29" t="s">
        <v>18</v>
      </c>
      <c r="E115" s="20">
        <f>+I37</f>
        <v>503318911</v>
      </c>
      <c r="F115" s="24"/>
      <c r="G115" s="20">
        <f>SUM(G103:G114)</f>
        <v>498759920.00000006</v>
      </c>
      <c r="H115" s="20"/>
      <c r="I115" s="20"/>
      <c r="J115" s="24"/>
      <c r="K115" s="20">
        <f>SUM(K103:K114)</f>
        <v>0</v>
      </c>
      <c r="L115" s="20"/>
      <c r="M115" s="9">
        <f>SUM(M107:M114)</f>
        <v>-498759920.00000006</v>
      </c>
      <c r="N115" s="9"/>
      <c r="O115" s="6"/>
      <c r="P115" s="9"/>
      <c r="Q115" s="14"/>
      <c r="R115" s="9"/>
      <c r="S115" s="9">
        <f>SUM(S107:S114)</f>
        <v>65976289.8229133</v>
      </c>
      <c r="T115" s="9"/>
      <c r="U115" s="9"/>
      <c r="V115" s="9"/>
      <c r="W115" s="9"/>
    </row>
    <row r="116" spans="1:23" ht="12.75">
      <c r="A116" s="5">
        <f t="shared" si="13"/>
        <v>106</v>
      </c>
      <c r="B116" s="5"/>
      <c r="E116" s="9"/>
      <c r="F116" s="6"/>
      <c r="G116" s="9"/>
      <c r="H116" s="9"/>
      <c r="I116" s="9"/>
      <c r="J116" s="6"/>
      <c r="K116" s="9"/>
      <c r="L116" s="9"/>
      <c r="M116" s="9"/>
      <c r="N116" s="9"/>
      <c r="O116" s="6"/>
      <c r="P116" s="9"/>
      <c r="Q116" s="14"/>
      <c r="R116" s="9"/>
      <c r="S116" s="9"/>
      <c r="T116" s="9"/>
      <c r="U116" s="9"/>
      <c r="V116" s="9"/>
      <c r="W116" s="9"/>
    </row>
    <row r="117" spans="1:23" ht="12.75">
      <c r="A117" s="5">
        <f t="shared" si="13"/>
        <v>107</v>
      </c>
      <c r="B117" s="5"/>
      <c r="C117" s="29" t="str">
        <f>+C39</f>
        <v>Add to Net Plant</v>
      </c>
      <c r="D117" s="23"/>
      <c r="E117" s="20"/>
      <c r="F117" s="24"/>
      <c r="G117" s="20"/>
      <c r="H117" s="20"/>
      <c r="I117" s="20"/>
      <c r="J117" s="24"/>
      <c r="K117" s="20"/>
      <c r="L117" s="20"/>
      <c r="M117" s="9"/>
      <c r="N117" s="9"/>
      <c r="O117" s="6"/>
      <c r="P117" s="9"/>
      <c r="Q117" s="14"/>
      <c r="R117" s="9"/>
      <c r="S117" s="9"/>
      <c r="T117" s="9"/>
      <c r="U117" s="9"/>
      <c r="V117" s="9"/>
      <c r="W117" s="9"/>
    </row>
    <row r="118" spans="1:23" ht="12.75">
      <c r="A118" s="5">
        <f t="shared" si="13"/>
        <v>108</v>
      </c>
      <c r="B118" s="5"/>
      <c r="C118" s="48" t="str">
        <f>+C40</f>
        <v>Cash Working Capital</v>
      </c>
      <c r="D118" s="23"/>
      <c r="E118" s="20"/>
      <c r="F118" s="24"/>
      <c r="G118" s="49">
        <f>+K40</f>
        <v>-17446320</v>
      </c>
      <c r="H118" s="20"/>
      <c r="I118" s="20"/>
      <c r="J118" s="24"/>
      <c r="K118" s="20"/>
      <c r="L118" s="20"/>
      <c r="M118" s="9">
        <f aca="true" t="shared" si="24" ref="M118:M126">+K118-G118</f>
        <v>17446320</v>
      </c>
      <c r="N118" s="9"/>
      <c r="O118" s="6">
        <f>+O9</f>
        <v>0.0815</v>
      </c>
      <c r="P118" s="9"/>
      <c r="Q118" s="14">
        <f>+Q9</f>
        <v>1.6230755440453266</v>
      </c>
      <c r="R118" s="9"/>
      <c r="S118" s="9">
        <f aca="true" t="shared" si="25" ref="S118:S131">+(M118*O118)*Q118</f>
        <v>2307810.6690354925</v>
      </c>
      <c r="T118" s="9"/>
      <c r="U118" s="9"/>
      <c r="V118" s="9"/>
      <c r="W118" s="9"/>
    </row>
    <row r="119" spans="1:23" ht="12.75">
      <c r="A119" s="5">
        <f t="shared" si="13"/>
        <v>109</v>
      </c>
      <c r="B119" s="5"/>
      <c r="C119" s="48" t="str">
        <f>+C41</f>
        <v>Materials &amp; Supplies</v>
      </c>
      <c r="D119" s="23"/>
      <c r="E119" s="20"/>
      <c r="F119" s="24"/>
      <c r="G119" s="49">
        <f>+K41</f>
        <v>14918410</v>
      </c>
      <c r="H119" s="20"/>
      <c r="I119" s="20"/>
      <c r="J119" s="24"/>
      <c r="K119" s="20"/>
      <c r="L119" s="20"/>
      <c r="M119" s="9">
        <f t="shared" si="24"/>
        <v>-14918410</v>
      </c>
      <c r="N119" s="9"/>
      <c r="O119" s="6">
        <f>+O9</f>
        <v>0.0815</v>
      </c>
      <c r="P119" s="9"/>
      <c r="Q119" s="14">
        <f>+Q9</f>
        <v>1.6230755440453266</v>
      </c>
      <c r="R119" s="9"/>
      <c r="S119" s="9">
        <f t="shared" si="25"/>
        <v>-1973417.0738038612</v>
      </c>
      <c r="T119" s="9"/>
      <c r="U119" s="9"/>
      <c r="V119" s="9"/>
      <c r="W119" s="9"/>
    </row>
    <row r="120" spans="1:23" ht="12.75">
      <c r="A120" s="5">
        <f t="shared" si="13"/>
        <v>110</v>
      </c>
      <c r="B120" s="5"/>
      <c r="C120" s="48" t="str">
        <f aca="true" t="shared" si="26" ref="C120:C131">+C42</f>
        <v>Undistributed Stores</v>
      </c>
      <c r="D120" s="23"/>
      <c r="E120" s="20"/>
      <c r="F120" s="24"/>
      <c r="G120" s="49">
        <f aca="true" t="shared" si="27" ref="G120:G129">+K42</f>
        <v>2467194</v>
      </c>
      <c r="H120" s="20"/>
      <c r="I120" s="20"/>
      <c r="J120" s="24"/>
      <c r="K120" s="20"/>
      <c r="L120" s="20"/>
      <c r="M120" s="9">
        <f t="shared" si="24"/>
        <v>-2467194</v>
      </c>
      <c r="N120" s="9"/>
      <c r="O120" s="6">
        <f>+O9</f>
        <v>0.0815</v>
      </c>
      <c r="P120" s="9"/>
      <c r="Q120" s="14">
        <f>+Q9</f>
        <v>1.6230755440453266</v>
      </c>
      <c r="R120" s="9"/>
      <c r="S120" s="9">
        <f t="shared" si="25"/>
        <v>-326362.04287095234</v>
      </c>
      <c r="T120" s="9"/>
      <c r="U120" s="9"/>
      <c r="V120" s="9"/>
      <c r="W120" s="9"/>
    </row>
    <row r="121" spans="1:23" ht="12.75">
      <c r="A121" s="5">
        <f t="shared" si="13"/>
        <v>111</v>
      </c>
      <c r="B121" s="5"/>
      <c r="C121" s="48" t="str">
        <f t="shared" si="26"/>
        <v>Prepayments - MPS</v>
      </c>
      <c r="D121" s="23"/>
      <c r="E121" s="20"/>
      <c r="F121" s="24"/>
      <c r="G121" s="49">
        <f t="shared" si="27"/>
        <v>142786</v>
      </c>
      <c r="H121" s="20"/>
      <c r="I121" s="20"/>
      <c r="J121" s="24"/>
      <c r="K121" s="20"/>
      <c r="L121" s="20"/>
      <c r="M121" s="9">
        <f t="shared" si="24"/>
        <v>-142786</v>
      </c>
      <c r="N121" s="9"/>
      <c r="O121" s="6">
        <f>+O9</f>
        <v>0.0815</v>
      </c>
      <c r="P121" s="9"/>
      <c r="Q121" s="14">
        <f>+Q9</f>
        <v>1.6230755440453266</v>
      </c>
      <c r="R121" s="9"/>
      <c r="S121" s="9">
        <f t="shared" si="25"/>
        <v>-18887.825867512565</v>
      </c>
      <c r="T121" s="9"/>
      <c r="U121" s="9"/>
      <c r="V121" s="9"/>
      <c r="W121" s="9"/>
    </row>
    <row r="122" spans="1:23" ht="12.75">
      <c r="A122" s="5">
        <f t="shared" si="13"/>
        <v>112</v>
      </c>
      <c r="B122" s="5"/>
      <c r="C122" s="48" t="str">
        <f t="shared" si="26"/>
        <v>Prepayments - MPS of UCU</v>
      </c>
      <c r="D122" s="23"/>
      <c r="E122" s="20"/>
      <c r="F122" s="24"/>
      <c r="G122" s="49">
        <f t="shared" si="27"/>
        <v>1080341</v>
      </c>
      <c r="H122" s="20"/>
      <c r="I122" s="20"/>
      <c r="J122" s="24"/>
      <c r="K122" s="20"/>
      <c r="L122" s="20"/>
      <c r="M122" s="9">
        <f t="shared" si="24"/>
        <v>-1080341</v>
      </c>
      <c r="N122" s="9"/>
      <c r="O122" s="6">
        <f>+O9</f>
        <v>0.0815</v>
      </c>
      <c r="P122" s="9"/>
      <c r="Q122" s="14">
        <f>+Q9</f>
        <v>1.6230755440453266</v>
      </c>
      <c r="R122" s="9"/>
      <c r="S122" s="9">
        <f t="shared" si="25"/>
        <v>-142908.217090852</v>
      </c>
      <c r="T122" s="9"/>
      <c r="U122" s="9"/>
      <c r="V122" s="9"/>
      <c r="W122" s="9"/>
    </row>
    <row r="123" spans="1:23" ht="12.75">
      <c r="A123" s="5">
        <f t="shared" si="13"/>
        <v>113</v>
      </c>
      <c r="B123" s="5"/>
      <c r="C123" s="48" t="str">
        <f t="shared" si="26"/>
        <v>Emission Allowances</v>
      </c>
      <c r="D123" s="23"/>
      <c r="E123" s="20"/>
      <c r="F123" s="24"/>
      <c r="G123" s="49">
        <f t="shared" si="27"/>
        <v>221619</v>
      </c>
      <c r="H123" s="20"/>
      <c r="I123" s="20"/>
      <c r="J123" s="24"/>
      <c r="K123" s="20"/>
      <c r="L123" s="20"/>
      <c r="M123" s="9">
        <f t="shared" si="24"/>
        <v>-221619</v>
      </c>
      <c r="N123" s="9"/>
      <c r="O123" s="6">
        <f>+O9</f>
        <v>0.0815</v>
      </c>
      <c r="P123" s="9"/>
      <c r="Q123" s="14">
        <f>+Q9</f>
        <v>1.6230755440453266</v>
      </c>
      <c r="R123" s="9"/>
      <c r="S123" s="9">
        <f t="shared" si="25"/>
        <v>-29315.906888156176</v>
      </c>
      <c r="T123" s="9"/>
      <c r="U123" s="9"/>
      <c r="V123" s="9"/>
      <c r="W123" s="9"/>
    </row>
    <row r="124" spans="1:23" ht="12.75">
      <c r="A124" s="5">
        <f t="shared" si="13"/>
        <v>114</v>
      </c>
      <c r="B124" s="5"/>
      <c r="C124" s="48" t="str">
        <f t="shared" si="26"/>
        <v>Fuel Inventory - Oil &amp; Propane</v>
      </c>
      <c r="D124" s="23"/>
      <c r="E124" s="20"/>
      <c r="F124" s="24"/>
      <c r="G124" s="49">
        <f t="shared" si="27"/>
        <v>1482919</v>
      </c>
      <c r="H124" s="20"/>
      <c r="I124" s="20"/>
      <c r="J124" s="24"/>
      <c r="K124" s="20"/>
      <c r="L124" s="20"/>
      <c r="M124" s="9">
        <f t="shared" si="24"/>
        <v>-1482919</v>
      </c>
      <c r="N124" s="9"/>
      <c r="O124" s="6">
        <f>+O9</f>
        <v>0.0815</v>
      </c>
      <c r="P124" s="9"/>
      <c r="Q124" s="14">
        <f>+Q9</f>
        <v>1.6230755440453266</v>
      </c>
      <c r="R124" s="9"/>
      <c r="S124" s="9">
        <f t="shared" si="25"/>
        <v>-196161.4993600624</v>
      </c>
      <c r="T124" s="9"/>
      <c r="U124" s="9"/>
      <c r="V124" s="9"/>
      <c r="W124" s="9"/>
    </row>
    <row r="125" spans="1:23" ht="12.75">
      <c r="A125" s="5">
        <f t="shared" si="13"/>
        <v>115</v>
      </c>
      <c r="B125" s="5"/>
      <c r="C125" s="48" t="str">
        <f t="shared" si="26"/>
        <v>Fuel Inventory - Coal</v>
      </c>
      <c r="D125" s="23"/>
      <c r="E125" s="20"/>
      <c r="F125" s="24"/>
      <c r="G125" s="49">
        <f t="shared" si="27"/>
        <v>7053821</v>
      </c>
      <c r="H125" s="20"/>
      <c r="I125" s="20"/>
      <c r="J125" s="24"/>
      <c r="K125" s="20"/>
      <c r="L125" s="20"/>
      <c r="M125" s="9">
        <f t="shared" si="24"/>
        <v>-7053821</v>
      </c>
      <c r="N125" s="9"/>
      <c r="O125" s="6">
        <f>+O9</f>
        <v>0.0815</v>
      </c>
      <c r="P125" s="9"/>
      <c r="Q125" s="14">
        <f>+Q9</f>
        <v>1.6230755440453266</v>
      </c>
      <c r="R125" s="9"/>
      <c r="S125" s="9">
        <f t="shared" si="25"/>
        <v>-933084.075109628</v>
      </c>
      <c r="T125" s="9"/>
      <c r="U125" s="9"/>
      <c r="V125" s="9"/>
      <c r="W125" s="9"/>
    </row>
    <row r="126" spans="1:23" ht="12.75">
      <c r="A126" s="5">
        <f t="shared" si="13"/>
        <v>116</v>
      </c>
      <c r="B126" s="5"/>
      <c r="C126" s="48" t="str">
        <f t="shared" si="26"/>
        <v>Fuel Inventory - Coke</v>
      </c>
      <c r="D126" s="23"/>
      <c r="E126" s="20"/>
      <c r="F126" s="24"/>
      <c r="G126" s="49">
        <f t="shared" si="27"/>
        <v>0</v>
      </c>
      <c r="H126" s="20"/>
      <c r="I126" s="20"/>
      <c r="J126" s="24"/>
      <c r="K126" s="20"/>
      <c r="L126" s="20"/>
      <c r="M126" s="9">
        <f t="shared" si="24"/>
        <v>0</v>
      </c>
      <c r="N126" s="9"/>
      <c r="O126" s="6">
        <f>+O9</f>
        <v>0.0815</v>
      </c>
      <c r="P126" s="9"/>
      <c r="Q126" s="14">
        <f>+Q9</f>
        <v>1.6230755440453266</v>
      </c>
      <c r="R126" s="9"/>
      <c r="S126" s="9">
        <f t="shared" si="25"/>
        <v>0</v>
      </c>
      <c r="T126" s="9"/>
      <c r="U126" s="9"/>
      <c r="V126" s="9"/>
      <c r="W126" s="9"/>
    </row>
    <row r="127" spans="1:23" ht="12.75">
      <c r="A127" s="5">
        <f t="shared" si="13"/>
        <v>117</v>
      </c>
      <c r="B127" s="5"/>
      <c r="C127" s="48" t="str">
        <f t="shared" si="26"/>
        <v>Prepaid Pension Asset</v>
      </c>
      <c r="D127" s="23"/>
      <c r="E127" s="20"/>
      <c r="F127" s="24"/>
      <c r="G127" s="49">
        <f t="shared" si="27"/>
        <v>10298625</v>
      </c>
      <c r="H127" s="20"/>
      <c r="I127" s="20"/>
      <c r="J127" s="24"/>
      <c r="K127" s="20"/>
      <c r="L127" s="20"/>
      <c r="M127" s="9">
        <f>+K127-G127</f>
        <v>-10298625</v>
      </c>
      <c r="N127" s="9"/>
      <c r="O127" s="6">
        <f>+O9</f>
        <v>0.0815</v>
      </c>
      <c r="P127" s="9"/>
      <c r="Q127" s="14">
        <f>+Q9</f>
        <v>1.6230755440453266</v>
      </c>
      <c r="R127" s="9"/>
      <c r="S127" s="9">
        <f t="shared" si="25"/>
        <v>-1362308.879545695</v>
      </c>
      <c r="T127" s="9"/>
      <c r="U127" s="9"/>
      <c r="V127" s="9"/>
      <c r="W127" s="9"/>
    </row>
    <row r="128" spans="1:23" ht="12.75">
      <c r="A128" s="5">
        <f t="shared" si="13"/>
        <v>118</v>
      </c>
      <c r="B128" s="5"/>
      <c r="C128" s="48" t="str">
        <f t="shared" si="26"/>
        <v>AAO-Def. Sibley Rebuild - 1990</v>
      </c>
      <c r="D128" s="23"/>
      <c r="E128" s="20"/>
      <c r="F128" s="24"/>
      <c r="G128" s="49">
        <f t="shared" si="27"/>
        <v>1391880</v>
      </c>
      <c r="H128" s="20"/>
      <c r="I128" s="20"/>
      <c r="J128" s="24"/>
      <c r="K128" s="20"/>
      <c r="L128" s="20"/>
      <c r="M128" s="9">
        <f>+K128-G128</f>
        <v>-1391880</v>
      </c>
      <c r="N128" s="9"/>
      <c r="O128" s="6">
        <f>+O9</f>
        <v>0.0815</v>
      </c>
      <c r="P128" s="9"/>
      <c r="Q128" s="14">
        <f>+Q9</f>
        <v>1.6230755440453266</v>
      </c>
      <c r="R128" s="9"/>
      <c r="S128" s="9">
        <f t="shared" si="25"/>
        <v>-184118.80064203346</v>
      </c>
      <c r="T128" s="9"/>
      <c r="U128" s="9"/>
      <c r="V128" s="9"/>
      <c r="W128" s="9"/>
    </row>
    <row r="129" spans="1:23" ht="12.75">
      <c r="A129" s="5">
        <f t="shared" si="13"/>
        <v>119</v>
      </c>
      <c r="B129" s="5"/>
      <c r="C129" s="48" t="str">
        <f t="shared" si="26"/>
        <v>AAO-Def. Sibley Rebuild - 1993</v>
      </c>
      <c r="D129" s="23"/>
      <c r="E129" s="20"/>
      <c r="F129" s="24"/>
      <c r="G129" s="49">
        <f t="shared" si="27"/>
        <v>1421182</v>
      </c>
      <c r="H129" s="20"/>
      <c r="I129" s="20"/>
      <c r="J129" s="24"/>
      <c r="K129" s="20"/>
      <c r="L129" s="20"/>
      <c r="M129" s="9">
        <f>+K129-G129</f>
        <v>-1421182</v>
      </c>
      <c r="N129" s="9"/>
      <c r="O129" s="6">
        <f>+O9</f>
        <v>0.0815</v>
      </c>
      <c r="P129" s="9"/>
      <c r="Q129" s="14">
        <f>+Q9</f>
        <v>1.6230755440453266</v>
      </c>
      <c r="R129" s="9"/>
      <c r="S129" s="9">
        <f t="shared" si="25"/>
        <v>-187994.88844875016</v>
      </c>
      <c r="T129" s="9"/>
      <c r="U129" s="9"/>
      <c r="V129" s="9"/>
      <c r="W129" s="9"/>
    </row>
    <row r="130" spans="1:23" ht="12.75">
      <c r="A130" s="5">
        <f t="shared" si="13"/>
        <v>120</v>
      </c>
      <c r="B130" s="5"/>
      <c r="C130" s="48" t="str">
        <f t="shared" si="26"/>
        <v>AAO-Ice Storm</v>
      </c>
      <c r="D130" s="23"/>
      <c r="E130" s="20"/>
      <c r="F130" s="24"/>
      <c r="G130" s="49">
        <f>+K52</f>
        <v>0</v>
      </c>
      <c r="H130" s="20"/>
      <c r="I130" s="20"/>
      <c r="J130" s="24"/>
      <c r="K130" s="20"/>
      <c r="L130" s="20"/>
      <c r="M130" s="9">
        <f>+K130-G130</f>
        <v>0</v>
      </c>
      <c r="N130" s="9"/>
      <c r="O130" s="6">
        <f>+O9</f>
        <v>0.0815</v>
      </c>
      <c r="P130" s="9"/>
      <c r="Q130" s="14">
        <f>+Q9</f>
        <v>1.6230755440453266</v>
      </c>
      <c r="R130" s="9"/>
      <c r="S130" s="9">
        <f t="shared" si="25"/>
        <v>0</v>
      </c>
      <c r="T130" s="9"/>
      <c r="U130" s="9"/>
      <c r="V130" s="9"/>
      <c r="W130" s="9"/>
    </row>
    <row r="131" spans="1:23" ht="12.75">
      <c r="A131" s="5">
        <f t="shared" si="13"/>
        <v>121</v>
      </c>
      <c r="B131" s="5"/>
      <c r="C131" s="48" t="str">
        <f t="shared" si="26"/>
        <v>Regulatory Asset-FAS 109</v>
      </c>
      <c r="D131" s="23"/>
      <c r="E131" s="20"/>
      <c r="F131" s="24"/>
      <c r="G131" s="49">
        <f>+K53</f>
        <v>0</v>
      </c>
      <c r="H131" s="20"/>
      <c r="I131" s="20"/>
      <c r="J131" s="24"/>
      <c r="K131" s="20"/>
      <c r="L131" s="20"/>
      <c r="M131" s="9">
        <f>+K131-G131</f>
        <v>0</v>
      </c>
      <c r="N131" s="9"/>
      <c r="O131" s="6">
        <f>+O9</f>
        <v>0.0815</v>
      </c>
      <c r="P131" s="9"/>
      <c r="Q131" s="14">
        <f>+Q9</f>
        <v>1.6230755440453266</v>
      </c>
      <c r="R131" s="9"/>
      <c r="S131" s="9">
        <f t="shared" si="25"/>
        <v>0</v>
      </c>
      <c r="T131" s="9"/>
      <c r="U131" s="9"/>
      <c r="V131" s="9"/>
      <c r="W131" s="9"/>
    </row>
    <row r="132" spans="1:23" ht="12.75">
      <c r="A132" s="5">
        <f t="shared" si="13"/>
        <v>122</v>
      </c>
      <c r="B132" s="5"/>
      <c r="C132" s="48"/>
      <c r="D132" s="23"/>
      <c r="E132" s="20"/>
      <c r="F132" s="24"/>
      <c r="G132" s="49"/>
      <c r="H132" s="20"/>
      <c r="I132" s="20"/>
      <c r="J132" s="24"/>
      <c r="K132" s="20"/>
      <c r="L132" s="20"/>
      <c r="M132" s="9"/>
      <c r="N132" s="9"/>
      <c r="O132" s="6"/>
      <c r="P132" s="9"/>
      <c r="Q132" s="14"/>
      <c r="R132" s="9"/>
      <c r="S132" s="9"/>
      <c r="T132" s="9"/>
      <c r="U132" s="9"/>
      <c r="V132" s="9"/>
      <c r="W132" s="9"/>
    </row>
    <row r="133" spans="1:23" ht="12.75">
      <c r="A133" s="5">
        <f t="shared" si="13"/>
        <v>123</v>
      </c>
      <c r="B133" s="5"/>
      <c r="C133" s="29" t="str">
        <f aca="true" t="shared" si="28" ref="C133:C144">+C55</f>
        <v>Subtract from Net Plant</v>
      </c>
      <c r="D133" s="23"/>
      <c r="E133" s="20"/>
      <c r="F133" s="24"/>
      <c r="G133" s="20"/>
      <c r="H133" s="20"/>
      <c r="I133" s="20"/>
      <c r="J133" s="24"/>
      <c r="K133" s="20"/>
      <c r="L133" s="20"/>
      <c r="M133" s="9"/>
      <c r="N133" s="9"/>
      <c r="O133" s="6"/>
      <c r="P133" s="9"/>
      <c r="Q133" s="14"/>
      <c r="R133" s="9"/>
      <c r="S133" s="9"/>
      <c r="T133" s="9"/>
      <c r="U133" s="9"/>
      <c r="V133" s="9"/>
      <c r="W133" s="9"/>
    </row>
    <row r="134" spans="1:23" ht="12.75">
      <c r="A134" s="5">
        <f t="shared" si="13"/>
        <v>124</v>
      </c>
      <c r="B134" s="5"/>
      <c r="C134" s="48" t="str">
        <f t="shared" si="28"/>
        <v>Income Tax Offsets</v>
      </c>
      <c r="D134" s="23"/>
      <c r="E134" s="20"/>
      <c r="F134" s="24"/>
      <c r="G134" s="49">
        <f aca="true" t="shared" si="29" ref="G134:G144">+K56</f>
        <v>1019267</v>
      </c>
      <c r="H134" s="20"/>
      <c r="I134" s="20"/>
      <c r="J134" s="24"/>
      <c r="K134" s="20"/>
      <c r="L134" s="20"/>
      <c r="M134" s="9">
        <f>+K134-G134</f>
        <v>-1019267</v>
      </c>
      <c r="N134" s="9"/>
      <c r="O134" s="6">
        <f>+O9</f>
        <v>0.0815</v>
      </c>
      <c r="P134" s="9"/>
      <c r="Q134" s="14">
        <f>+Q9</f>
        <v>1.6230755440453266</v>
      </c>
      <c r="R134" s="9"/>
      <c r="S134" s="9">
        <f aca="true" t="shared" si="30" ref="S134:S144">-(M134*O134)*Q134</f>
        <v>134829.30825502452</v>
      </c>
      <c r="T134" s="9"/>
      <c r="U134" s="9"/>
      <c r="V134" s="9"/>
      <c r="W134" s="9"/>
    </row>
    <row r="135" spans="1:23" ht="12.75">
      <c r="A135" s="5">
        <f t="shared" si="13"/>
        <v>125</v>
      </c>
      <c r="B135" s="5"/>
      <c r="C135" s="48" t="str">
        <f t="shared" si="28"/>
        <v>Interest Offset</v>
      </c>
      <c r="D135" s="23"/>
      <c r="E135" s="20"/>
      <c r="F135" s="24"/>
      <c r="G135" s="49">
        <f t="shared" si="29"/>
        <v>6080261</v>
      </c>
      <c r="H135" s="20"/>
      <c r="I135" s="20"/>
      <c r="J135" s="24"/>
      <c r="K135" s="20"/>
      <c r="L135" s="20"/>
      <c r="M135" s="9">
        <f aca="true" t="shared" si="31" ref="M135:M144">+K135-G135</f>
        <v>-6080261</v>
      </c>
      <c r="N135" s="9"/>
      <c r="O135" s="6">
        <f>+O9</f>
        <v>0.0815</v>
      </c>
      <c r="P135" s="9"/>
      <c r="Q135" s="14">
        <f>+Q9</f>
        <v>1.6230755440453266</v>
      </c>
      <c r="R135" s="9"/>
      <c r="S135" s="9">
        <f t="shared" si="30"/>
        <v>804300.9188367755</v>
      </c>
      <c r="T135" s="9"/>
      <c r="U135" s="9"/>
      <c r="V135" s="9"/>
      <c r="W135" s="9"/>
    </row>
    <row r="136" spans="1:23" ht="12.75">
      <c r="A136" s="5">
        <f t="shared" si="13"/>
        <v>126</v>
      </c>
      <c r="B136" s="5"/>
      <c r="C136" s="48" t="str">
        <f t="shared" si="28"/>
        <v>Customer Advances</v>
      </c>
      <c r="D136" s="23"/>
      <c r="E136" s="20"/>
      <c r="F136" s="24"/>
      <c r="G136" s="49">
        <f t="shared" si="29"/>
        <v>5119690</v>
      </c>
      <c r="H136" s="20"/>
      <c r="I136" s="20"/>
      <c r="J136" s="24"/>
      <c r="K136" s="20"/>
      <c r="L136" s="20"/>
      <c r="M136" s="9">
        <f t="shared" si="31"/>
        <v>-5119690</v>
      </c>
      <c r="N136" s="9"/>
      <c r="O136" s="6">
        <f>+O9</f>
        <v>0.0815</v>
      </c>
      <c r="P136" s="9"/>
      <c r="Q136" s="14">
        <f>+Q9</f>
        <v>1.6230755440453266</v>
      </c>
      <c r="R136" s="9"/>
      <c r="S136" s="9">
        <f t="shared" si="30"/>
        <v>677235.9560156136</v>
      </c>
      <c r="T136" s="9"/>
      <c r="U136" s="9"/>
      <c r="V136" s="9"/>
      <c r="W136" s="9"/>
    </row>
    <row r="137" spans="1:23" ht="12.75">
      <c r="A137" s="5">
        <f t="shared" si="13"/>
        <v>127</v>
      </c>
      <c r="B137" s="5"/>
      <c r="C137" s="48" t="str">
        <f t="shared" si="28"/>
        <v>Customer Deposits</v>
      </c>
      <c r="D137" s="23"/>
      <c r="E137" s="20"/>
      <c r="F137" s="24"/>
      <c r="G137" s="49">
        <f t="shared" si="29"/>
        <v>2760632</v>
      </c>
      <c r="H137" s="20"/>
      <c r="I137" s="20"/>
      <c r="J137" s="24"/>
      <c r="K137" s="20"/>
      <c r="L137" s="20"/>
      <c r="M137" s="9">
        <f t="shared" si="31"/>
        <v>-2760632</v>
      </c>
      <c r="N137" s="9"/>
      <c r="O137" s="6">
        <f>+O9</f>
        <v>0.0815</v>
      </c>
      <c r="P137" s="9"/>
      <c r="Q137" s="14">
        <f>+Q9</f>
        <v>1.6230755440453266</v>
      </c>
      <c r="R137" s="9"/>
      <c r="S137" s="9">
        <f t="shared" si="30"/>
        <v>365178.21425267844</v>
      </c>
      <c r="T137" s="9"/>
      <c r="U137" s="9"/>
      <c r="V137" s="9"/>
      <c r="W137" s="9"/>
    </row>
    <row r="138" spans="1:23" ht="12.75">
      <c r="A138" s="5">
        <f t="shared" si="13"/>
        <v>128</v>
      </c>
      <c r="B138" s="5"/>
      <c r="C138" s="48" t="str">
        <f t="shared" si="28"/>
        <v>Deferred Income Tax - MPS</v>
      </c>
      <c r="D138" s="23"/>
      <c r="E138" s="20"/>
      <c r="F138" s="24"/>
      <c r="G138" s="49">
        <f t="shared" si="29"/>
        <v>78834905</v>
      </c>
      <c r="H138" s="20"/>
      <c r="I138" s="20"/>
      <c r="J138" s="24"/>
      <c r="K138" s="20"/>
      <c r="L138" s="20"/>
      <c r="M138" s="9">
        <f t="shared" si="31"/>
        <v>-78834905</v>
      </c>
      <c r="N138" s="9"/>
      <c r="O138" s="6">
        <f>+O9</f>
        <v>0.0815</v>
      </c>
      <c r="P138" s="9"/>
      <c r="Q138" s="14">
        <f>+Q9</f>
        <v>1.6230755440453266</v>
      </c>
      <c r="R138" s="9"/>
      <c r="S138" s="9">
        <f t="shared" si="30"/>
        <v>10428333.015294887</v>
      </c>
      <c r="T138" s="9"/>
      <c r="U138" s="9"/>
      <c r="V138" s="9"/>
      <c r="W138" s="9"/>
    </row>
    <row r="139" spans="1:23" ht="12.75">
      <c r="A139" s="5">
        <f t="shared" si="13"/>
        <v>129</v>
      </c>
      <c r="B139" s="5"/>
      <c r="C139" s="48" t="str">
        <f t="shared" si="28"/>
        <v>Deferred Income Taxes-Synergies</v>
      </c>
      <c r="D139" s="23"/>
      <c r="E139" s="20"/>
      <c r="F139" s="24"/>
      <c r="G139" s="49">
        <f t="shared" si="29"/>
        <v>0</v>
      </c>
      <c r="H139" s="20"/>
      <c r="I139" s="20"/>
      <c r="J139" s="24"/>
      <c r="K139" s="20"/>
      <c r="L139" s="20"/>
      <c r="M139" s="9">
        <f t="shared" si="31"/>
        <v>0</v>
      </c>
      <c r="N139" s="9"/>
      <c r="O139" s="6">
        <f>+O9</f>
        <v>0.0815</v>
      </c>
      <c r="P139" s="9"/>
      <c r="Q139" s="14">
        <f>+Q9</f>
        <v>1.6230755440453266</v>
      </c>
      <c r="R139" s="9"/>
      <c r="S139" s="9">
        <f t="shared" si="30"/>
        <v>0</v>
      </c>
      <c r="T139" s="9"/>
      <c r="U139" s="9"/>
      <c r="V139" s="9"/>
      <c r="W139" s="9"/>
    </row>
    <row r="140" spans="1:23" ht="12.75">
      <c r="A140" s="5">
        <f t="shared" si="13"/>
        <v>130</v>
      </c>
      <c r="B140" s="5"/>
      <c r="C140" s="48" t="str">
        <f t="shared" si="28"/>
        <v>Deferred Income Tax -AAO</v>
      </c>
      <c r="D140" s="23"/>
      <c r="E140" s="20"/>
      <c r="F140" s="24"/>
      <c r="G140" s="49">
        <f t="shared" si="29"/>
        <v>0</v>
      </c>
      <c r="H140" s="20"/>
      <c r="I140" s="20"/>
      <c r="J140" s="24"/>
      <c r="K140" s="20"/>
      <c r="L140" s="20"/>
      <c r="M140" s="9">
        <f t="shared" si="31"/>
        <v>0</v>
      </c>
      <c r="N140" s="9"/>
      <c r="O140" s="6">
        <f>+O9</f>
        <v>0.0815</v>
      </c>
      <c r="P140" s="9"/>
      <c r="Q140" s="14">
        <f>+Q9</f>
        <v>1.6230755440453266</v>
      </c>
      <c r="R140" s="9"/>
      <c r="S140" s="9">
        <f t="shared" si="30"/>
        <v>0</v>
      </c>
      <c r="T140" s="9"/>
      <c r="U140" s="9"/>
      <c r="V140" s="9"/>
      <c r="W140" s="9"/>
    </row>
    <row r="141" spans="1:23" ht="12.75">
      <c r="A141" s="5">
        <f t="shared" si="13"/>
        <v>131</v>
      </c>
      <c r="B141" s="5"/>
      <c r="C141" s="48" t="str">
        <f t="shared" si="28"/>
        <v>FAS 109-Deferred Tax Liability</v>
      </c>
      <c r="D141" s="23"/>
      <c r="E141" s="20"/>
      <c r="F141" s="24"/>
      <c r="G141" s="49">
        <f t="shared" si="29"/>
        <v>0</v>
      </c>
      <c r="H141" s="20"/>
      <c r="I141" s="20"/>
      <c r="J141" s="24"/>
      <c r="K141" s="20"/>
      <c r="L141" s="20"/>
      <c r="M141" s="9">
        <f t="shared" si="31"/>
        <v>0</v>
      </c>
      <c r="N141" s="9"/>
      <c r="O141" s="6">
        <f>+O9</f>
        <v>0.0815</v>
      </c>
      <c r="P141" s="9"/>
      <c r="Q141" s="14">
        <f>+Q9</f>
        <v>1.6230755440453266</v>
      </c>
      <c r="R141" s="9"/>
      <c r="S141" s="9">
        <f t="shared" si="30"/>
        <v>0</v>
      </c>
      <c r="T141" s="9"/>
      <c r="U141" s="9"/>
      <c r="V141" s="9"/>
      <c r="W141" s="9"/>
    </row>
    <row r="142" spans="1:23" ht="12.75">
      <c r="A142" s="5">
        <f t="shared" si="13"/>
        <v>132</v>
      </c>
      <c r="B142" s="5"/>
      <c r="C142" s="48" t="str">
        <f t="shared" si="28"/>
        <v>Unamortized ITC</v>
      </c>
      <c r="D142" s="23"/>
      <c r="E142" s="20"/>
      <c r="F142" s="24"/>
      <c r="G142" s="49">
        <f t="shared" si="29"/>
        <v>35240</v>
      </c>
      <c r="H142" s="20"/>
      <c r="I142" s="20"/>
      <c r="J142" s="24"/>
      <c r="K142" s="20"/>
      <c r="L142" s="20"/>
      <c r="M142" s="9">
        <f t="shared" si="31"/>
        <v>-35240</v>
      </c>
      <c r="N142" s="9"/>
      <c r="O142" s="6">
        <f>+O9</f>
        <v>0.0815</v>
      </c>
      <c r="P142" s="9"/>
      <c r="Q142" s="14">
        <f>+Q9</f>
        <v>1.6230755440453266</v>
      </c>
      <c r="R142" s="9"/>
      <c r="S142" s="9">
        <f t="shared" si="30"/>
        <v>4661.570347030821</v>
      </c>
      <c r="T142" s="9"/>
      <c r="U142" s="9"/>
      <c r="V142" s="9"/>
      <c r="W142" s="9"/>
    </row>
    <row r="143" spans="1:23" ht="12.75">
      <c r="A143" s="5">
        <f t="shared" si="13"/>
        <v>133</v>
      </c>
      <c r="B143" s="5"/>
      <c r="C143" s="48">
        <f t="shared" si="28"/>
        <v>0</v>
      </c>
      <c r="D143" s="23"/>
      <c r="E143" s="20"/>
      <c r="F143" s="24"/>
      <c r="G143" s="49">
        <f t="shared" si="29"/>
        <v>0</v>
      </c>
      <c r="H143" s="20"/>
      <c r="I143" s="20"/>
      <c r="J143" s="24"/>
      <c r="K143" s="20"/>
      <c r="L143" s="20"/>
      <c r="M143" s="9">
        <f t="shared" si="31"/>
        <v>0</v>
      </c>
      <c r="N143" s="9"/>
      <c r="O143" s="6">
        <f>+O9</f>
        <v>0.0815</v>
      </c>
      <c r="P143" s="9"/>
      <c r="Q143" s="14">
        <f>+Q9</f>
        <v>1.6230755440453266</v>
      </c>
      <c r="R143" s="9"/>
      <c r="S143" s="9">
        <f t="shared" si="30"/>
        <v>0</v>
      </c>
      <c r="T143" s="9"/>
      <c r="U143" s="9"/>
      <c r="V143" s="9"/>
      <c r="W143" s="9"/>
    </row>
    <row r="144" spans="1:23" ht="12.75">
      <c r="A144" s="5">
        <f t="shared" si="13"/>
        <v>134</v>
      </c>
      <c r="B144" s="5"/>
      <c r="C144" s="48">
        <f t="shared" si="28"/>
        <v>0</v>
      </c>
      <c r="D144" s="23"/>
      <c r="E144" s="20"/>
      <c r="F144" s="24"/>
      <c r="G144" s="49">
        <f t="shared" si="29"/>
        <v>0</v>
      </c>
      <c r="H144" s="20"/>
      <c r="I144" s="20"/>
      <c r="J144" s="24"/>
      <c r="K144" s="20"/>
      <c r="L144" s="20"/>
      <c r="M144" s="9">
        <f t="shared" si="31"/>
        <v>0</v>
      </c>
      <c r="N144" s="9"/>
      <c r="O144" s="6">
        <f>+O9</f>
        <v>0.0815</v>
      </c>
      <c r="P144" s="9"/>
      <c r="Q144" s="14">
        <f>+Q9</f>
        <v>1.6230755440453266</v>
      </c>
      <c r="R144" s="9"/>
      <c r="S144" s="9">
        <f t="shared" si="30"/>
        <v>0</v>
      </c>
      <c r="T144" s="9"/>
      <c r="U144" s="9"/>
      <c r="V144" s="9"/>
      <c r="W144" s="9"/>
    </row>
    <row r="145" spans="1:23" ht="12.75">
      <c r="A145" s="5" t="e">
        <f>+#REF!+1</f>
        <v>#REF!</v>
      </c>
      <c r="B145" s="5"/>
      <c r="E145" s="8"/>
      <c r="F145" s="7"/>
      <c r="G145" s="8" t="s">
        <v>58</v>
      </c>
      <c r="H145" s="9"/>
      <c r="I145" s="8"/>
      <c r="J145" s="7"/>
      <c r="K145" s="8" t="s">
        <v>31</v>
      </c>
      <c r="L145" s="9"/>
      <c r="M145" s="8" t="s">
        <v>58</v>
      </c>
      <c r="N145" s="9"/>
      <c r="O145" s="8"/>
      <c r="P145" s="9"/>
      <c r="Q145" s="14"/>
      <c r="R145" s="9"/>
      <c r="S145" s="8" t="s">
        <v>31</v>
      </c>
      <c r="T145" s="9"/>
      <c r="U145" s="9"/>
      <c r="V145" s="9"/>
      <c r="W145" s="9"/>
    </row>
    <row r="146" spans="1:23" ht="12.75">
      <c r="A146" s="5" t="e">
        <f>+A145+1</f>
        <v>#REF!</v>
      </c>
      <c r="B146" s="5"/>
      <c r="C146" t="s">
        <v>37</v>
      </c>
      <c r="E146" s="9"/>
      <c r="F146" s="6"/>
      <c r="G146" s="13">
        <f>+G100-G115+SUM(G118:G131)-SUM(G134:G145)</f>
        <v>656669526</v>
      </c>
      <c r="H146" s="9"/>
      <c r="I146" s="9"/>
      <c r="J146" s="6"/>
      <c r="K146" s="13">
        <f>+K100-K115+SUM(K118:K131)-SUM(K134:K145)</f>
        <v>0</v>
      </c>
      <c r="L146" s="9"/>
      <c r="M146" s="13">
        <f>+M100-M115+SUM(M118:M131)-SUM(M134:M145)</f>
        <v>-656669526</v>
      </c>
      <c r="N146" s="9"/>
      <c r="O146" s="9"/>
      <c r="P146" s="9"/>
      <c r="Q146" s="14"/>
      <c r="R146" s="9"/>
      <c r="S146" s="13">
        <f>+S100+S115+SUM(S118:S145)</f>
        <v>-86864676.2258906</v>
      </c>
      <c r="T146" s="9"/>
      <c r="U146" s="9"/>
      <c r="V146" s="9"/>
      <c r="W146" s="9"/>
    </row>
    <row r="147" spans="5:23" ht="12.75">
      <c r="E147" s="8"/>
      <c r="F147" s="7"/>
      <c r="G147" s="8" t="s">
        <v>88</v>
      </c>
      <c r="H147" s="9"/>
      <c r="I147" s="8"/>
      <c r="J147" s="7"/>
      <c r="K147" s="8" t="s">
        <v>426</v>
      </c>
      <c r="L147" s="9"/>
      <c r="M147" s="8" t="s">
        <v>369</v>
      </c>
      <c r="N147" s="9"/>
      <c r="O147" s="9"/>
      <c r="P147" s="9"/>
      <c r="Q147" s="14"/>
      <c r="R147" s="9"/>
      <c r="S147" s="8" t="s">
        <v>369</v>
      </c>
      <c r="T147" s="9"/>
      <c r="U147" s="9"/>
      <c r="V147" s="9"/>
      <c r="W147" s="9"/>
    </row>
    <row r="148" spans="5:23" ht="12.75">
      <c r="E148" s="9"/>
      <c r="F148" s="6"/>
      <c r="G148" s="9"/>
      <c r="H148" s="9"/>
      <c r="I148" s="9"/>
      <c r="J148" s="6"/>
      <c r="K148" s="9"/>
      <c r="L148" s="9"/>
      <c r="M148" s="9">
        <f>+K146-G146</f>
        <v>-656669526</v>
      </c>
      <c r="N148" s="9"/>
      <c r="O148" s="9"/>
      <c r="P148" s="9"/>
      <c r="Q148" s="14" t="s">
        <v>73</v>
      </c>
      <c r="R148" s="9"/>
      <c r="S148" s="9">
        <f>(+M148*O9)*Q9</f>
        <v>-86864676.2258906</v>
      </c>
      <c r="T148" s="9"/>
      <c r="U148" s="9"/>
      <c r="V148" s="9"/>
      <c r="W148" s="9"/>
    </row>
    <row r="149" spans="5:23" ht="12.75">
      <c r="E149" s="9"/>
      <c r="F149" s="6"/>
      <c r="G149" s="9"/>
      <c r="H149" s="9"/>
      <c r="I149" s="9"/>
      <c r="J149" s="6"/>
      <c r="K149" s="9"/>
      <c r="L149" s="9"/>
      <c r="M149" s="8" t="s">
        <v>369</v>
      </c>
      <c r="N149" s="9"/>
      <c r="O149" s="9"/>
      <c r="P149" s="9"/>
      <c r="Q149" s="14"/>
      <c r="R149" s="9"/>
      <c r="S149" s="8" t="s">
        <v>426</v>
      </c>
      <c r="T149" s="9"/>
      <c r="U149" s="9"/>
      <c r="V149" s="9"/>
      <c r="W149" s="9"/>
    </row>
    <row r="150" spans="5:23" ht="12.75">
      <c r="E150" s="9"/>
      <c r="F150" s="6"/>
      <c r="G150" s="9"/>
      <c r="H150" s="9"/>
      <c r="I150" s="9"/>
      <c r="J150" s="6"/>
      <c r="K150" s="9"/>
      <c r="L150" s="9"/>
      <c r="M150" s="9"/>
      <c r="N150" s="9"/>
      <c r="O150" s="9"/>
      <c r="P150" s="9"/>
      <c r="Q150" s="14"/>
      <c r="R150" s="9"/>
      <c r="S150" s="9"/>
      <c r="T150" s="9"/>
      <c r="U150" s="9"/>
      <c r="V150" s="9"/>
      <c r="W150" s="9"/>
    </row>
    <row r="151" spans="5:23" ht="12.75">
      <c r="E151" s="9"/>
      <c r="F151" s="6"/>
      <c r="G151" s="9"/>
      <c r="H151" s="9"/>
      <c r="I151" s="9"/>
      <c r="J151" s="6"/>
      <c r="K151" s="9"/>
      <c r="L151" s="9"/>
      <c r="M151" s="9"/>
      <c r="N151" s="9"/>
      <c r="O151" s="9"/>
      <c r="P151" s="9"/>
      <c r="Q151" s="14"/>
      <c r="R151" s="9"/>
      <c r="S151" s="9"/>
      <c r="T151" s="9"/>
      <c r="U151" s="9"/>
      <c r="V151" s="9"/>
      <c r="W151" s="9"/>
    </row>
    <row r="152" spans="5:23" ht="12.75">
      <c r="E152" s="9"/>
      <c r="F152" s="6"/>
      <c r="G152" s="9"/>
      <c r="H152" s="9"/>
      <c r="I152" s="9"/>
      <c r="J152" s="6"/>
      <c r="K152" s="9"/>
      <c r="L152" s="9"/>
      <c r="M152" s="9"/>
      <c r="N152" s="9"/>
      <c r="O152" s="9"/>
      <c r="P152" s="9"/>
      <c r="Q152" s="14"/>
      <c r="R152" s="9"/>
      <c r="S152" s="9"/>
      <c r="T152" s="9"/>
      <c r="U152" s="9"/>
      <c r="V152" s="9"/>
      <c r="W152" s="9"/>
    </row>
    <row r="153" spans="5:23" ht="12.75">
      <c r="E153" s="9"/>
      <c r="F153" s="6"/>
      <c r="G153" s="9"/>
      <c r="H153" s="9"/>
      <c r="I153" s="9"/>
      <c r="J153" s="6"/>
      <c r="K153" s="9"/>
      <c r="L153" s="9"/>
      <c r="M153" s="9"/>
      <c r="N153" s="9"/>
      <c r="O153" s="9"/>
      <c r="P153" s="9"/>
      <c r="Q153" s="14"/>
      <c r="R153" s="9"/>
      <c r="S153" s="9"/>
      <c r="T153" s="9"/>
      <c r="U153" s="9"/>
      <c r="V153" s="9"/>
      <c r="W153" s="9"/>
    </row>
    <row r="154" spans="5:23" ht="12.75">
      <c r="E154" s="9"/>
      <c r="F154" s="6"/>
      <c r="G154" s="9"/>
      <c r="H154" s="9"/>
      <c r="I154" s="9"/>
      <c r="J154" s="6"/>
      <c r="K154" s="9"/>
      <c r="L154" s="9"/>
      <c r="M154" s="9"/>
      <c r="N154" s="9"/>
      <c r="O154" s="9"/>
      <c r="P154" s="9"/>
      <c r="Q154" s="14"/>
      <c r="R154" s="9"/>
      <c r="S154" s="9"/>
      <c r="T154" s="9"/>
      <c r="U154" s="9"/>
      <c r="V154" s="9"/>
      <c r="W154" s="9"/>
    </row>
    <row r="155" spans="5:23" ht="12.75">
      <c r="E155" s="9"/>
      <c r="F155" s="6"/>
      <c r="G155" s="9"/>
      <c r="H155" s="9"/>
      <c r="I155" s="9"/>
      <c r="J155" s="6"/>
      <c r="K155" s="9"/>
      <c r="L155" s="9"/>
      <c r="M155" s="9"/>
      <c r="N155" s="9"/>
      <c r="O155" s="9"/>
      <c r="P155" s="9"/>
      <c r="Q155" s="14"/>
      <c r="R155" s="9"/>
      <c r="S155" s="9"/>
      <c r="T155" s="9"/>
      <c r="U155" s="9"/>
      <c r="V155" s="9"/>
      <c r="W155" s="9"/>
    </row>
    <row r="156" spans="5:23" ht="12.75">
      <c r="E156" s="9"/>
      <c r="F156" s="6"/>
      <c r="G156" s="9"/>
      <c r="H156" s="9"/>
      <c r="I156" s="9"/>
      <c r="J156" s="6"/>
      <c r="K156" s="9"/>
      <c r="L156" s="9"/>
      <c r="M156" s="9"/>
      <c r="N156" s="9"/>
      <c r="O156" s="9"/>
      <c r="P156" s="9"/>
      <c r="Q156" s="14"/>
      <c r="R156" s="9"/>
      <c r="S156" s="9"/>
      <c r="T156" s="9"/>
      <c r="U156" s="9"/>
      <c r="V156" s="9"/>
      <c r="W156" s="9"/>
    </row>
    <row r="157" spans="5:23" ht="12.75">
      <c r="E157" s="9"/>
      <c r="F157" s="6"/>
      <c r="G157" s="9"/>
      <c r="H157" s="9"/>
      <c r="I157" s="9"/>
      <c r="J157" s="6"/>
      <c r="K157" s="9"/>
      <c r="L157" s="9"/>
      <c r="M157" s="9"/>
      <c r="N157" s="9"/>
      <c r="O157" s="9"/>
      <c r="P157" s="9"/>
      <c r="Q157" s="14"/>
      <c r="R157" s="9"/>
      <c r="S157" s="9"/>
      <c r="T157" s="9"/>
      <c r="U157" s="9"/>
      <c r="V157" s="9"/>
      <c r="W157" s="9"/>
    </row>
    <row r="158" spans="5:23" ht="12.75">
      <c r="E158" s="9"/>
      <c r="F158" s="6"/>
      <c r="G158" s="9"/>
      <c r="H158" s="9"/>
      <c r="I158" s="9"/>
      <c r="J158" s="6"/>
      <c r="K158" s="9"/>
      <c r="L158" s="9"/>
      <c r="M158" s="9"/>
      <c r="N158" s="9"/>
      <c r="O158" s="9"/>
      <c r="P158" s="9"/>
      <c r="Q158" s="14"/>
      <c r="R158" s="9"/>
      <c r="S158" s="9"/>
      <c r="T158" s="9"/>
      <c r="U158" s="9"/>
      <c r="V158" s="9"/>
      <c r="W158" s="9"/>
    </row>
    <row r="159" spans="5:23" ht="12.75">
      <c r="E159" s="9"/>
      <c r="F159" s="6"/>
      <c r="G159" s="9"/>
      <c r="H159" s="9"/>
      <c r="I159" s="9"/>
      <c r="J159" s="6"/>
      <c r="K159" s="9"/>
      <c r="L159" s="9"/>
      <c r="M159" s="9"/>
      <c r="N159" s="9"/>
      <c r="O159" s="9"/>
      <c r="P159" s="9"/>
      <c r="Q159" s="14"/>
      <c r="R159" s="9"/>
      <c r="S159" s="9"/>
      <c r="T159" s="9"/>
      <c r="U159" s="9"/>
      <c r="V159" s="9"/>
      <c r="W159" s="9"/>
    </row>
    <row r="160" spans="5:23" ht="12.75">
      <c r="E160" s="9"/>
      <c r="F160" s="6"/>
      <c r="G160" s="9"/>
      <c r="H160" s="9"/>
      <c r="I160" s="9"/>
      <c r="J160" s="6"/>
      <c r="K160" s="9"/>
      <c r="L160" s="9"/>
      <c r="M160" s="9"/>
      <c r="N160" s="9"/>
      <c r="O160" s="9"/>
      <c r="P160" s="9"/>
      <c r="Q160" s="14"/>
      <c r="R160" s="9"/>
      <c r="S160" s="9"/>
      <c r="T160" s="9"/>
      <c r="U160" s="9"/>
      <c r="V160" s="9"/>
      <c r="W160" s="9"/>
    </row>
    <row r="161" spans="5:23" ht="12.75">
      <c r="E161" s="9"/>
      <c r="F161" s="6"/>
      <c r="G161" s="9"/>
      <c r="H161" s="9"/>
      <c r="I161" s="9"/>
      <c r="J161" s="6"/>
      <c r="K161" s="9"/>
      <c r="L161" s="9"/>
      <c r="M161" s="9"/>
      <c r="N161" s="9"/>
      <c r="O161" s="9"/>
      <c r="P161" s="9"/>
      <c r="Q161" s="14"/>
      <c r="R161" s="9"/>
      <c r="S161" s="9"/>
      <c r="T161" s="9"/>
      <c r="U161" s="9"/>
      <c r="V161" s="9"/>
      <c r="W161" s="9"/>
    </row>
    <row r="162" spans="5:23" ht="12.75">
      <c r="E162" s="9"/>
      <c r="F162" s="6"/>
      <c r="G162" s="9"/>
      <c r="H162" s="9"/>
      <c r="I162" s="9"/>
      <c r="J162" s="6"/>
      <c r="K162" s="9"/>
      <c r="L162" s="9"/>
      <c r="M162" s="9"/>
      <c r="N162" s="9"/>
      <c r="O162" s="9"/>
      <c r="P162" s="9"/>
      <c r="Q162" s="14"/>
      <c r="R162" s="9"/>
      <c r="S162" s="9"/>
      <c r="T162" s="9"/>
      <c r="U162" s="9"/>
      <c r="V162" s="9"/>
      <c r="W162" s="9"/>
    </row>
    <row r="163" spans="5:23" ht="12.75">
      <c r="E163" s="9"/>
      <c r="F163" s="6"/>
      <c r="G163" s="9"/>
      <c r="H163" s="9"/>
      <c r="I163" s="9"/>
      <c r="J163" s="6"/>
      <c r="K163" s="9"/>
      <c r="L163" s="9"/>
      <c r="M163" s="9"/>
      <c r="N163" s="9"/>
      <c r="O163" s="9"/>
      <c r="P163" s="9"/>
      <c r="Q163" s="14"/>
      <c r="R163" s="9"/>
      <c r="S163" s="9"/>
      <c r="T163" s="9"/>
      <c r="U163" s="9"/>
      <c r="V163" s="9"/>
      <c r="W163" s="9"/>
    </row>
    <row r="164" spans="5:23" ht="12.75">
      <c r="E164" s="9"/>
      <c r="F164" s="6"/>
      <c r="G164" s="9"/>
      <c r="H164" s="9"/>
      <c r="I164" s="9"/>
      <c r="J164" s="6"/>
      <c r="K164" s="9"/>
      <c r="L164" s="9"/>
      <c r="M164" s="9"/>
      <c r="N164" s="9"/>
      <c r="O164" s="9"/>
      <c r="P164" s="9"/>
      <c r="Q164" s="14"/>
      <c r="R164" s="9"/>
      <c r="S164" s="9"/>
      <c r="T164" s="9"/>
      <c r="U164" s="9"/>
      <c r="V164" s="9"/>
      <c r="W164" s="9"/>
    </row>
    <row r="165" spans="5:23" ht="12.75">
      <c r="E165" s="9"/>
      <c r="F165" s="6"/>
      <c r="G165" s="9"/>
      <c r="H165" s="9"/>
      <c r="I165" s="9"/>
      <c r="J165" s="6"/>
      <c r="K165" s="9"/>
      <c r="L165" s="9"/>
      <c r="M165" s="9"/>
      <c r="N165" s="9"/>
      <c r="O165" s="9"/>
      <c r="P165" s="9"/>
      <c r="Q165" s="14"/>
      <c r="R165" s="9"/>
      <c r="S165" s="9"/>
      <c r="T165" s="9"/>
      <c r="U165" s="9"/>
      <c r="V165" s="9"/>
      <c r="W165" s="9"/>
    </row>
    <row r="166" spans="5:23" ht="12.75">
      <c r="E166" s="9"/>
      <c r="F166" s="6"/>
      <c r="G166" s="9"/>
      <c r="H166" s="9"/>
      <c r="I166" s="9"/>
      <c r="J166" s="6"/>
      <c r="K166" s="9"/>
      <c r="L166" s="9"/>
      <c r="M166" s="9"/>
      <c r="N166" s="9"/>
      <c r="O166" s="9"/>
      <c r="P166" s="9"/>
      <c r="Q166" s="14"/>
      <c r="R166" s="9"/>
      <c r="S166" s="9"/>
      <c r="T166" s="9"/>
      <c r="U166" s="9"/>
      <c r="V166" s="9"/>
      <c r="W166" s="9"/>
    </row>
    <row r="167" spans="5:23" ht="12.75">
      <c r="E167" s="9"/>
      <c r="F167" s="6"/>
      <c r="G167" s="9"/>
      <c r="H167" s="9"/>
      <c r="I167" s="9"/>
      <c r="J167" s="6"/>
      <c r="K167" s="9"/>
      <c r="L167" s="9"/>
      <c r="M167" s="9"/>
      <c r="N167" s="9"/>
      <c r="O167" s="9"/>
      <c r="P167" s="9"/>
      <c r="Q167" s="14"/>
      <c r="R167" s="9"/>
      <c r="S167" s="9"/>
      <c r="T167" s="9"/>
      <c r="U167" s="9"/>
      <c r="V167" s="9"/>
      <c r="W167" s="9"/>
    </row>
    <row r="168" spans="5:23" ht="12.75">
      <c r="E168" s="9"/>
      <c r="F168" s="6"/>
      <c r="G168" s="9"/>
      <c r="H168" s="9"/>
      <c r="I168" s="9"/>
      <c r="J168" s="6"/>
      <c r="K168" s="9"/>
      <c r="L168" s="9"/>
      <c r="M168" s="9"/>
      <c r="N168" s="9"/>
      <c r="O168" s="9"/>
      <c r="P168" s="9"/>
      <c r="Q168" s="14"/>
      <c r="R168" s="9"/>
      <c r="S168" s="9"/>
      <c r="T168" s="9"/>
      <c r="U168" s="9"/>
      <c r="V168" s="9"/>
      <c r="W168" s="9"/>
    </row>
    <row r="169" spans="5:23" ht="12.75">
      <c r="E169" s="9"/>
      <c r="F169" s="6"/>
      <c r="G169" s="9"/>
      <c r="H169" s="9"/>
      <c r="I169" s="9"/>
      <c r="J169" s="6"/>
      <c r="K169" s="9"/>
      <c r="L169" s="9"/>
      <c r="M169" s="9"/>
      <c r="N169" s="9"/>
      <c r="O169" s="9"/>
      <c r="P169" s="9"/>
      <c r="Q169" s="14"/>
      <c r="R169" s="9"/>
      <c r="S169" s="9"/>
      <c r="T169" s="9"/>
      <c r="U169" s="9"/>
      <c r="V169" s="9"/>
      <c r="W169" s="9"/>
    </row>
    <row r="170" spans="5:23" ht="12.75">
      <c r="E170" s="9"/>
      <c r="F170" s="6"/>
      <c r="G170" s="9"/>
      <c r="H170" s="9"/>
      <c r="I170" s="9"/>
      <c r="J170" s="6"/>
      <c r="K170" s="9"/>
      <c r="L170" s="9"/>
      <c r="M170" s="9"/>
      <c r="N170" s="9"/>
      <c r="O170" s="9"/>
      <c r="P170" s="9"/>
      <c r="Q170" s="14"/>
      <c r="R170" s="9"/>
      <c r="S170" s="9"/>
      <c r="T170" s="9"/>
      <c r="U170" s="9"/>
      <c r="V170" s="9"/>
      <c r="W170" s="9"/>
    </row>
    <row r="171" spans="5:23" ht="12.75">
      <c r="E171" s="9"/>
      <c r="F171" s="9"/>
      <c r="G171" s="9"/>
      <c r="H171" s="9"/>
      <c r="I171" s="9"/>
      <c r="J171" s="6"/>
      <c r="K171" s="9"/>
      <c r="L171" s="9"/>
      <c r="M171" s="9"/>
      <c r="N171" s="9"/>
      <c r="O171" s="9"/>
      <c r="P171" s="9"/>
      <c r="Q171" s="14"/>
      <c r="R171" s="9"/>
      <c r="S171" s="9"/>
      <c r="T171" s="9"/>
      <c r="U171" s="9"/>
      <c r="V171" s="9"/>
      <c r="W171" s="9"/>
    </row>
    <row r="172" spans="5:23" ht="12.75">
      <c r="E172" s="9"/>
      <c r="F172" s="9"/>
      <c r="G172" s="9"/>
      <c r="H172" s="9"/>
      <c r="I172" s="9"/>
      <c r="J172" s="6"/>
      <c r="K172" s="9"/>
      <c r="L172" s="9"/>
      <c r="M172" s="9"/>
      <c r="N172" s="9"/>
      <c r="O172" s="9"/>
      <c r="P172" s="9"/>
      <c r="Q172" s="14"/>
      <c r="R172" s="9"/>
      <c r="S172" s="9"/>
      <c r="T172" s="9"/>
      <c r="U172" s="9"/>
      <c r="V172" s="9"/>
      <c r="W172" s="9"/>
    </row>
    <row r="173" spans="5:23" ht="12.75">
      <c r="E173" s="9"/>
      <c r="F173" s="9"/>
      <c r="G173" s="9"/>
      <c r="H173" s="9"/>
      <c r="I173" s="9"/>
      <c r="J173" s="6"/>
      <c r="K173" s="9"/>
      <c r="L173" s="9"/>
      <c r="M173" s="9"/>
      <c r="N173" s="9"/>
      <c r="O173" s="9"/>
      <c r="P173" s="9"/>
      <c r="Q173" s="14"/>
      <c r="R173" s="9"/>
      <c r="S173" s="9"/>
      <c r="T173" s="9"/>
      <c r="U173" s="9"/>
      <c r="V173" s="9"/>
      <c r="W173" s="9"/>
    </row>
    <row r="174" spans="5:23" ht="12.75">
      <c r="E174" s="9"/>
      <c r="F174" s="9"/>
      <c r="G174" s="9"/>
      <c r="H174" s="9"/>
      <c r="I174" s="9"/>
      <c r="J174" s="6"/>
      <c r="K174" s="9"/>
      <c r="L174" s="9"/>
      <c r="M174" s="9"/>
      <c r="N174" s="9"/>
      <c r="O174" s="9"/>
      <c r="P174" s="9"/>
      <c r="Q174" s="14"/>
      <c r="R174" s="9"/>
      <c r="S174" s="9"/>
      <c r="T174" s="9"/>
      <c r="U174" s="9"/>
      <c r="V174" s="9"/>
      <c r="W174" s="9"/>
    </row>
    <row r="175" spans="5:23" ht="12.75">
      <c r="E175" s="9"/>
      <c r="F175" s="9"/>
      <c r="G175" s="9"/>
      <c r="H175" s="9"/>
      <c r="I175" s="9"/>
      <c r="J175" s="6"/>
      <c r="K175" s="9"/>
      <c r="L175" s="9"/>
      <c r="M175" s="9"/>
      <c r="N175" s="9"/>
      <c r="O175" s="9"/>
      <c r="P175" s="9"/>
      <c r="Q175" s="14"/>
      <c r="R175" s="9"/>
      <c r="S175" s="9"/>
      <c r="T175" s="9"/>
      <c r="U175" s="9"/>
      <c r="V175" s="9"/>
      <c r="W175" s="9"/>
    </row>
    <row r="176" spans="5:23" ht="12.75">
      <c r="E176" s="9"/>
      <c r="F176" s="9"/>
      <c r="G176" s="9"/>
      <c r="H176" s="9"/>
      <c r="I176" s="9"/>
      <c r="J176" s="6"/>
      <c r="K176" s="9"/>
      <c r="L176" s="9"/>
      <c r="M176" s="9"/>
      <c r="N176" s="9"/>
      <c r="O176" s="9"/>
      <c r="P176" s="9"/>
      <c r="Q176" s="14"/>
      <c r="R176" s="9"/>
      <c r="S176" s="9"/>
      <c r="T176" s="9"/>
      <c r="U176" s="9"/>
      <c r="V176" s="9"/>
      <c r="W176" s="9"/>
    </row>
    <row r="177" spans="5:23" ht="12.75">
      <c r="E177" s="9"/>
      <c r="F177" s="9"/>
      <c r="G177" s="9"/>
      <c r="H177" s="9"/>
      <c r="I177" s="9"/>
      <c r="J177" s="6"/>
      <c r="K177" s="9"/>
      <c r="L177" s="9"/>
      <c r="M177" s="9"/>
      <c r="N177" s="9"/>
      <c r="O177" s="9"/>
      <c r="P177" s="9"/>
      <c r="Q177" s="14"/>
      <c r="R177" s="9"/>
      <c r="S177" s="9"/>
      <c r="T177" s="9"/>
      <c r="U177" s="9"/>
      <c r="V177" s="9"/>
      <c r="W177" s="9"/>
    </row>
    <row r="178" spans="5:23" ht="12.75">
      <c r="E178" s="9"/>
      <c r="F178" s="9"/>
      <c r="G178" s="9"/>
      <c r="H178" s="9"/>
      <c r="I178" s="9"/>
      <c r="J178" s="6"/>
      <c r="K178" s="9"/>
      <c r="L178" s="9"/>
      <c r="M178" s="9"/>
      <c r="N178" s="9"/>
      <c r="O178" s="9"/>
      <c r="P178" s="9"/>
      <c r="Q178" s="14"/>
      <c r="R178" s="9"/>
      <c r="S178" s="9"/>
      <c r="T178" s="9"/>
      <c r="U178" s="9"/>
      <c r="V178" s="9"/>
      <c r="W178" s="9"/>
    </row>
    <row r="179" spans="5:23" ht="12.75">
      <c r="E179" s="9"/>
      <c r="F179" s="9"/>
      <c r="G179" s="9"/>
      <c r="H179" s="9"/>
      <c r="I179" s="9"/>
      <c r="J179" s="88"/>
      <c r="K179" s="9"/>
      <c r="L179" s="9"/>
      <c r="M179" s="9"/>
      <c r="N179" s="9"/>
      <c r="O179" s="9"/>
      <c r="P179" s="9"/>
      <c r="Q179" s="14"/>
      <c r="R179" s="9"/>
      <c r="S179" s="9"/>
      <c r="T179" s="9"/>
      <c r="U179" s="9"/>
      <c r="V179" s="9"/>
      <c r="W179" s="9"/>
    </row>
    <row r="180" spans="5:23" ht="12.75">
      <c r="E180" s="9"/>
      <c r="F180" s="9"/>
      <c r="G180" s="9"/>
      <c r="H180" s="9"/>
      <c r="I180" s="9"/>
      <c r="J180" s="88"/>
      <c r="K180" s="9"/>
      <c r="L180" s="9"/>
      <c r="M180" s="9"/>
      <c r="N180" s="9"/>
      <c r="O180" s="9"/>
      <c r="P180" s="9"/>
      <c r="Q180" s="14"/>
      <c r="R180" s="9"/>
      <c r="S180" s="9"/>
      <c r="T180" s="9"/>
      <c r="U180" s="9"/>
      <c r="V180" s="9"/>
      <c r="W180" s="9"/>
    </row>
    <row r="181" spans="10:17" ht="12.75">
      <c r="J181" s="88"/>
      <c r="M181" s="9"/>
      <c r="Q181" s="14"/>
    </row>
    <row r="182" spans="10:17" ht="12.75">
      <c r="J182" s="88"/>
      <c r="M182" s="9"/>
      <c r="Q182" s="14"/>
    </row>
    <row r="183" spans="10:17" ht="12.75">
      <c r="J183" s="88"/>
      <c r="M183" s="9"/>
      <c r="Q183" s="14"/>
    </row>
    <row r="184" spans="10:17" ht="12.75">
      <c r="J184" s="88"/>
      <c r="M184" s="9"/>
      <c r="Q184" s="14"/>
    </row>
    <row r="185" spans="10:17" ht="12.75">
      <c r="J185" s="88"/>
      <c r="M185" s="9"/>
      <c r="Q185" s="14"/>
    </row>
    <row r="186" spans="10:17" ht="12.75">
      <c r="J186" s="88"/>
      <c r="M186" s="9"/>
      <c r="Q186" s="14"/>
    </row>
    <row r="187" spans="10:17" ht="12.75">
      <c r="J187" s="88"/>
      <c r="M187" s="9"/>
      <c r="Q187" s="14"/>
    </row>
    <row r="188" spans="13:17" ht="12.75">
      <c r="M188" s="9"/>
      <c r="Q188" s="14"/>
    </row>
    <row r="189" spans="13:17" ht="12.75">
      <c r="M189" s="9"/>
      <c r="Q189" s="14"/>
    </row>
    <row r="190" spans="13:17" ht="12.75">
      <c r="M190" s="9"/>
      <c r="Q190" s="14"/>
    </row>
    <row r="191" spans="13:17" ht="12.75">
      <c r="M191" s="9"/>
      <c r="Q191" s="14"/>
    </row>
    <row r="192" spans="13:17" ht="12.75">
      <c r="M192" s="9"/>
      <c r="Q192" s="14"/>
    </row>
    <row r="193" spans="13:17" ht="12.75">
      <c r="M193" s="9"/>
      <c r="Q193" s="14"/>
    </row>
    <row r="194" spans="13:17" ht="12.75">
      <c r="M194" s="9"/>
      <c r="Q194" s="14"/>
    </row>
    <row r="195" spans="13:17" ht="12.75">
      <c r="M195" s="9"/>
      <c r="Q195" s="14"/>
    </row>
    <row r="196" spans="13:17" ht="12.75">
      <c r="M196" s="9"/>
      <c r="Q196" s="14"/>
    </row>
    <row r="197" spans="13:17" ht="12.75">
      <c r="M197" s="9"/>
      <c r="Q197" s="14"/>
    </row>
    <row r="198" spans="13:17" ht="12.75">
      <c r="M198" s="9"/>
      <c r="Q198" s="14"/>
    </row>
    <row r="199" spans="13:17" ht="12.75">
      <c r="M199" s="9"/>
      <c r="Q199" s="14"/>
    </row>
    <row r="200" ht="12.75">
      <c r="Q200" s="14"/>
    </row>
    <row r="201" ht="12.75">
      <c r="Q201" s="14"/>
    </row>
    <row r="202" ht="12.75">
      <c r="Q202" s="14"/>
    </row>
    <row r="203" ht="12.75">
      <c r="Q203" s="14"/>
    </row>
    <row r="204" ht="12.75">
      <c r="Q204" s="14"/>
    </row>
    <row r="205" ht="12.75">
      <c r="Q205" s="14"/>
    </row>
    <row r="206" ht="12.75">
      <c r="Q206" s="14"/>
    </row>
    <row r="207" ht="12.75">
      <c r="Q207" s="14"/>
    </row>
    <row r="208" ht="12.75">
      <c r="Q208" s="14"/>
    </row>
    <row r="209" ht="12.75">
      <c r="Q209" s="14"/>
    </row>
    <row r="210" ht="12.75">
      <c r="Q210" s="14"/>
    </row>
    <row r="211" ht="12.75">
      <c r="Q211" s="14"/>
    </row>
    <row r="212" ht="12.75">
      <c r="Q212" s="14"/>
    </row>
    <row r="213" ht="12.75">
      <c r="Q213" s="14"/>
    </row>
    <row r="214" ht="12.75">
      <c r="Q214" s="14"/>
    </row>
    <row r="215" ht="12.75">
      <c r="Q215" s="14"/>
    </row>
    <row r="216" ht="12.75">
      <c r="Q216" s="14"/>
    </row>
    <row r="217" ht="12.75">
      <c r="Q217" s="14"/>
    </row>
    <row r="218" ht="12.75">
      <c r="Q218" s="14"/>
    </row>
    <row r="219" ht="12.75">
      <c r="Q219" s="14"/>
    </row>
    <row r="220" ht="12.75">
      <c r="Q220" s="14"/>
    </row>
    <row r="221" ht="12.75">
      <c r="Q221" s="14"/>
    </row>
    <row r="222" ht="12.75">
      <c r="Q222" s="14"/>
    </row>
    <row r="223" ht="12.75">
      <c r="Q223" s="14"/>
    </row>
    <row r="224" ht="12.75">
      <c r="Q224" s="14"/>
    </row>
    <row r="225" ht="12.75">
      <c r="Q225" s="14"/>
    </row>
    <row r="226" ht="12.75">
      <c r="Q226" s="14"/>
    </row>
    <row r="227" ht="12.75">
      <c r="Q227" s="14"/>
    </row>
    <row r="228" ht="12.75">
      <c r="Q228" s="14"/>
    </row>
    <row r="229" ht="12.75">
      <c r="Q229" s="14"/>
    </row>
    <row r="230" ht="12.75">
      <c r="Q230" s="14"/>
    </row>
    <row r="231" ht="12.75">
      <c r="Q231" s="14"/>
    </row>
    <row r="232" ht="12.75">
      <c r="Q232" s="14"/>
    </row>
    <row r="233" ht="12.75">
      <c r="Q233" s="14"/>
    </row>
    <row r="234" ht="12.75">
      <c r="Q234" s="14"/>
    </row>
    <row r="235" ht="12.75">
      <c r="Q235" s="14"/>
    </row>
    <row r="236" ht="12.75">
      <c r="Q236" s="14"/>
    </row>
    <row r="237" ht="12.75">
      <c r="Q237" s="14"/>
    </row>
    <row r="238" ht="12.75">
      <c r="Q238" s="14"/>
    </row>
    <row r="239" ht="12.75">
      <c r="Q239" s="14"/>
    </row>
    <row r="240" ht="12.75">
      <c r="Q240" s="14"/>
    </row>
    <row r="241" ht="12.75">
      <c r="Q241" s="14"/>
    </row>
    <row r="242" ht="12.75">
      <c r="Q242" s="14"/>
    </row>
    <row r="243" ht="12.75">
      <c r="Q243" s="14"/>
    </row>
    <row r="244" ht="12.75">
      <c r="Q244" s="14"/>
    </row>
    <row r="245" ht="12.75">
      <c r="Q245" s="14"/>
    </row>
    <row r="246" ht="12.75">
      <c r="Q246" s="14"/>
    </row>
    <row r="247" ht="12.75">
      <c r="Q247" s="14"/>
    </row>
    <row r="248" ht="12.75">
      <c r="Q248" s="14"/>
    </row>
    <row r="249" ht="12.75">
      <c r="Q249" s="14"/>
    </row>
    <row r="250" ht="12.75">
      <c r="Q250" s="14"/>
    </row>
    <row r="251" ht="12.75">
      <c r="Q251" s="14"/>
    </row>
    <row r="252" ht="12.75">
      <c r="Q252" s="14"/>
    </row>
    <row r="253" ht="12.75">
      <c r="Q253" s="14"/>
    </row>
    <row r="254" ht="12.75">
      <c r="Q254" s="14"/>
    </row>
    <row r="255" ht="12.75">
      <c r="Q255" s="14"/>
    </row>
    <row r="256" ht="12.75">
      <c r="Q256" s="14"/>
    </row>
    <row r="257" ht="12.75">
      <c r="Q257" s="14"/>
    </row>
    <row r="258" ht="12.75">
      <c r="Q258" s="14"/>
    </row>
    <row r="259" ht="12.75">
      <c r="Q259" s="14"/>
    </row>
    <row r="260" ht="12.75">
      <c r="Q260" s="14"/>
    </row>
    <row r="261" ht="12.75">
      <c r="Q261" s="14"/>
    </row>
    <row r="262" ht="12.75">
      <c r="Q262" s="14"/>
    </row>
    <row r="263" ht="12.75">
      <c r="Q263" s="14"/>
    </row>
    <row r="264" ht="12.75">
      <c r="Q264" s="14"/>
    </row>
    <row r="265" ht="12.75">
      <c r="Q265" s="14"/>
    </row>
    <row r="266" ht="12.75">
      <c r="Q266" s="14"/>
    </row>
    <row r="267" ht="12.75">
      <c r="Q267" s="14"/>
    </row>
    <row r="268" ht="12.75">
      <c r="Q268" s="14"/>
    </row>
    <row r="269" ht="12.75">
      <c r="Q269" s="14"/>
    </row>
    <row r="270" ht="12.75">
      <c r="Q270" s="14"/>
    </row>
    <row r="271" ht="12.75">
      <c r="Q271" s="14"/>
    </row>
  </sheetData>
  <printOptions/>
  <pageMargins left="0.5" right="0.5" top="0.25" bottom="0.25" header="0.5" footer="0.5"/>
  <pageSetup fitToHeight="2" fitToWidth="1" horizontalDpi="300" verticalDpi="300" orientation="landscape" scale="60" r:id="rId1"/>
  <headerFooter alignWithMargins="0">
    <oddFooter>&amp;CPage &amp;P</oddFooter>
  </headerFooter>
  <rowBreaks count="1" manualBreakCount="1"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workbookViewId="0" topLeftCell="A99">
      <selection activeCell="B105" sqref="B104:C105"/>
    </sheetView>
  </sheetViews>
  <sheetFormatPr defaultColWidth="9.140625" defaultRowHeight="12.75"/>
  <cols>
    <col min="1" max="1" width="30.7109375" style="0" customWidth="1"/>
    <col min="3" max="3" width="11.7109375" style="0" bestFit="1" customWidth="1"/>
    <col min="4" max="4" width="10.7109375" style="0" customWidth="1"/>
    <col min="5" max="5" width="14.7109375" style="0" bestFit="1" customWidth="1"/>
    <col min="7" max="7" width="14.8515625" style="0" bestFit="1" customWidth="1"/>
    <col min="9" max="9" width="3.7109375" style="0" customWidth="1"/>
    <col min="10" max="10" width="11.7109375" style="0" bestFit="1" customWidth="1"/>
    <col min="11" max="11" width="3.7109375" style="0" customWidth="1"/>
    <col min="13" max="13" width="12.7109375" style="0" customWidth="1"/>
  </cols>
  <sheetData>
    <row r="1" ht="18">
      <c r="E1" s="1" t="s">
        <v>1</v>
      </c>
    </row>
    <row r="3" ht="15.75">
      <c r="D3" s="2" t="s">
        <v>0</v>
      </c>
    </row>
    <row r="5" spans="5:7" ht="12.75">
      <c r="E5" s="23" t="str">
        <f>+'Rev.Requirement'!E4</f>
        <v>Missouri Public Service Division</v>
      </c>
      <c r="F5" s="23"/>
      <c r="G5" s="23"/>
    </row>
    <row r="6" spans="5:7" ht="12.75">
      <c r="E6" s="23"/>
      <c r="F6" s="23"/>
      <c r="G6" s="23"/>
    </row>
    <row r="7" spans="5:12" ht="12.75">
      <c r="E7" s="94" t="str">
        <f>+'Rev.Requirement'!E6</f>
        <v>         Case No. ER 2004-0034</v>
      </c>
      <c r="F7" s="23"/>
      <c r="G7" s="23"/>
      <c r="L7" s="5"/>
    </row>
    <row r="8" ht="12.75">
      <c r="L8" s="5"/>
    </row>
    <row r="9" spans="1:24" ht="12.75">
      <c r="A9" s="29"/>
      <c r="B9" s="23"/>
      <c r="C9" s="23"/>
      <c r="D9" s="30" t="s">
        <v>6</v>
      </c>
      <c r="E9" s="30"/>
      <c r="F9" s="30"/>
      <c r="G9" s="5"/>
      <c r="H9" s="5" t="s">
        <v>12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37" t="s">
        <v>229</v>
      </c>
      <c r="B10" s="31" t="s">
        <v>45</v>
      </c>
      <c r="C10" s="133">
        <v>0.0914</v>
      </c>
      <c r="D10" s="30" t="s">
        <v>7</v>
      </c>
      <c r="E10" s="30"/>
      <c r="F10" s="30" t="s">
        <v>10</v>
      </c>
      <c r="G10" s="5"/>
      <c r="H10" s="5" t="s">
        <v>10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12" ht="12.75">
      <c r="A11" s="36"/>
      <c r="B11" s="23"/>
      <c r="C11" s="23"/>
      <c r="D11" s="25" t="s">
        <v>44</v>
      </c>
      <c r="E11" s="23"/>
      <c r="F11" s="25" t="s">
        <v>5</v>
      </c>
      <c r="H11" s="4" t="s">
        <v>11</v>
      </c>
      <c r="J11" s="4"/>
      <c r="L11" s="4"/>
    </row>
    <row r="12" spans="1:12" ht="12.75">
      <c r="A12" s="36" t="s">
        <v>2</v>
      </c>
      <c r="B12" s="23"/>
      <c r="C12" s="23"/>
      <c r="D12" s="24">
        <v>0.6431</v>
      </c>
      <c r="E12" s="24"/>
      <c r="F12" s="24">
        <v>0.07632</v>
      </c>
      <c r="G12" s="6"/>
      <c r="H12" s="24">
        <f>ROUND(D12*F12,4)</f>
        <v>0.0491</v>
      </c>
      <c r="J12" s="10"/>
      <c r="L12" s="6"/>
    </row>
    <row r="13" spans="1:12" ht="12.75">
      <c r="A13" s="36"/>
      <c r="B13" s="23"/>
      <c r="C13" s="23"/>
      <c r="D13" s="24"/>
      <c r="E13" s="24"/>
      <c r="F13" s="24"/>
      <c r="G13" s="6"/>
      <c r="H13" s="24"/>
      <c r="J13" s="10"/>
      <c r="L13" s="6"/>
    </row>
    <row r="14" spans="1:12" ht="12.75">
      <c r="A14" s="36" t="s">
        <v>8</v>
      </c>
      <c r="B14" s="23"/>
      <c r="C14" s="23"/>
      <c r="D14" s="24">
        <v>0.0038</v>
      </c>
      <c r="E14" s="24"/>
      <c r="F14" s="24">
        <v>0.0337</v>
      </c>
      <c r="G14" s="6"/>
      <c r="H14" s="24">
        <f>ROUND(D14*F14,4)</f>
        <v>0.0001</v>
      </c>
      <c r="J14" s="10"/>
      <c r="L14" s="6"/>
    </row>
    <row r="15" spans="1:12" ht="12.75">
      <c r="A15" s="36"/>
      <c r="B15" s="23"/>
      <c r="C15" s="23"/>
      <c r="D15" s="24"/>
      <c r="E15" s="24"/>
      <c r="F15" s="24"/>
      <c r="G15" s="6"/>
      <c r="H15" s="24"/>
      <c r="J15" s="10"/>
      <c r="L15" s="6"/>
    </row>
    <row r="16" spans="1:12" ht="12.75">
      <c r="A16" s="36" t="s">
        <v>3</v>
      </c>
      <c r="B16" s="23"/>
      <c r="C16" s="23"/>
      <c r="D16" s="24">
        <v>0</v>
      </c>
      <c r="E16" s="24"/>
      <c r="F16" s="24">
        <v>0</v>
      </c>
      <c r="G16" s="6"/>
      <c r="H16" s="24">
        <f>ROUND(D16*F16,4)</f>
        <v>0</v>
      </c>
      <c r="J16" s="10"/>
      <c r="L16" s="6"/>
    </row>
    <row r="17" spans="1:12" ht="12.75">
      <c r="A17" s="36"/>
      <c r="B17" s="23"/>
      <c r="C17" s="23"/>
      <c r="D17" s="24"/>
      <c r="E17" s="24"/>
      <c r="F17" s="24"/>
      <c r="G17" s="6"/>
      <c r="H17" s="24"/>
      <c r="J17" s="10"/>
      <c r="L17" s="6"/>
    </row>
    <row r="18" spans="1:12" ht="12.75">
      <c r="A18" s="36" t="s">
        <v>4</v>
      </c>
      <c r="B18" s="23"/>
      <c r="C18" s="23"/>
      <c r="D18" s="24">
        <v>0.3531</v>
      </c>
      <c r="E18" s="24"/>
      <c r="F18" s="24">
        <f>+C10</f>
        <v>0.0914</v>
      </c>
      <c r="G18" s="6"/>
      <c r="H18" s="24">
        <f>ROUND(D18*F18,4)</f>
        <v>0.0323</v>
      </c>
      <c r="J18" s="10"/>
      <c r="L18" s="6"/>
    </row>
    <row r="19" spans="1:12" ht="12.75">
      <c r="A19" s="36"/>
      <c r="C19" s="23"/>
      <c r="D19" s="65" t="s">
        <v>44</v>
      </c>
      <c r="E19" s="24"/>
      <c r="F19" s="24"/>
      <c r="G19" s="6"/>
      <c r="H19" s="25" t="s">
        <v>11</v>
      </c>
      <c r="J19" s="10"/>
      <c r="L19" s="7"/>
    </row>
    <row r="20" spans="1:12" ht="12.75">
      <c r="A20" s="36" t="s">
        <v>9</v>
      </c>
      <c r="C20" s="23"/>
      <c r="D20" s="24">
        <f>SUM(D12:D19)</f>
        <v>1</v>
      </c>
      <c r="E20" s="24"/>
      <c r="F20" s="24"/>
      <c r="G20" s="6"/>
      <c r="H20" s="70">
        <f>ROUND(H12+H14+H16+H18,4)</f>
        <v>0.0815</v>
      </c>
      <c r="J20" s="10"/>
      <c r="L20" s="6"/>
    </row>
    <row r="21" spans="1:12" ht="12.75">
      <c r="A21" s="36"/>
      <c r="C21" s="23"/>
      <c r="D21" s="23"/>
      <c r="E21" s="23"/>
      <c r="F21" s="23"/>
      <c r="H21" s="23"/>
      <c r="J21" s="10"/>
      <c r="L21" s="6"/>
    </row>
    <row r="22" spans="1:12" ht="12.75">
      <c r="A22" s="36"/>
      <c r="C22" s="23"/>
      <c r="D22" s="23"/>
      <c r="E22" s="23"/>
      <c r="F22" s="23"/>
      <c r="H22" s="23"/>
      <c r="J22" s="10"/>
      <c r="L22" s="6"/>
    </row>
    <row r="23" spans="1:12" ht="12.75">
      <c r="A23" s="190"/>
      <c r="B23" s="23"/>
      <c r="C23" s="23"/>
      <c r="D23" s="30" t="s">
        <v>6</v>
      </c>
      <c r="E23" s="30"/>
      <c r="F23" s="30"/>
      <c r="G23" s="5"/>
      <c r="H23" s="30" t="s">
        <v>12</v>
      </c>
      <c r="J23" s="10"/>
      <c r="L23" s="6"/>
    </row>
    <row r="24" spans="1:12" ht="12.75">
      <c r="A24" s="37" t="s">
        <v>437</v>
      </c>
      <c r="B24" s="31" t="s">
        <v>45</v>
      </c>
      <c r="C24" s="133">
        <v>0.1225</v>
      </c>
      <c r="D24" s="30" t="s">
        <v>7</v>
      </c>
      <c r="E24" s="30"/>
      <c r="F24" s="30" t="s">
        <v>10</v>
      </c>
      <c r="G24" s="5"/>
      <c r="H24" s="30" t="s">
        <v>10</v>
      </c>
      <c r="J24" s="10"/>
      <c r="L24" s="6"/>
    </row>
    <row r="25" spans="1:12" ht="12.75">
      <c r="A25" s="36"/>
      <c r="B25" s="23"/>
      <c r="C25" s="23"/>
      <c r="D25" s="25" t="s">
        <v>44</v>
      </c>
      <c r="E25" s="23"/>
      <c r="F25" s="25" t="s">
        <v>5</v>
      </c>
      <c r="H25" s="25" t="s">
        <v>11</v>
      </c>
      <c r="J25" s="10"/>
      <c r="L25" s="6"/>
    </row>
    <row r="26" spans="1:12" ht="12.75">
      <c r="A26" s="36" t="str">
        <f>+A12</f>
        <v>Long Term Debt</v>
      </c>
      <c r="B26" s="23"/>
      <c r="C26" s="23"/>
      <c r="D26" s="24">
        <f>+D12</f>
        <v>0.6431</v>
      </c>
      <c r="E26" s="24"/>
      <c r="F26" s="24">
        <f>+F12</f>
        <v>0.07632</v>
      </c>
      <c r="G26" s="6"/>
      <c r="H26" s="24">
        <f>ROUND(D26*F26,4)</f>
        <v>0.0491</v>
      </c>
      <c r="J26" s="10"/>
      <c r="L26" s="6"/>
    </row>
    <row r="27" spans="1:12" ht="12.75">
      <c r="A27" s="36"/>
      <c r="B27" s="23"/>
      <c r="C27" s="23"/>
      <c r="D27" s="24"/>
      <c r="E27" s="24"/>
      <c r="F27" s="24"/>
      <c r="G27" s="6"/>
      <c r="H27" s="24"/>
      <c r="J27" s="10"/>
      <c r="L27" s="6"/>
    </row>
    <row r="28" spans="1:12" ht="12.75">
      <c r="A28" s="36" t="str">
        <f>+A14</f>
        <v>Short Term Debt</v>
      </c>
      <c r="B28" s="23"/>
      <c r="C28" s="23"/>
      <c r="D28" s="24">
        <f>+D14</f>
        <v>0.0038</v>
      </c>
      <c r="E28" s="24"/>
      <c r="F28" s="24">
        <f>+F14</f>
        <v>0.0337</v>
      </c>
      <c r="G28" s="6"/>
      <c r="H28" s="24">
        <f>ROUND(D28*F28,4)</f>
        <v>0.0001</v>
      </c>
      <c r="J28" s="10"/>
      <c r="L28" s="6"/>
    </row>
    <row r="29" spans="1:12" ht="12.75">
      <c r="A29" s="36"/>
      <c r="B29" s="23"/>
      <c r="C29" s="23"/>
      <c r="D29" s="24"/>
      <c r="E29" s="24"/>
      <c r="F29" s="24"/>
      <c r="G29" s="6"/>
      <c r="H29" s="24"/>
      <c r="J29" s="10"/>
      <c r="L29" s="6"/>
    </row>
    <row r="30" spans="1:12" ht="12.75">
      <c r="A30" s="36" t="str">
        <f>+A16</f>
        <v>Preferred Stock</v>
      </c>
      <c r="B30" s="23"/>
      <c r="C30" s="23"/>
      <c r="D30" s="24">
        <f>+D16</f>
        <v>0</v>
      </c>
      <c r="E30" s="24"/>
      <c r="F30" s="24">
        <f>+F16</f>
        <v>0</v>
      </c>
      <c r="G30" s="6"/>
      <c r="H30" s="24">
        <f>ROUND(D30*F30,4)</f>
        <v>0</v>
      </c>
      <c r="J30" s="10"/>
      <c r="L30" s="6"/>
    </row>
    <row r="31" spans="1:12" ht="12.75">
      <c r="A31" s="36"/>
      <c r="B31" s="23"/>
      <c r="C31" s="23"/>
      <c r="D31" s="24"/>
      <c r="E31" s="24"/>
      <c r="F31" s="24"/>
      <c r="G31" s="6"/>
      <c r="H31" s="24"/>
      <c r="J31" s="10"/>
      <c r="L31" s="6"/>
    </row>
    <row r="32" spans="1:12" ht="12.75">
      <c r="A32" s="36" t="str">
        <f>+A18</f>
        <v>Common Equity</v>
      </c>
      <c r="B32" s="23"/>
      <c r="C32" s="23"/>
      <c r="D32" s="24">
        <f>+D18</f>
        <v>0.3531</v>
      </c>
      <c r="E32" s="24"/>
      <c r="F32" s="24">
        <f>+C24</f>
        <v>0.1225</v>
      </c>
      <c r="G32" s="6"/>
      <c r="H32" s="24">
        <f>ROUND(D32*F32,4)</f>
        <v>0.0433</v>
      </c>
      <c r="J32" s="10"/>
      <c r="L32" s="6"/>
    </row>
    <row r="33" spans="1:12" ht="12.75">
      <c r="A33" s="36"/>
      <c r="C33" s="23"/>
      <c r="D33" s="65" t="s">
        <v>44</v>
      </c>
      <c r="E33" s="24"/>
      <c r="F33" s="24"/>
      <c r="G33" s="6"/>
      <c r="H33" s="25" t="s">
        <v>11</v>
      </c>
      <c r="J33" s="10"/>
      <c r="L33" s="7"/>
    </row>
    <row r="34" spans="1:12" ht="12.75">
      <c r="A34" s="36" t="s">
        <v>9</v>
      </c>
      <c r="C34" s="23"/>
      <c r="D34" s="24">
        <f>SUM(D26:D33)</f>
        <v>1</v>
      </c>
      <c r="E34" s="24"/>
      <c r="F34" s="24"/>
      <c r="G34" s="6"/>
      <c r="H34" s="70">
        <f>ROUND(H26+H28+H30+H32,4)</f>
        <v>0.0925</v>
      </c>
      <c r="J34" s="10"/>
      <c r="L34" s="6"/>
    </row>
    <row r="35" spans="1:12" ht="12.75">
      <c r="A35" s="36"/>
      <c r="C35" s="23"/>
      <c r="D35" s="23"/>
      <c r="E35" s="23"/>
      <c r="F35" s="23"/>
      <c r="H35" s="23"/>
      <c r="J35" s="10"/>
      <c r="L35" s="6"/>
    </row>
    <row r="36" spans="1:12" ht="12.75">
      <c r="A36" s="36"/>
      <c r="C36" s="23"/>
      <c r="D36" s="23"/>
      <c r="E36" s="23"/>
      <c r="F36" s="23"/>
      <c r="H36" s="23"/>
      <c r="J36" s="10"/>
      <c r="L36" s="6"/>
    </row>
    <row r="37" spans="1:12" ht="12.75">
      <c r="A37" s="35"/>
      <c r="B37" s="29"/>
      <c r="C37" s="29"/>
      <c r="D37" s="30" t="s">
        <v>6</v>
      </c>
      <c r="E37" s="30"/>
      <c r="F37" s="30"/>
      <c r="G37" s="5"/>
      <c r="H37" s="30" t="s">
        <v>12</v>
      </c>
      <c r="J37" s="10"/>
      <c r="L37" s="6"/>
    </row>
    <row r="38" spans="1:12" ht="12.75">
      <c r="A38" s="37" t="s">
        <v>438</v>
      </c>
      <c r="B38" s="31" t="s">
        <v>45</v>
      </c>
      <c r="C38" s="133">
        <v>0.1225</v>
      </c>
      <c r="D38" s="30" t="s">
        <v>7</v>
      </c>
      <c r="E38" s="30"/>
      <c r="F38" s="30" t="s">
        <v>10</v>
      </c>
      <c r="G38" s="5"/>
      <c r="H38" s="30" t="s">
        <v>10</v>
      </c>
      <c r="J38" s="10"/>
      <c r="L38" s="6"/>
    </row>
    <row r="39" spans="1:12" ht="12.75">
      <c r="A39" s="35"/>
      <c r="B39" s="23"/>
      <c r="C39" s="23"/>
      <c r="D39" s="25" t="s">
        <v>44</v>
      </c>
      <c r="E39" s="23"/>
      <c r="F39" s="25" t="s">
        <v>5</v>
      </c>
      <c r="H39" s="25" t="s">
        <v>11</v>
      </c>
      <c r="J39" s="10"/>
      <c r="L39" s="6"/>
    </row>
    <row r="40" spans="1:12" ht="12.75">
      <c r="A40" s="36" t="s">
        <v>2</v>
      </c>
      <c r="B40" s="23"/>
      <c r="C40" s="23"/>
      <c r="D40" s="24">
        <v>0.525</v>
      </c>
      <c r="E40" s="24"/>
      <c r="F40" s="24">
        <v>0.07182</v>
      </c>
      <c r="G40" s="6"/>
      <c r="H40" s="95">
        <f>ROUND(D40*F40,6)</f>
        <v>0.037706</v>
      </c>
      <c r="J40" s="10"/>
      <c r="L40" s="6"/>
    </row>
    <row r="41" spans="1:12" ht="12.75">
      <c r="A41" s="36"/>
      <c r="B41" s="23"/>
      <c r="C41" s="23"/>
      <c r="D41" s="24"/>
      <c r="E41" s="24"/>
      <c r="F41" s="24"/>
      <c r="G41" s="6"/>
      <c r="H41" s="95"/>
      <c r="J41" s="10"/>
      <c r="L41" s="6"/>
    </row>
    <row r="42" spans="1:12" ht="12.75">
      <c r="A42" s="36" t="s">
        <v>8</v>
      </c>
      <c r="B42" s="23"/>
      <c r="C42" s="23"/>
      <c r="D42" s="24"/>
      <c r="E42" s="24"/>
      <c r="F42" s="24"/>
      <c r="G42" s="6"/>
      <c r="H42" s="95"/>
      <c r="J42" s="10"/>
      <c r="L42" s="6"/>
    </row>
    <row r="43" spans="1:12" ht="12.75">
      <c r="A43" s="36"/>
      <c r="B43" s="23"/>
      <c r="C43" s="23"/>
      <c r="D43" s="24"/>
      <c r="E43" s="24"/>
      <c r="F43" s="24"/>
      <c r="G43" s="6"/>
      <c r="H43" s="95"/>
      <c r="J43" s="10"/>
      <c r="L43" s="6"/>
    </row>
    <row r="44" spans="1:12" ht="12.75">
      <c r="A44" s="36" t="s">
        <v>3</v>
      </c>
      <c r="B44" s="23"/>
      <c r="C44" s="23"/>
      <c r="D44" s="24"/>
      <c r="E44" s="24"/>
      <c r="F44" s="24"/>
      <c r="G44" s="6"/>
      <c r="H44" s="95"/>
      <c r="J44" s="10"/>
      <c r="L44" s="6"/>
    </row>
    <row r="45" spans="1:12" ht="12.75">
      <c r="A45" s="36"/>
      <c r="B45" s="23"/>
      <c r="C45" s="23"/>
      <c r="D45" s="24"/>
      <c r="E45" s="24"/>
      <c r="F45" s="24"/>
      <c r="G45" s="6"/>
      <c r="H45" s="95"/>
      <c r="J45" s="10"/>
      <c r="L45" s="6"/>
    </row>
    <row r="46" spans="1:12" ht="12.75">
      <c r="A46" s="36" t="s">
        <v>4</v>
      </c>
      <c r="B46" s="23"/>
      <c r="C46" s="23"/>
      <c r="D46" s="24">
        <v>0.475</v>
      </c>
      <c r="E46" s="24"/>
      <c r="F46" s="24">
        <f>+C38</f>
        <v>0.1225</v>
      </c>
      <c r="G46" s="6"/>
      <c r="H46" s="95">
        <f>ROUND(D46*F46,6)</f>
        <v>0.058188</v>
      </c>
      <c r="J46" s="10"/>
      <c r="L46" s="6"/>
    </row>
    <row r="47" spans="1:12" ht="12.75">
      <c r="A47" s="36"/>
      <c r="C47" s="23"/>
      <c r="D47" s="65" t="s">
        <v>44</v>
      </c>
      <c r="E47" s="24"/>
      <c r="F47" s="24"/>
      <c r="G47" s="6"/>
      <c r="H47" s="99" t="s">
        <v>11</v>
      </c>
      <c r="J47" s="10"/>
      <c r="L47" s="7"/>
    </row>
    <row r="48" spans="1:12" ht="12.75">
      <c r="A48" s="36" t="s">
        <v>9</v>
      </c>
      <c r="C48" s="23"/>
      <c r="D48" s="24">
        <f>SUM(D40:D47)</f>
        <v>1</v>
      </c>
      <c r="E48" s="24"/>
      <c r="F48" s="24"/>
      <c r="G48" s="6"/>
      <c r="H48" s="191">
        <f>ROUND(H40+H42+H44+H46,8)</f>
        <v>0.095894</v>
      </c>
      <c r="J48" s="10"/>
      <c r="L48" s="6"/>
    </row>
    <row r="49" spans="1:12" ht="12.75">
      <c r="A49" s="36"/>
      <c r="C49" s="23"/>
      <c r="D49" s="23"/>
      <c r="E49" s="23"/>
      <c r="F49" s="23"/>
      <c r="H49" s="23"/>
      <c r="J49" s="10"/>
      <c r="L49" s="6"/>
    </row>
    <row r="50" spans="1:8" ht="12.75">
      <c r="A50" s="36"/>
      <c r="C50" s="23"/>
      <c r="D50" s="23"/>
      <c r="E50" s="23"/>
      <c r="F50" s="23"/>
      <c r="H50" s="23"/>
    </row>
    <row r="51" spans="1:12" ht="12.75">
      <c r="A51" s="35"/>
      <c r="B51" s="29"/>
      <c r="C51" s="29"/>
      <c r="D51" s="30" t="s">
        <v>6</v>
      </c>
      <c r="E51" s="30"/>
      <c r="F51" s="30"/>
      <c r="G51" s="5"/>
      <c r="H51" s="30" t="s">
        <v>12</v>
      </c>
      <c r="J51" s="10"/>
      <c r="L51" s="6"/>
    </row>
    <row r="52" spans="1:12" ht="12.75">
      <c r="A52" s="37" t="s">
        <v>439</v>
      </c>
      <c r="B52" s="31" t="s">
        <v>45</v>
      </c>
      <c r="C52" s="133">
        <v>0.09</v>
      </c>
      <c r="D52" s="30" t="s">
        <v>7</v>
      </c>
      <c r="E52" s="30"/>
      <c r="F52" s="30" t="s">
        <v>10</v>
      </c>
      <c r="G52" s="5"/>
      <c r="H52" s="30" t="s">
        <v>10</v>
      </c>
      <c r="J52" s="10"/>
      <c r="L52" s="6"/>
    </row>
    <row r="53" spans="1:12" ht="12.75">
      <c r="A53" s="35"/>
      <c r="B53" s="23"/>
      <c r="C53" s="23"/>
      <c r="D53" s="25" t="s">
        <v>44</v>
      </c>
      <c r="E53" s="23"/>
      <c r="F53" s="25" t="s">
        <v>61</v>
      </c>
      <c r="H53" s="25" t="s">
        <v>11</v>
      </c>
      <c r="J53" s="10"/>
      <c r="L53" s="6"/>
    </row>
    <row r="54" spans="1:12" ht="12.75">
      <c r="A54" s="36" t="s">
        <v>2</v>
      </c>
      <c r="B54" s="23"/>
      <c r="C54" s="23"/>
      <c r="D54" s="24">
        <f>+D12</f>
        <v>0.6431</v>
      </c>
      <c r="E54" s="24"/>
      <c r="F54" s="24">
        <f>+F12</f>
        <v>0.07632</v>
      </c>
      <c r="G54" s="6"/>
      <c r="H54" s="24">
        <f>+D54*F54</f>
        <v>0.049081392</v>
      </c>
      <c r="J54" s="10"/>
      <c r="L54" s="6"/>
    </row>
    <row r="55" spans="1:12" ht="12.75">
      <c r="A55" s="36"/>
      <c r="B55" s="23"/>
      <c r="C55" s="23"/>
      <c r="D55" s="24"/>
      <c r="E55" s="24"/>
      <c r="F55" s="24"/>
      <c r="G55" s="6"/>
      <c r="H55" s="24"/>
      <c r="J55" s="10"/>
      <c r="L55" s="6"/>
    </row>
    <row r="56" spans="1:12" ht="12.75">
      <c r="A56" s="36" t="s">
        <v>8</v>
      </c>
      <c r="B56" s="23"/>
      <c r="C56" s="23"/>
      <c r="D56" s="24">
        <f>+D14</f>
        <v>0.0038</v>
      </c>
      <c r="E56" s="24"/>
      <c r="F56" s="24">
        <f>+F14</f>
        <v>0.0337</v>
      </c>
      <c r="G56" s="6"/>
      <c r="H56" s="24">
        <f>+D56*F56</f>
        <v>0.00012806</v>
      </c>
      <c r="J56" s="10"/>
      <c r="L56" s="6"/>
    </row>
    <row r="57" spans="1:12" ht="12.75">
      <c r="A57" s="36"/>
      <c r="B57" s="23"/>
      <c r="C57" s="23"/>
      <c r="D57" s="24"/>
      <c r="E57" s="24"/>
      <c r="F57" s="24"/>
      <c r="G57" s="6"/>
      <c r="H57" s="24"/>
      <c r="J57" s="10"/>
      <c r="L57" s="6"/>
    </row>
    <row r="58" spans="1:12" ht="12.75">
      <c r="A58" s="36" t="s">
        <v>3</v>
      </c>
      <c r="B58" s="23"/>
      <c r="C58" s="23"/>
      <c r="D58" s="24">
        <f>+D16</f>
        <v>0</v>
      </c>
      <c r="E58" s="24"/>
      <c r="F58" s="24">
        <f>+F16</f>
        <v>0</v>
      </c>
      <c r="G58" s="6"/>
      <c r="H58" s="24">
        <f>+D58*F58</f>
        <v>0</v>
      </c>
      <c r="J58" s="10"/>
      <c r="L58" s="6"/>
    </row>
    <row r="59" spans="1:12" ht="12.75">
      <c r="A59" s="36"/>
      <c r="B59" s="23"/>
      <c r="C59" s="23"/>
      <c r="D59" s="24"/>
      <c r="E59" s="24"/>
      <c r="F59" s="24"/>
      <c r="G59" s="6"/>
      <c r="H59" s="24"/>
      <c r="J59" s="10"/>
      <c r="L59" s="6"/>
    </row>
    <row r="60" spans="1:12" ht="12.75">
      <c r="A60" s="36" t="s">
        <v>4</v>
      </c>
      <c r="B60" s="23"/>
      <c r="C60" s="23"/>
      <c r="D60" s="24">
        <f>+D32</f>
        <v>0.3531</v>
      </c>
      <c r="E60" s="24"/>
      <c r="F60" s="24">
        <f>+C52</f>
        <v>0.09</v>
      </c>
      <c r="G60" s="6"/>
      <c r="H60" s="24">
        <f>+D60*F60</f>
        <v>0.031779</v>
      </c>
      <c r="J60" s="10"/>
      <c r="L60" s="6"/>
    </row>
    <row r="61" spans="1:12" ht="12.75">
      <c r="A61" s="36"/>
      <c r="C61" s="23"/>
      <c r="D61" s="65" t="s">
        <v>56</v>
      </c>
      <c r="E61" s="24"/>
      <c r="F61" s="24"/>
      <c r="G61" s="6"/>
      <c r="H61" s="25" t="s">
        <v>11</v>
      </c>
      <c r="J61" s="10"/>
      <c r="L61" s="7"/>
    </row>
    <row r="62" spans="1:12" ht="12.75">
      <c r="A62" s="36" t="s">
        <v>9</v>
      </c>
      <c r="C62" s="23"/>
      <c r="D62" s="24">
        <f>SUM(D54:D61)</f>
        <v>1</v>
      </c>
      <c r="E62" s="24"/>
      <c r="F62" s="24"/>
      <c r="G62" s="6"/>
      <c r="H62" s="70">
        <f>ROUND(H54+H56+H58+H60,4)</f>
        <v>0.081</v>
      </c>
      <c r="J62" s="10"/>
      <c r="L62" s="6"/>
    </row>
    <row r="63" spans="1:8" ht="12.75">
      <c r="A63" s="36"/>
      <c r="C63" s="23"/>
      <c r="D63" s="23"/>
      <c r="E63" s="23"/>
      <c r="F63" s="23"/>
      <c r="H63" s="23"/>
    </row>
    <row r="64" spans="1:8" ht="12.75">
      <c r="A64" s="36"/>
      <c r="C64" s="23"/>
      <c r="D64" s="23"/>
      <c r="E64" s="23"/>
      <c r="F64" s="23"/>
      <c r="H64" s="23"/>
    </row>
    <row r="65" spans="1:8" ht="12.75">
      <c r="A65" s="36"/>
      <c r="C65" s="23"/>
      <c r="D65" s="23"/>
      <c r="E65" s="23"/>
      <c r="F65" s="23"/>
      <c r="H65" s="23"/>
    </row>
    <row r="66" spans="1:12" ht="12.75">
      <c r="A66" s="35"/>
      <c r="B66" s="29"/>
      <c r="C66" s="29"/>
      <c r="D66" s="30" t="s">
        <v>6</v>
      </c>
      <c r="E66" s="30"/>
      <c r="F66" s="30"/>
      <c r="G66" s="5"/>
      <c r="H66" s="30" t="s">
        <v>12</v>
      </c>
      <c r="J66" s="10"/>
      <c r="L66" s="6"/>
    </row>
    <row r="67" spans="1:12" ht="12.75">
      <c r="A67" s="37" t="s">
        <v>230</v>
      </c>
      <c r="B67" s="31" t="s">
        <v>45</v>
      </c>
      <c r="C67" s="133"/>
      <c r="D67" s="30" t="s">
        <v>7</v>
      </c>
      <c r="E67" s="30"/>
      <c r="F67" s="30" t="s">
        <v>10</v>
      </c>
      <c r="G67" s="5"/>
      <c r="H67" s="30" t="s">
        <v>10</v>
      </c>
      <c r="J67" s="10"/>
      <c r="L67" s="6"/>
    </row>
    <row r="68" spans="1:12" ht="12.75">
      <c r="A68" s="35"/>
      <c r="B68" s="23"/>
      <c r="C68" s="23"/>
      <c r="D68" s="25" t="s">
        <v>44</v>
      </c>
      <c r="E68" s="23"/>
      <c r="F68" s="25" t="s">
        <v>5</v>
      </c>
      <c r="H68" s="25" t="s">
        <v>11</v>
      </c>
      <c r="J68" s="10"/>
      <c r="L68" s="6"/>
    </row>
    <row r="69" spans="1:12" ht="12.75">
      <c r="A69" s="36" t="s">
        <v>2</v>
      </c>
      <c r="B69" s="23"/>
      <c r="C69" s="23"/>
      <c r="D69" s="24"/>
      <c r="E69" s="24"/>
      <c r="F69" s="24"/>
      <c r="G69" s="6"/>
      <c r="H69" s="24">
        <f>+D69*F69</f>
        <v>0</v>
      </c>
      <c r="J69" s="10"/>
      <c r="L69" s="6"/>
    </row>
    <row r="70" spans="1:12" ht="12.75">
      <c r="A70" s="36"/>
      <c r="B70" s="23"/>
      <c r="C70" s="23"/>
      <c r="D70" s="24"/>
      <c r="E70" s="24"/>
      <c r="F70" s="24"/>
      <c r="G70" s="6"/>
      <c r="H70" s="24"/>
      <c r="J70" s="10"/>
      <c r="L70" s="6"/>
    </row>
    <row r="71" spans="1:12" ht="12.75">
      <c r="A71" s="36" t="s">
        <v>8</v>
      </c>
      <c r="B71" s="23"/>
      <c r="C71" s="23"/>
      <c r="D71" s="24"/>
      <c r="E71" s="24"/>
      <c r="F71" s="24"/>
      <c r="G71" s="6"/>
      <c r="H71" s="24">
        <f>+D71*F71</f>
        <v>0</v>
      </c>
      <c r="J71" s="10"/>
      <c r="L71" s="6"/>
    </row>
    <row r="72" spans="1:12" ht="12.75">
      <c r="A72" s="36"/>
      <c r="B72" s="23"/>
      <c r="C72" s="23"/>
      <c r="D72" s="24"/>
      <c r="E72" s="24"/>
      <c r="F72" s="24"/>
      <c r="G72" s="6"/>
      <c r="H72" s="24"/>
      <c r="J72" s="10"/>
      <c r="L72" s="6"/>
    </row>
    <row r="73" spans="1:12" ht="12.75">
      <c r="A73" s="36" t="s">
        <v>3</v>
      </c>
      <c r="B73" s="23"/>
      <c r="C73" s="23"/>
      <c r="D73" s="24"/>
      <c r="E73" s="24"/>
      <c r="F73" s="24"/>
      <c r="G73" s="6"/>
      <c r="H73" s="24">
        <f>+D73*F73</f>
        <v>0</v>
      </c>
      <c r="J73" s="10"/>
      <c r="L73" s="6"/>
    </row>
    <row r="74" spans="1:12" ht="12.75">
      <c r="A74" s="36"/>
      <c r="B74" s="23"/>
      <c r="C74" s="23"/>
      <c r="D74" s="24"/>
      <c r="E74" s="24"/>
      <c r="F74" s="24"/>
      <c r="G74" s="6"/>
      <c r="H74" s="24"/>
      <c r="J74" s="10"/>
      <c r="L74" s="6"/>
    </row>
    <row r="75" spans="1:12" ht="12.75">
      <c r="A75" s="36" t="s">
        <v>4</v>
      </c>
      <c r="B75" s="23"/>
      <c r="C75" s="23"/>
      <c r="D75" s="24"/>
      <c r="E75" s="24"/>
      <c r="F75" s="24">
        <f>+C67</f>
        <v>0</v>
      </c>
      <c r="G75" s="6"/>
      <c r="H75" s="24">
        <f>+D75*F75</f>
        <v>0</v>
      </c>
      <c r="J75" s="10"/>
      <c r="L75" s="6"/>
    </row>
    <row r="76" spans="1:12" ht="12.75">
      <c r="A76" s="36"/>
      <c r="C76" s="23"/>
      <c r="D76" s="65" t="s">
        <v>44</v>
      </c>
      <c r="E76" s="24"/>
      <c r="F76" s="24"/>
      <c r="G76" s="6"/>
      <c r="H76" s="25" t="s">
        <v>11</v>
      </c>
      <c r="J76" s="10"/>
      <c r="L76" s="7"/>
    </row>
    <row r="77" spans="1:12" ht="12.75">
      <c r="A77" s="36" t="s">
        <v>9</v>
      </c>
      <c r="C77" s="23"/>
      <c r="D77" s="24">
        <f>SUM(D69:D76)</f>
        <v>0</v>
      </c>
      <c r="E77" s="24"/>
      <c r="F77" s="24"/>
      <c r="G77" s="6"/>
      <c r="H77" s="70">
        <f>ROUND(H69+H71+H73+H75,4)</f>
        <v>0</v>
      </c>
      <c r="J77" s="10"/>
      <c r="L77" s="6"/>
    </row>
    <row r="78" ht="12.75">
      <c r="A78" s="36"/>
    </row>
    <row r="79" ht="12.75">
      <c r="A79" s="36"/>
    </row>
    <row r="80" spans="1:13" ht="12.75">
      <c r="A80" s="35" t="s">
        <v>405</v>
      </c>
      <c r="B80" s="36"/>
      <c r="C80" s="36"/>
      <c r="D80" s="36"/>
      <c r="E80" s="36"/>
      <c r="F80" s="36"/>
      <c r="G80" s="35" t="s">
        <v>49</v>
      </c>
      <c r="H80" s="36"/>
      <c r="I80" s="36"/>
      <c r="J80" s="36"/>
      <c r="K80" s="36"/>
      <c r="L80" s="36"/>
      <c r="M80" s="36"/>
    </row>
    <row r="81" spans="1:13" ht="12.75">
      <c r="A81" s="27" t="s">
        <v>225</v>
      </c>
      <c r="B81" s="36"/>
      <c r="C81" s="36"/>
      <c r="D81" s="36"/>
      <c r="E81" s="36"/>
      <c r="F81" s="36"/>
      <c r="G81" s="27" t="s">
        <v>50</v>
      </c>
      <c r="H81" s="36"/>
      <c r="I81" s="36"/>
      <c r="J81" s="36"/>
      <c r="K81" s="36"/>
      <c r="L81" s="36"/>
      <c r="M81" s="36"/>
    </row>
    <row r="82" spans="1:13" ht="12.75">
      <c r="A82" s="36" t="str">
        <f>+A10</f>
        <v>Staff Cap. Structure/Staff ROE</v>
      </c>
      <c r="B82" s="36"/>
      <c r="C82" s="36"/>
      <c r="D82" s="36"/>
      <c r="E82" s="26">
        <f>+H20</f>
        <v>0.0815</v>
      </c>
      <c r="F82" s="36"/>
      <c r="G82" s="36" t="str">
        <f>+A24</f>
        <v>Staff Cap. Structure/Co.ROE</v>
      </c>
      <c r="H82" s="36"/>
      <c r="I82" s="36"/>
      <c r="J82" s="36"/>
      <c r="K82" s="36"/>
      <c r="L82" s="36"/>
      <c r="M82" s="26">
        <f>+H34</f>
        <v>0.0925</v>
      </c>
    </row>
    <row r="83" spans="1:13" ht="12.75">
      <c r="A83" s="36" t="str">
        <f>+A24</f>
        <v>Staff Cap. Structure/Co.ROE</v>
      </c>
      <c r="B83" s="36"/>
      <c r="C83" s="36"/>
      <c r="D83" s="39"/>
      <c r="E83" s="26">
        <f>+H34</f>
        <v>0.0925</v>
      </c>
      <c r="F83" s="36"/>
      <c r="G83" s="36" t="str">
        <f>+A38</f>
        <v>Company Cap. Structure/ Co. ROE</v>
      </c>
      <c r="H83" s="36"/>
      <c r="I83" s="36"/>
      <c r="J83" s="36"/>
      <c r="K83" s="36"/>
      <c r="L83" s="36"/>
      <c r="M83" s="26">
        <f>+H48</f>
        <v>0.095894</v>
      </c>
    </row>
    <row r="84" spans="1:13" ht="12.75">
      <c r="A84" s="36"/>
      <c r="B84" s="36"/>
      <c r="C84" s="36"/>
      <c r="D84" s="36"/>
      <c r="E84" s="27" t="s">
        <v>135</v>
      </c>
      <c r="F84" s="36"/>
      <c r="G84" s="36"/>
      <c r="H84" s="36"/>
      <c r="I84" s="36"/>
      <c r="J84" s="36"/>
      <c r="K84" s="36"/>
      <c r="L84" s="36"/>
      <c r="M84" s="27" t="s">
        <v>31</v>
      </c>
    </row>
    <row r="85" spans="1:13" ht="12.75">
      <c r="A85" s="36" t="s">
        <v>47</v>
      </c>
      <c r="B85" s="36"/>
      <c r="C85" s="36"/>
      <c r="D85" s="36"/>
      <c r="E85" s="26">
        <f>+E82-E83</f>
        <v>-0.010999999999999996</v>
      </c>
      <c r="F85" s="36"/>
      <c r="G85" s="36" t="s">
        <v>47</v>
      </c>
      <c r="H85" s="36"/>
      <c r="I85" s="36"/>
      <c r="J85" s="36"/>
      <c r="K85" s="36"/>
      <c r="L85" s="36"/>
      <c r="M85" s="26">
        <f>+M82-M83</f>
        <v>-0.0033939999999999942</v>
      </c>
    </row>
    <row r="86" spans="1:13" ht="12.75">
      <c r="A86" s="35" t="s">
        <v>429</v>
      </c>
      <c r="B86" s="36"/>
      <c r="C86" s="36"/>
      <c r="D86" s="35"/>
      <c r="E86" s="33">
        <f>+'Rate Base'!G69</f>
        <v>694827081</v>
      </c>
      <c r="F86" s="36"/>
      <c r="G86" s="35" t="s">
        <v>440</v>
      </c>
      <c r="H86" s="36"/>
      <c r="I86" s="36"/>
      <c r="J86" s="36"/>
      <c r="K86" s="36"/>
      <c r="L86" s="36"/>
      <c r="M86" s="33">
        <f>+'Rate Base'!G69</f>
        <v>694827081</v>
      </c>
    </row>
    <row r="87" spans="1:13" ht="12.75">
      <c r="A87" s="36"/>
      <c r="B87" s="36"/>
      <c r="C87" s="36"/>
      <c r="D87" s="36"/>
      <c r="E87" s="34" t="s">
        <v>134</v>
      </c>
      <c r="F87" s="36"/>
      <c r="G87" s="36"/>
      <c r="H87" s="36"/>
      <c r="I87" s="36"/>
      <c r="J87" s="36"/>
      <c r="K87" s="36"/>
      <c r="L87" s="36"/>
      <c r="M87" s="34" t="s">
        <v>31</v>
      </c>
    </row>
    <row r="88" spans="1:13" ht="12.75">
      <c r="A88" s="36" t="s">
        <v>105</v>
      </c>
      <c r="B88" s="36"/>
      <c r="C88" s="36"/>
      <c r="D88" s="36"/>
      <c r="E88" s="33">
        <f>+E85*E86</f>
        <v>-7643097.890999997</v>
      </c>
      <c r="F88" s="36"/>
      <c r="G88" s="36" t="s">
        <v>105</v>
      </c>
      <c r="H88" s="36"/>
      <c r="I88" s="36"/>
      <c r="J88" s="36"/>
      <c r="K88" s="36"/>
      <c r="L88" s="36"/>
      <c r="M88" s="33">
        <f>+M85*M86</f>
        <v>-2358243.112913996</v>
      </c>
    </row>
    <row r="89" spans="1:13" ht="12.75">
      <c r="A89" s="36"/>
      <c r="B89" s="36"/>
      <c r="C89" s="36"/>
      <c r="D89" s="36"/>
      <c r="E89" s="141">
        <f>+'IncomeStat.'!N13</f>
        <v>1.6230755440453266</v>
      </c>
      <c r="F89" s="36"/>
      <c r="G89" s="37" t="s">
        <v>93</v>
      </c>
      <c r="H89" s="36"/>
      <c r="I89" s="36"/>
      <c r="J89" s="36"/>
      <c r="K89" s="36"/>
      <c r="L89" s="36"/>
      <c r="M89" s="141">
        <f>+'IncomeStat.'!N13</f>
        <v>1.6230755440453266</v>
      </c>
    </row>
    <row r="90" spans="1:13" ht="12.75">
      <c r="A90" s="35"/>
      <c r="B90" s="36"/>
      <c r="C90" s="36"/>
      <c r="D90" s="36"/>
      <c r="E90" s="34" t="s">
        <v>134</v>
      </c>
      <c r="F90" s="36"/>
      <c r="G90" s="35"/>
      <c r="H90" s="36"/>
      <c r="I90" s="36"/>
      <c r="J90" s="36"/>
      <c r="K90" s="36"/>
      <c r="L90" s="36"/>
      <c r="M90" s="34" t="s">
        <v>42</v>
      </c>
    </row>
    <row r="91" spans="1:13" ht="12.75">
      <c r="A91" s="35" t="s">
        <v>232</v>
      </c>
      <c r="B91" s="36"/>
      <c r="C91" s="36"/>
      <c r="D91" s="36"/>
      <c r="E91" s="33">
        <f>+E88*E89</f>
        <v>-12405325.26762651</v>
      </c>
      <c r="F91" s="36"/>
      <c r="G91" s="35" t="s">
        <v>347</v>
      </c>
      <c r="H91" s="36"/>
      <c r="I91" s="36"/>
      <c r="J91" s="36"/>
      <c r="K91" s="36"/>
      <c r="L91" s="36"/>
      <c r="M91" s="33">
        <f>+M88*M89</f>
        <v>-3827606.7234840286</v>
      </c>
    </row>
    <row r="92" spans="1:13" ht="12.75">
      <c r="A92" s="36"/>
      <c r="B92" s="36"/>
      <c r="C92" s="36"/>
      <c r="D92" s="36"/>
      <c r="E92" s="27" t="s">
        <v>88</v>
      </c>
      <c r="F92" s="36"/>
      <c r="G92" s="36"/>
      <c r="H92" s="36"/>
      <c r="I92" s="36"/>
      <c r="J92" s="36"/>
      <c r="K92" s="36"/>
      <c r="L92" s="36"/>
      <c r="M92" s="27" t="s">
        <v>39</v>
      </c>
    </row>
    <row r="93" spans="1:13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35" t="s">
        <v>406</v>
      </c>
      <c r="B94" s="36"/>
      <c r="C94" s="36"/>
      <c r="D94" s="36"/>
      <c r="E94" s="36"/>
      <c r="F94" s="36"/>
      <c r="G94" s="35" t="s">
        <v>412</v>
      </c>
      <c r="H94" s="36"/>
      <c r="I94" s="36"/>
      <c r="J94" s="36"/>
      <c r="K94" s="36"/>
      <c r="L94" s="36"/>
      <c r="M94" s="36"/>
    </row>
    <row r="95" spans="1:13" ht="12.75">
      <c r="A95" s="27" t="s">
        <v>225</v>
      </c>
      <c r="B95" s="36"/>
      <c r="C95" s="36"/>
      <c r="D95" s="36"/>
      <c r="E95" s="36"/>
      <c r="F95" s="36"/>
      <c r="G95" s="27" t="s">
        <v>51</v>
      </c>
      <c r="H95" s="36"/>
      <c r="I95" s="36"/>
      <c r="J95" s="36"/>
      <c r="K95" s="36"/>
      <c r="L95" s="36"/>
      <c r="M95" s="36"/>
    </row>
    <row r="96" spans="1:13" ht="12.75">
      <c r="A96" s="36" t="s">
        <v>409</v>
      </c>
      <c r="B96" s="36"/>
      <c r="C96" s="36"/>
      <c r="D96" s="39"/>
      <c r="E96" s="26">
        <f>+H62</f>
        <v>0.081</v>
      </c>
      <c r="F96" s="36"/>
      <c r="G96" s="36" t="s">
        <v>52</v>
      </c>
      <c r="H96" s="36"/>
      <c r="I96" s="36"/>
      <c r="J96" s="36"/>
      <c r="K96" s="36"/>
      <c r="L96" s="36"/>
      <c r="M96" s="26">
        <f>+H77</f>
        <v>0</v>
      </c>
    </row>
    <row r="97" spans="1:13" ht="12.75">
      <c r="A97" s="36" t="s">
        <v>410</v>
      </c>
      <c r="B97" s="36"/>
      <c r="C97" s="36"/>
      <c r="D97" s="39"/>
      <c r="E97" s="26">
        <f>+H20</f>
        <v>0.0815</v>
      </c>
      <c r="F97" s="36"/>
      <c r="G97" s="36" t="s">
        <v>48</v>
      </c>
      <c r="H97" s="36"/>
      <c r="I97" s="36"/>
      <c r="J97" s="36"/>
      <c r="K97" s="36"/>
      <c r="L97" s="36"/>
      <c r="M97" s="26">
        <f>+H62</f>
        <v>0.081</v>
      </c>
    </row>
    <row r="98" spans="1:13" ht="12.75">
      <c r="A98" s="36"/>
      <c r="B98" s="36"/>
      <c r="C98" s="36"/>
      <c r="D98" s="36"/>
      <c r="E98" s="38" t="s">
        <v>134</v>
      </c>
      <c r="F98" s="36"/>
      <c r="H98" s="36"/>
      <c r="I98" s="36"/>
      <c r="J98" s="36"/>
      <c r="K98" s="36"/>
      <c r="L98" s="36"/>
      <c r="M98" s="27" t="s">
        <v>42</v>
      </c>
    </row>
    <row r="99" spans="1:13" ht="12.75">
      <c r="A99" s="36" t="s">
        <v>47</v>
      </c>
      <c r="B99" s="36"/>
      <c r="C99" s="36"/>
      <c r="D99" s="36"/>
      <c r="E99" s="26">
        <f>+E96-E97</f>
        <v>-0.0005000000000000004</v>
      </c>
      <c r="F99" s="36"/>
      <c r="G99" s="36" t="s">
        <v>47</v>
      </c>
      <c r="H99" s="36"/>
      <c r="I99" s="36"/>
      <c r="J99" s="36"/>
      <c r="K99" s="36"/>
      <c r="L99" s="36"/>
      <c r="M99" s="26">
        <f>+M96-M97</f>
        <v>-0.081</v>
      </c>
    </row>
    <row r="100" spans="1:13" ht="12.75">
      <c r="A100" s="36" t="s">
        <v>408</v>
      </c>
      <c r="B100" s="36"/>
      <c r="C100" s="36"/>
      <c r="D100" s="36"/>
      <c r="E100" s="33">
        <f>+'Rate Base'!K146</f>
        <v>0</v>
      </c>
      <c r="F100" s="36"/>
      <c r="G100" s="36" t="s">
        <v>46</v>
      </c>
      <c r="H100" s="36"/>
      <c r="I100" s="36"/>
      <c r="J100" s="83"/>
      <c r="K100" s="36"/>
      <c r="L100" s="36"/>
      <c r="M100" s="33">
        <f>+'Rate Base'!K146</f>
        <v>0</v>
      </c>
    </row>
    <row r="101" spans="1:13" ht="12.75">
      <c r="A101" s="36"/>
      <c r="B101" s="36"/>
      <c r="C101" s="36"/>
      <c r="D101" s="36"/>
      <c r="E101" s="34" t="s">
        <v>134</v>
      </c>
      <c r="F101" s="36"/>
      <c r="G101" s="36"/>
      <c r="H101" s="36"/>
      <c r="I101" s="36"/>
      <c r="J101" s="36"/>
      <c r="K101" s="36"/>
      <c r="L101" s="36"/>
      <c r="M101" s="34" t="s">
        <v>42</v>
      </c>
    </row>
    <row r="102" spans="1:13" ht="12.75">
      <c r="A102" s="36" t="s">
        <v>105</v>
      </c>
      <c r="B102" s="36"/>
      <c r="C102" s="36"/>
      <c r="D102" s="36"/>
      <c r="E102" s="33">
        <f>+E99*E100</f>
        <v>0</v>
      </c>
      <c r="F102" s="36"/>
      <c r="G102" s="36" t="s">
        <v>105</v>
      </c>
      <c r="H102" s="36"/>
      <c r="I102" s="36"/>
      <c r="J102" s="36"/>
      <c r="K102" s="36"/>
      <c r="L102" s="36"/>
      <c r="M102" s="33">
        <f>+M99*M100</f>
        <v>0</v>
      </c>
    </row>
    <row r="103" spans="1:13" ht="12.75">
      <c r="A103" s="37" t="s">
        <v>93</v>
      </c>
      <c r="B103" s="36"/>
      <c r="C103" s="36"/>
      <c r="D103" s="36"/>
      <c r="E103" s="141">
        <f>+'IncomeStat.'!N13</f>
        <v>1.6230755440453266</v>
      </c>
      <c r="F103" s="36"/>
      <c r="G103" s="37" t="s">
        <v>93</v>
      </c>
      <c r="H103" s="36"/>
      <c r="I103" s="36"/>
      <c r="J103" s="36"/>
      <c r="K103" s="36"/>
      <c r="L103" s="36"/>
      <c r="M103" s="142">
        <f>+'IncomeStat.'!N13</f>
        <v>1.6230755440453266</v>
      </c>
    </row>
    <row r="104" spans="1:13" ht="12.75">
      <c r="A104" s="35"/>
      <c r="B104" s="36"/>
      <c r="C104" s="36"/>
      <c r="D104" s="36"/>
      <c r="E104" s="34" t="s">
        <v>134</v>
      </c>
      <c r="F104" s="36"/>
      <c r="G104" s="36"/>
      <c r="H104" s="36"/>
      <c r="I104" s="36"/>
      <c r="J104" s="36"/>
      <c r="K104" s="36"/>
      <c r="L104" s="36"/>
      <c r="M104" s="34" t="s">
        <v>31</v>
      </c>
    </row>
    <row r="105" spans="1:13" ht="12.75">
      <c r="A105" s="35" t="s">
        <v>232</v>
      </c>
      <c r="B105" s="36"/>
      <c r="C105" s="36"/>
      <c r="D105" s="36"/>
      <c r="E105" s="33">
        <f>+E102*E103</f>
        <v>0</v>
      </c>
      <c r="F105" s="36"/>
      <c r="G105" s="35" t="s">
        <v>413</v>
      </c>
      <c r="H105" s="36"/>
      <c r="I105" s="36"/>
      <c r="J105" s="36"/>
      <c r="K105" s="36"/>
      <c r="L105" s="36"/>
      <c r="M105" s="33">
        <f>+M102*M103</f>
        <v>0</v>
      </c>
    </row>
    <row r="106" spans="1:13" ht="12.75">
      <c r="A106" s="36"/>
      <c r="B106" s="36"/>
      <c r="C106" s="36"/>
      <c r="D106" s="36"/>
      <c r="E106" s="27" t="s">
        <v>88</v>
      </c>
      <c r="F106" s="36"/>
      <c r="G106" s="36"/>
      <c r="H106" s="36"/>
      <c r="I106" s="36"/>
      <c r="J106" s="36"/>
      <c r="K106" s="36"/>
      <c r="L106" s="36"/>
      <c r="M106" s="27" t="s">
        <v>39</v>
      </c>
    </row>
    <row r="107" spans="1:1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36"/>
      <c r="B108" s="36"/>
      <c r="C108" s="36"/>
      <c r="D108" s="36"/>
      <c r="E108" s="39" t="s">
        <v>411</v>
      </c>
      <c r="F108" s="36"/>
      <c r="G108" s="39" t="s">
        <v>407</v>
      </c>
      <c r="H108" s="36"/>
      <c r="I108" s="36"/>
      <c r="J108" s="36"/>
      <c r="K108" s="36"/>
      <c r="L108" s="36"/>
      <c r="M108" s="36"/>
    </row>
    <row r="109" spans="1:13" ht="12.75">
      <c r="A109" s="35" t="s">
        <v>106</v>
      </c>
      <c r="B109" s="36"/>
      <c r="C109" s="36"/>
      <c r="D109" s="36"/>
      <c r="E109" s="27" t="s">
        <v>134</v>
      </c>
      <c r="F109" s="36"/>
      <c r="G109" s="27" t="s">
        <v>134</v>
      </c>
      <c r="H109" s="36"/>
      <c r="I109" s="36"/>
      <c r="J109" s="36"/>
      <c r="K109" s="36"/>
      <c r="L109" s="36"/>
      <c r="M109" s="36"/>
    </row>
    <row r="110" spans="1:13" ht="12.75">
      <c r="A110" s="36" t="s">
        <v>110</v>
      </c>
      <c r="B110" s="36"/>
      <c r="C110" s="36"/>
      <c r="D110" s="36"/>
      <c r="E110" s="33">
        <f>+'Rate Base'!S69</f>
        <v>-5047506.438796765</v>
      </c>
      <c r="F110" s="36"/>
      <c r="G110" s="33">
        <f>+'Rate Base'!S146</f>
        <v>-86864676.2258906</v>
      </c>
      <c r="H110" s="36"/>
      <c r="I110" s="36"/>
      <c r="J110" s="36"/>
      <c r="K110" s="36"/>
      <c r="L110" s="36"/>
      <c r="M110" s="36"/>
    </row>
    <row r="111" spans="1:13" ht="12.75">
      <c r="A111" s="36" t="s">
        <v>109</v>
      </c>
      <c r="B111" s="36"/>
      <c r="C111" s="36"/>
      <c r="D111" s="36"/>
      <c r="E111" s="33">
        <f>+E91</f>
        <v>-12405325.26762651</v>
      </c>
      <c r="F111" s="36"/>
      <c r="G111" s="33">
        <f>+E105</f>
        <v>0</v>
      </c>
      <c r="H111" s="36"/>
      <c r="I111" s="36"/>
      <c r="J111" s="36"/>
      <c r="K111" s="36"/>
      <c r="L111" s="36"/>
      <c r="M111" s="36"/>
    </row>
    <row r="112" spans="1:13" ht="12.75">
      <c r="A112" s="36" t="s">
        <v>108</v>
      </c>
      <c r="B112" s="36"/>
      <c r="C112" s="36"/>
      <c r="D112" s="36"/>
      <c r="E112" s="33">
        <f>+M91</f>
        <v>-3827606.7234840286</v>
      </c>
      <c r="F112" s="36"/>
      <c r="G112" s="33">
        <f>+M105</f>
        <v>0</v>
      </c>
      <c r="H112" s="36"/>
      <c r="I112" s="36"/>
      <c r="J112" s="36"/>
      <c r="K112" s="36"/>
      <c r="L112" s="36"/>
      <c r="M112" s="36"/>
    </row>
    <row r="113" spans="1:13" ht="12.75">
      <c r="A113" s="36"/>
      <c r="B113" s="36"/>
      <c r="C113" s="36"/>
      <c r="D113" s="36"/>
      <c r="E113" s="27" t="s">
        <v>58</v>
      </c>
      <c r="F113" s="36"/>
      <c r="G113" s="27" t="s">
        <v>134</v>
      </c>
      <c r="H113" s="36"/>
      <c r="I113" s="36"/>
      <c r="J113" s="36"/>
      <c r="K113" s="36"/>
      <c r="L113" s="36"/>
      <c r="M113" s="36"/>
    </row>
    <row r="114" spans="1:13" ht="12.75">
      <c r="A114" s="35" t="s">
        <v>111</v>
      </c>
      <c r="B114" s="36"/>
      <c r="C114" s="36"/>
      <c r="D114" s="36"/>
      <c r="E114" s="138">
        <f>SUM(E110:E113)</f>
        <v>-21280438.429907303</v>
      </c>
      <c r="F114" s="39" t="s">
        <v>112</v>
      </c>
      <c r="G114" s="138">
        <f>SUM(G110:G113)</f>
        <v>-86864676.2258906</v>
      </c>
      <c r="H114" s="36"/>
      <c r="I114" s="36"/>
      <c r="J114" s="36"/>
      <c r="K114" s="36"/>
      <c r="L114" s="36"/>
      <c r="M114" s="36"/>
    </row>
    <row r="115" spans="1:13" ht="12.75">
      <c r="A115" s="36"/>
      <c r="B115" s="36"/>
      <c r="C115" s="36"/>
      <c r="D115" s="36"/>
      <c r="E115" s="27" t="s">
        <v>88</v>
      </c>
      <c r="F115" s="36"/>
      <c r="G115" s="27" t="s">
        <v>88</v>
      </c>
      <c r="H115" s="36"/>
      <c r="I115" s="36"/>
      <c r="J115" s="36"/>
      <c r="K115" s="36"/>
      <c r="L115" s="36"/>
      <c r="M115" s="36"/>
    </row>
    <row r="116" spans="1:13" ht="12.75">
      <c r="A116" s="40" t="s">
        <v>113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9" ht="12.75">
      <c r="A119" s="3"/>
    </row>
    <row r="121" spans="5:10" ht="12.75">
      <c r="E121" s="5"/>
      <c r="G121" s="5"/>
      <c r="J121" s="5"/>
    </row>
    <row r="122" spans="3:10" ht="12.75">
      <c r="C122" s="9"/>
      <c r="E122" s="9"/>
      <c r="G122" s="9"/>
      <c r="J122" s="9"/>
    </row>
    <row r="124" spans="3:10" ht="12.75">
      <c r="C124" s="6"/>
      <c r="E124" s="6"/>
      <c r="G124" s="6"/>
      <c r="J124" s="6"/>
    </row>
    <row r="125" spans="3:10" ht="12.75">
      <c r="C125" s="4"/>
      <c r="E125" s="4"/>
      <c r="G125" s="4"/>
      <c r="J125" s="4"/>
    </row>
    <row r="126" spans="3:14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8" spans="5:10" ht="12.75">
      <c r="E128" s="13"/>
      <c r="G128" s="9"/>
      <c r="J128" s="13"/>
    </row>
    <row r="131" spans="5:10" ht="12.75">
      <c r="E131" s="9"/>
      <c r="G131" s="9"/>
      <c r="J131" s="9"/>
    </row>
    <row r="132" spans="5:10" ht="12.75">
      <c r="E132" s="6"/>
      <c r="J132" s="6"/>
    </row>
    <row r="133" spans="5:10" ht="12.75">
      <c r="E133" s="4"/>
      <c r="G133" s="4"/>
      <c r="J133" s="4"/>
    </row>
    <row r="134" spans="5:10" ht="12.75">
      <c r="E134" s="13"/>
      <c r="F134" s="9"/>
      <c r="H134" s="9"/>
      <c r="J134" s="13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10" ht="12.75">
      <c r="E137" s="6"/>
      <c r="F137" s="6"/>
      <c r="H137" s="6"/>
      <c r="J137" s="6"/>
    </row>
    <row r="138" spans="5:10" ht="12.75">
      <c r="E138" s="6"/>
      <c r="F138" s="6"/>
      <c r="G138" s="6"/>
      <c r="H138" s="6"/>
      <c r="J138" s="6"/>
    </row>
    <row r="139" spans="5:10" ht="12.75">
      <c r="E139" s="7"/>
      <c r="F139" s="6"/>
      <c r="G139" s="6"/>
      <c r="H139" s="6"/>
      <c r="J139" s="7"/>
    </row>
    <row r="140" spans="5:10" ht="12.75">
      <c r="E140" s="6"/>
      <c r="F140" s="6"/>
      <c r="G140" s="6"/>
      <c r="H140" s="6"/>
      <c r="I140" s="6"/>
      <c r="J140" s="6"/>
    </row>
    <row r="141" spans="5:10" ht="12.75">
      <c r="E141" s="9"/>
      <c r="F141" s="9"/>
      <c r="G141" s="9"/>
      <c r="H141" s="9"/>
      <c r="J141" s="9"/>
    </row>
    <row r="142" spans="5:10" ht="12.75">
      <c r="E142" s="8"/>
      <c r="F142" s="9"/>
      <c r="G142" s="9"/>
      <c r="H142" s="9"/>
      <c r="J142" s="8"/>
    </row>
    <row r="143" spans="5:10" ht="12.75">
      <c r="E143" s="13"/>
      <c r="G143" s="9"/>
      <c r="H143" s="9"/>
      <c r="J143" s="13"/>
    </row>
    <row r="144" spans="5:10" ht="12.75">
      <c r="E144" s="9"/>
      <c r="F144" s="9"/>
      <c r="G144" s="9"/>
      <c r="H144" s="9"/>
      <c r="J144" s="9"/>
    </row>
    <row r="145" spans="5:10" ht="12.75">
      <c r="E145" s="6"/>
      <c r="F145" s="6"/>
      <c r="G145" s="9"/>
      <c r="H145" s="9"/>
      <c r="J145" s="6"/>
    </row>
    <row r="146" spans="5:10" ht="12.75">
      <c r="E146" s="6"/>
      <c r="F146" s="6"/>
      <c r="G146" s="6"/>
      <c r="H146" s="6"/>
      <c r="I146" s="6"/>
      <c r="J146" s="6"/>
    </row>
    <row r="147" spans="5:10" ht="12.75">
      <c r="E147" s="7"/>
      <c r="F147" s="6"/>
      <c r="G147" s="6"/>
      <c r="H147" s="6"/>
      <c r="I147" s="6"/>
      <c r="J147" s="7"/>
    </row>
    <row r="148" spans="5:10" ht="12.75">
      <c r="E148" s="6"/>
      <c r="F148" s="6"/>
      <c r="G148" s="6"/>
      <c r="H148" s="6"/>
      <c r="I148" s="6"/>
      <c r="J148" s="6"/>
    </row>
    <row r="149" spans="5:10" ht="12.75">
      <c r="E149" s="9"/>
      <c r="F149" s="9"/>
      <c r="G149" s="9"/>
      <c r="H149" s="9"/>
      <c r="J149" s="9"/>
    </row>
    <row r="150" spans="5:10" ht="12.75">
      <c r="E150" s="8"/>
      <c r="F150" s="9"/>
      <c r="G150" s="9"/>
      <c r="H150" s="9"/>
      <c r="J150" s="8"/>
    </row>
    <row r="151" spans="5:10" ht="12.75">
      <c r="E151" s="13"/>
      <c r="G151" s="9"/>
      <c r="H151" s="9"/>
      <c r="J151" s="13"/>
    </row>
    <row r="152" spans="5:10" ht="12.75">
      <c r="E152" s="9"/>
      <c r="G152" s="9"/>
      <c r="H152" s="9"/>
      <c r="J152" s="9"/>
    </row>
    <row r="153" spans="5:10" ht="12.75">
      <c r="E153" s="13"/>
      <c r="G153" s="9"/>
      <c r="H153" s="9"/>
      <c r="J153" s="13"/>
    </row>
    <row r="154" spans="5:10" ht="12.75">
      <c r="E154" s="8"/>
      <c r="G154" s="9"/>
      <c r="H154" s="9"/>
      <c r="J154" s="8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</sheetData>
  <printOptions/>
  <pageMargins left="0.25" right="0.25" top="0.25" bottom="0.25" header="0.5" footer="0.5"/>
  <pageSetup fitToHeight="0" fitToWidth="1" horizontalDpi="300" verticalDpi="300" orientation="portrait" scale="65" r:id="rId3"/>
  <headerFooter alignWithMargins="0">
    <oddFooter>&amp;CPage &amp;P</oddFooter>
  </headerFooter>
  <rowBreaks count="1" manualBreakCount="1">
    <brk id="77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workbookViewId="0" topLeftCell="A7">
      <selection activeCell="B27" sqref="B27"/>
    </sheetView>
  </sheetViews>
  <sheetFormatPr defaultColWidth="9.140625" defaultRowHeight="12.75"/>
  <cols>
    <col min="1" max="1" width="6.7109375" style="0" customWidth="1"/>
    <col min="2" max="2" width="27.00390625" style="0" bestFit="1" customWidth="1"/>
    <col min="3" max="3" width="3.7109375" style="0" customWidth="1"/>
    <col min="4" max="4" width="12.7109375" style="0" customWidth="1"/>
    <col min="5" max="5" width="3.7109375" style="0" customWidth="1"/>
    <col min="6" max="6" width="12.7109375" style="0" customWidth="1"/>
    <col min="7" max="7" width="3.7109375" style="0" customWidth="1"/>
    <col min="8" max="8" width="14.28125" style="0" bestFit="1" customWidth="1"/>
    <col min="9" max="9" width="3.7109375" style="0" customWidth="1"/>
    <col min="10" max="10" width="12.7109375" style="0" customWidth="1"/>
    <col min="11" max="11" width="3.7109375" style="0" customWidth="1"/>
    <col min="12" max="12" width="12.7109375" style="0" customWidth="1"/>
  </cols>
  <sheetData>
    <row r="2" spans="1:13" ht="18">
      <c r="A2" s="23"/>
      <c r="B2" s="23"/>
      <c r="C2" s="23"/>
      <c r="D2" s="42" t="s">
        <v>103</v>
      </c>
      <c r="E2" s="42"/>
      <c r="F2" s="23"/>
      <c r="G2" s="23"/>
      <c r="H2" s="23"/>
      <c r="I2" s="23"/>
      <c r="J2" s="23"/>
      <c r="K2" s="23"/>
      <c r="L2" s="23"/>
      <c r="M2" s="23"/>
    </row>
    <row r="3" spans="1:13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>
      <c r="A4" s="23"/>
      <c r="B4" s="23"/>
      <c r="C4" s="23"/>
      <c r="D4" s="23"/>
      <c r="E4" s="23" t="s">
        <v>248</v>
      </c>
      <c r="F4" s="23"/>
      <c r="G4" s="23"/>
      <c r="H4" s="23"/>
      <c r="I4" s="23"/>
      <c r="J4" s="23"/>
      <c r="K4" s="23"/>
      <c r="L4" s="23"/>
      <c r="M4" s="23"/>
    </row>
    <row r="5" spans="1:13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23"/>
      <c r="B6" s="23"/>
      <c r="C6" s="23"/>
      <c r="D6" s="23"/>
      <c r="E6" s="29" t="s">
        <v>441</v>
      </c>
      <c r="F6" s="23"/>
      <c r="G6" s="23"/>
      <c r="H6" s="23"/>
      <c r="I6" s="23"/>
      <c r="J6" s="23"/>
      <c r="K6" s="23"/>
      <c r="L6" s="23"/>
      <c r="M6" s="23"/>
    </row>
    <row r="7" spans="1:13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/>
      <c r="B9" s="23"/>
      <c r="C9" s="23"/>
      <c r="D9" s="30" t="s">
        <v>17</v>
      </c>
      <c r="E9" s="23"/>
      <c r="F9" s="41" t="s">
        <v>249</v>
      </c>
      <c r="G9" s="23"/>
      <c r="H9" s="23" t="s">
        <v>89</v>
      </c>
      <c r="I9" s="23"/>
      <c r="J9" s="23"/>
      <c r="K9" s="23"/>
      <c r="L9" s="23" t="s">
        <v>36</v>
      </c>
      <c r="M9" s="23"/>
    </row>
    <row r="10" spans="1:16" ht="12.75">
      <c r="A10" s="23"/>
      <c r="B10" s="23"/>
      <c r="C10" s="23"/>
      <c r="D10" s="30" t="s">
        <v>222</v>
      </c>
      <c r="E10" s="30"/>
      <c r="F10" s="30" t="s">
        <v>226</v>
      </c>
      <c r="G10" s="30"/>
      <c r="H10" s="30" t="s">
        <v>19</v>
      </c>
      <c r="I10" s="30"/>
      <c r="J10" s="30" t="s">
        <v>20</v>
      </c>
      <c r="K10" s="30"/>
      <c r="L10" s="30" t="s">
        <v>19</v>
      </c>
      <c r="M10" s="30"/>
      <c r="N10" s="5"/>
      <c r="O10" s="5"/>
      <c r="P10" s="5"/>
    </row>
    <row r="11" spans="4:12" ht="12.75">
      <c r="D11" s="4" t="s">
        <v>31</v>
      </c>
      <c r="F11" s="4" t="s">
        <v>31</v>
      </c>
      <c r="G11" s="3"/>
      <c r="H11" s="4" t="s">
        <v>58</v>
      </c>
      <c r="J11" s="4" t="s">
        <v>31</v>
      </c>
      <c r="K11" s="3"/>
      <c r="L11" s="4" t="s">
        <v>31</v>
      </c>
    </row>
    <row r="12" spans="1:16" ht="12.75">
      <c r="A12" s="43">
        <v>1</v>
      </c>
      <c r="B12" s="36" t="s">
        <v>41</v>
      </c>
      <c r="C12" s="36"/>
      <c r="D12" s="33">
        <f>+'Rate Base'!K69</f>
        <v>656669526</v>
      </c>
      <c r="E12" s="33"/>
      <c r="F12" s="33">
        <f>+'Rate Base'!G69</f>
        <v>694827081</v>
      </c>
      <c r="G12" s="151"/>
      <c r="H12" s="33">
        <f>+D12-F12</f>
        <v>-38157555</v>
      </c>
      <c r="I12" s="33"/>
      <c r="J12" s="33">
        <f>+'Rate Base'!K146</f>
        <v>0</v>
      </c>
      <c r="K12" s="151"/>
      <c r="L12" s="33">
        <f>+J12-D12</f>
        <v>-656669526</v>
      </c>
      <c r="M12" s="9"/>
      <c r="N12" s="9"/>
      <c r="O12" s="9"/>
      <c r="P12" s="9"/>
    </row>
    <row r="13" spans="1:12" ht="12.75">
      <c r="A13" s="43"/>
      <c r="B13" s="36"/>
      <c r="C13" s="36"/>
      <c r="D13" s="36"/>
      <c r="E13" s="36"/>
      <c r="F13" s="36"/>
      <c r="G13" s="35"/>
      <c r="H13" s="36"/>
      <c r="I13" s="36"/>
      <c r="J13" s="36"/>
      <c r="K13" s="35"/>
      <c r="L13" s="36"/>
    </row>
    <row r="14" spans="1:16" ht="12.75">
      <c r="A14" s="43">
        <v>2</v>
      </c>
      <c r="B14" s="36" t="s">
        <v>32</v>
      </c>
      <c r="C14" s="36"/>
      <c r="D14" s="26">
        <f>ROUND(+RateofReturn!H20,4)</f>
        <v>0.0815</v>
      </c>
      <c r="E14" s="26"/>
      <c r="F14" s="87">
        <f>ROUND(+RateofReturn!H48,8)</f>
        <v>0.095894</v>
      </c>
      <c r="G14" s="152"/>
      <c r="H14" s="26"/>
      <c r="I14" s="26"/>
      <c r="J14" s="26">
        <f>+RateofReturn!H77</f>
        <v>0</v>
      </c>
      <c r="K14" s="152"/>
      <c r="L14" s="26"/>
      <c r="M14" s="6"/>
      <c r="N14" s="6"/>
      <c r="O14" s="6"/>
      <c r="P14" s="6"/>
    </row>
    <row r="15" spans="1:12" ht="12.75">
      <c r="A15" s="43"/>
      <c r="B15" s="36"/>
      <c r="C15" s="36"/>
      <c r="D15" s="27" t="s">
        <v>31</v>
      </c>
      <c r="E15" s="36"/>
      <c r="F15" s="27" t="s">
        <v>31</v>
      </c>
      <c r="G15" s="35"/>
      <c r="H15" s="27" t="s">
        <v>58</v>
      </c>
      <c r="I15" s="36"/>
      <c r="J15" s="27" t="s">
        <v>31</v>
      </c>
      <c r="K15" s="35"/>
      <c r="L15" s="27" t="s">
        <v>31</v>
      </c>
    </row>
    <row r="16" spans="1:14" ht="12.75">
      <c r="A16" s="43">
        <v>3</v>
      </c>
      <c r="B16" s="36" t="s">
        <v>90</v>
      </c>
      <c r="C16" s="36"/>
      <c r="D16" s="33">
        <f>+D12*D14</f>
        <v>53518566.369</v>
      </c>
      <c r="E16" s="33"/>
      <c r="F16" s="33">
        <f>+F12*F14</f>
        <v>66629748.105413996</v>
      </c>
      <c r="G16" s="158" t="s">
        <v>96</v>
      </c>
      <c r="H16" s="33">
        <f>+D16-F16</f>
        <v>-13111181.736413993</v>
      </c>
      <c r="I16" s="33"/>
      <c r="J16" s="33">
        <f>+J12*J14</f>
        <v>0</v>
      </c>
      <c r="K16" s="177" t="s">
        <v>98</v>
      </c>
      <c r="L16" s="33">
        <f>+J16-D16</f>
        <v>-53518566.369</v>
      </c>
      <c r="M16" s="9"/>
      <c r="N16" s="9"/>
    </row>
    <row r="17" spans="1:12" ht="12.75">
      <c r="A17" s="43"/>
      <c r="B17" s="36"/>
      <c r="C17" s="36"/>
      <c r="D17" s="36"/>
      <c r="E17" s="36"/>
      <c r="F17" s="36"/>
      <c r="G17" s="35"/>
      <c r="H17" s="36"/>
      <c r="I17" s="36"/>
      <c r="J17" s="36"/>
      <c r="K17" s="35"/>
      <c r="L17" s="36"/>
    </row>
    <row r="18" spans="1:14" ht="12.75">
      <c r="A18" s="43">
        <v>4</v>
      </c>
      <c r="B18" s="36" t="s">
        <v>91</v>
      </c>
      <c r="C18" s="36"/>
      <c r="D18" s="33">
        <f>+'IncomeStat.'!D241</f>
        <v>49419392.25999995</v>
      </c>
      <c r="E18" s="33"/>
      <c r="F18" s="33">
        <f>+'IncomeStat.'!F241</f>
        <v>19186066.760578174</v>
      </c>
      <c r="G18" s="158" t="s">
        <v>100</v>
      </c>
      <c r="H18" s="33">
        <f>+D18-F18</f>
        <v>30233325.49942178</v>
      </c>
      <c r="I18" s="33"/>
      <c r="J18" s="33">
        <f>+OPCNOI!K64</f>
        <v>49419392.25999995</v>
      </c>
      <c r="K18" s="158" t="s">
        <v>101</v>
      </c>
      <c r="L18" s="33">
        <f>+J18-D18</f>
        <v>0</v>
      </c>
      <c r="M18" s="9"/>
      <c r="N18" s="9"/>
    </row>
    <row r="19" spans="1:12" ht="12.75">
      <c r="A19" s="43"/>
      <c r="B19" s="36"/>
      <c r="C19" s="36"/>
      <c r="D19" s="27" t="s">
        <v>31</v>
      </c>
      <c r="E19" s="36"/>
      <c r="F19" s="27" t="s">
        <v>31</v>
      </c>
      <c r="G19" s="35"/>
      <c r="H19" s="27" t="s">
        <v>58</v>
      </c>
      <c r="I19" s="36"/>
      <c r="J19" s="27" t="s">
        <v>31</v>
      </c>
      <c r="K19" s="35"/>
      <c r="L19" s="27" t="s">
        <v>31</v>
      </c>
    </row>
    <row r="20" spans="1:14" ht="12.75">
      <c r="A20" s="43">
        <v>5</v>
      </c>
      <c r="B20" s="36" t="s">
        <v>92</v>
      </c>
      <c r="C20" s="36"/>
      <c r="D20" s="33">
        <f>+D16-D18</f>
        <v>4099174.1090000495</v>
      </c>
      <c r="E20" s="33"/>
      <c r="F20" s="33">
        <f>+F16-F18</f>
        <v>47443681.34483582</v>
      </c>
      <c r="G20" s="151"/>
      <c r="H20" s="33">
        <f>+H16-H18</f>
        <v>-43344507.235835776</v>
      </c>
      <c r="I20" s="33"/>
      <c r="J20" s="33">
        <f>+J16-J18</f>
        <v>-49419392.25999995</v>
      </c>
      <c r="K20" s="151"/>
      <c r="L20" s="33">
        <f>+L16-L18</f>
        <v>-53518566.369</v>
      </c>
      <c r="M20" s="9"/>
      <c r="N20" s="9"/>
    </row>
    <row r="21" spans="1:12" ht="12.75">
      <c r="A21" s="178"/>
      <c r="B21" s="36"/>
      <c r="C21" s="36"/>
      <c r="D21" s="36"/>
      <c r="E21" s="36"/>
      <c r="F21" s="36"/>
      <c r="G21" s="35"/>
      <c r="H21" s="36"/>
      <c r="I21" s="36"/>
      <c r="J21" s="36"/>
      <c r="K21" s="35"/>
      <c r="L21" s="36"/>
    </row>
    <row r="22" spans="1:16" ht="12.75">
      <c r="A22" s="179">
        <v>6</v>
      </c>
      <c r="B22" s="36" t="s">
        <v>93</v>
      </c>
      <c r="C22" s="36"/>
      <c r="D22" s="180">
        <f>+'IncomeStat.'!N13</f>
        <v>1.6230755440453266</v>
      </c>
      <c r="E22" s="141"/>
      <c r="F22" s="141">
        <f>+'IncomeStat.'!N13</f>
        <v>1.6230755440453266</v>
      </c>
      <c r="G22" s="153"/>
      <c r="H22" s="141">
        <f>+'IncomeStat.'!N13</f>
        <v>1.6230755440453266</v>
      </c>
      <c r="I22" s="141"/>
      <c r="J22" s="141">
        <f>+'IncomeStat.'!N13</f>
        <v>1.6230755440453266</v>
      </c>
      <c r="K22" s="153"/>
      <c r="L22" s="141">
        <f>+'IncomeStat.'!N13</f>
        <v>1.6230755440453266</v>
      </c>
      <c r="M22" s="90"/>
      <c r="N22" s="14"/>
      <c r="O22" s="14"/>
      <c r="P22" s="14"/>
    </row>
    <row r="23" spans="1:12" ht="12.75">
      <c r="A23" s="181"/>
      <c r="B23" s="36"/>
      <c r="C23" s="36"/>
      <c r="D23" s="27" t="s">
        <v>31</v>
      </c>
      <c r="E23" s="36"/>
      <c r="F23" s="27" t="s">
        <v>31</v>
      </c>
      <c r="G23" s="35"/>
      <c r="H23" s="27" t="s">
        <v>58</v>
      </c>
      <c r="I23" s="36"/>
      <c r="J23" s="27" t="s">
        <v>31</v>
      </c>
      <c r="K23" s="35"/>
      <c r="L23" s="27" t="s">
        <v>31</v>
      </c>
    </row>
    <row r="24" spans="1:14" ht="12.75">
      <c r="A24" s="43">
        <v>7</v>
      </c>
      <c r="B24" s="36" t="s">
        <v>94</v>
      </c>
      <c r="C24" s="36"/>
      <c r="D24" s="33">
        <f>+D20*D22</f>
        <v>6653269.247101773</v>
      </c>
      <c r="E24" s="33"/>
      <c r="F24" s="33">
        <f>+F20*F22</f>
        <v>77004678.91028251</v>
      </c>
      <c r="G24" s="158" t="s">
        <v>176</v>
      </c>
      <c r="H24" s="151">
        <f>+H20*H22</f>
        <v>-70351409.66318075</v>
      </c>
      <c r="I24" s="33"/>
      <c r="J24" s="33">
        <f>+J20*J22</f>
        <v>-80211406.97878882</v>
      </c>
      <c r="K24" s="158" t="s">
        <v>177</v>
      </c>
      <c r="L24" s="151">
        <f>+L20*L22</f>
        <v>-86864676.2258906</v>
      </c>
      <c r="M24" s="9"/>
      <c r="N24" s="9"/>
    </row>
    <row r="25" spans="1:12" ht="12.75">
      <c r="A25" s="43"/>
      <c r="B25" s="36"/>
      <c r="C25" s="36"/>
      <c r="D25" s="27" t="s">
        <v>38</v>
      </c>
      <c r="E25" s="36"/>
      <c r="F25" s="27" t="s">
        <v>38</v>
      </c>
      <c r="G25" s="35"/>
      <c r="H25" s="27" t="s">
        <v>88</v>
      </c>
      <c r="I25" s="36"/>
      <c r="J25" s="27" t="s">
        <v>38</v>
      </c>
      <c r="K25" s="35"/>
      <c r="L25" s="27" t="s">
        <v>38</v>
      </c>
    </row>
    <row r="26" spans="1:12" ht="12.75">
      <c r="A26" s="43">
        <v>8</v>
      </c>
      <c r="B26" s="36"/>
      <c r="C26" s="36"/>
      <c r="D26" s="36"/>
      <c r="E26" s="36"/>
      <c r="F26" s="36" t="s">
        <v>73</v>
      </c>
      <c r="G26" s="35"/>
      <c r="H26" s="33">
        <f>+D24-F24</f>
        <v>-70351409.66318074</v>
      </c>
      <c r="I26" s="36"/>
      <c r="J26" s="36" t="s">
        <v>73</v>
      </c>
      <c r="K26" s="35"/>
      <c r="L26" s="164">
        <f>+J24-D24</f>
        <v>-86864676.22589059</v>
      </c>
    </row>
    <row r="27" spans="1:12" ht="12.75">
      <c r="A27" s="43"/>
      <c r="B27" s="36"/>
      <c r="C27" s="36"/>
      <c r="D27" s="36"/>
      <c r="E27" s="36"/>
      <c r="F27" s="36"/>
      <c r="G27" s="35"/>
      <c r="H27" s="27" t="s">
        <v>88</v>
      </c>
      <c r="I27" s="36"/>
      <c r="J27" s="36"/>
      <c r="K27" s="35"/>
      <c r="L27" s="27" t="s">
        <v>38</v>
      </c>
    </row>
    <row r="28" spans="1:12" ht="12.75">
      <c r="A28" s="43"/>
      <c r="B28" s="36"/>
      <c r="C28" s="36"/>
      <c r="D28" s="36"/>
      <c r="E28" s="36"/>
      <c r="F28" s="36"/>
      <c r="G28" s="35"/>
      <c r="H28" s="36"/>
      <c r="I28" s="36"/>
      <c r="J28" s="36"/>
      <c r="K28" s="35"/>
      <c r="L28" s="36"/>
    </row>
    <row r="29" spans="1:12" ht="12.75">
      <c r="A29" s="43"/>
      <c r="B29" s="36"/>
      <c r="C29" s="36"/>
      <c r="D29" s="36"/>
      <c r="E29" s="36"/>
      <c r="F29" s="43"/>
      <c r="G29" s="36"/>
      <c r="H29" s="39" t="s">
        <v>411</v>
      </c>
      <c r="I29" s="36"/>
      <c r="J29" s="36"/>
      <c r="K29" s="35"/>
      <c r="L29" s="39" t="s">
        <v>407</v>
      </c>
    </row>
    <row r="30" spans="1:13" ht="12.75">
      <c r="A30" s="43">
        <v>9</v>
      </c>
      <c r="B30" s="35" t="s">
        <v>95</v>
      </c>
      <c r="C30" s="36"/>
      <c r="D30" s="36"/>
      <c r="E30" s="36"/>
      <c r="F30" s="36"/>
      <c r="G30" s="158" t="s">
        <v>96</v>
      </c>
      <c r="H30" s="33">
        <f>+H16</f>
        <v>-13111181.736413993</v>
      </c>
      <c r="I30" s="33"/>
      <c r="J30" s="33"/>
      <c r="K30" s="177" t="s">
        <v>98</v>
      </c>
      <c r="L30" s="33">
        <f>+L16</f>
        <v>-53518566.369</v>
      </c>
      <c r="M30" s="9"/>
    </row>
    <row r="31" spans="1:12" ht="12.75">
      <c r="A31" s="43"/>
      <c r="B31" s="36"/>
      <c r="C31" s="36"/>
      <c r="D31" s="36"/>
      <c r="E31" s="36"/>
      <c r="F31" s="36"/>
      <c r="G31" s="35"/>
      <c r="H31" s="36"/>
      <c r="I31" s="36"/>
      <c r="J31" s="36"/>
      <c r="K31" s="35"/>
      <c r="L31" s="36"/>
    </row>
    <row r="32" spans="1:14" ht="12.75">
      <c r="A32" s="43">
        <v>10</v>
      </c>
      <c r="B32" s="36" t="s">
        <v>93</v>
      </c>
      <c r="C32" s="36"/>
      <c r="D32" s="36"/>
      <c r="E32" s="36"/>
      <c r="F32" s="36"/>
      <c r="G32" s="35"/>
      <c r="H32" s="141">
        <f>+'IncomeStat.'!N13</f>
        <v>1.6230755440453266</v>
      </c>
      <c r="I32" s="182"/>
      <c r="J32" s="182"/>
      <c r="K32" s="183"/>
      <c r="L32" s="141">
        <f>+'IncomeStat.'!N13</f>
        <v>1.6230755440453266</v>
      </c>
      <c r="M32" s="14"/>
      <c r="N32" s="14"/>
    </row>
    <row r="33" spans="1:12" ht="12.75">
      <c r="A33" s="43"/>
      <c r="B33" s="36"/>
      <c r="C33" s="36"/>
      <c r="D33" s="36"/>
      <c r="E33" s="36"/>
      <c r="F33" s="36"/>
      <c r="G33" s="35"/>
      <c r="H33" s="27" t="s">
        <v>58</v>
      </c>
      <c r="I33" s="36"/>
      <c r="J33" s="36"/>
      <c r="K33" s="35"/>
      <c r="L33" s="27" t="s">
        <v>58</v>
      </c>
    </row>
    <row r="34" spans="1:16" ht="12.75">
      <c r="A34" s="43">
        <v>11</v>
      </c>
      <c r="B34" s="36" t="s">
        <v>97</v>
      </c>
      <c r="C34" s="36"/>
      <c r="D34" s="36"/>
      <c r="E34" s="36"/>
      <c r="F34" s="36"/>
      <c r="G34" s="151"/>
      <c r="H34" s="33">
        <f>+H30*H32</f>
        <v>-21280438.429907292</v>
      </c>
      <c r="I34" s="33"/>
      <c r="J34" s="33"/>
      <c r="K34" s="151"/>
      <c r="L34" s="33">
        <f>+L30*L32</f>
        <v>-86864676.2258906</v>
      </c>
      <c r="M34" s="9"/>
      <c r="N34" s="9"/>
      <c r="O34" s="9"/>
      <c r="P34" s="9"/>
    </row>
    <row r="35" spans="1:12" ht="12.75">
      <c r="A35" s="43"/>
      <c r="B35" s="36"/>
      <c r="C35" s="36"/>
      <c r="D35" s="36"/>
      <c r="E35" s="36"/>
      <c r="F35" s="36"/>
      <c r="G35" s="35"/>
      <c r="H35" s="27" t="s">
        <v>58</v>
      </c>
      <c r="I35" s="36"/>
      <c r="J35" s="36"/>
      <c r="K35" s="35"/>
      <c r="L35" s="27" t="s">
        <v>58</v>
      </c>
    </row>
    <row r="36" spans="1:12" ht="12.75">
      <c r="A36" s="43"/>
      <c r="B36" s="36"/>
      <c r="C36" s="36"/>
      <c r="D36" s="36"/>
      <c r="E36" s="36"/>
      <c r="F36" s="36"/>
      <c r="G36" s="35"/>
      <c r="H36" s="36"/>
      <c r="I36" s="36"/>
      <c r="J36" s="36"/>
      <c r="K36" s="35"/>
      <c r="L36" s="36"/>
    </row>
    <row r="37" spans="1:12" ht="12.75">
      <c r="A37" s="43">
        <v>12</v>
      </c>
      <c r="B37" s="35" t="s">
        <v>99</v>
      </c>
      <c r="C37" s="36"/>
      <c r="D37" s="36"/>
      <c r="E37" s="36"/>
      <c r="F37" s="36"/>
      <c r="G37" s="158" t="s">
        <v>100</v>
      </c>
      <c r="H37" s="33">
        <f>+H18</f>
        <v>30233325.49942178</v>
      </c>
      <c r="I37" s="36"/>
      <c r="J37" s="36"/>
      <c r="K37" s="158" t="s">
        <v>101</v>
      </c>
      <c r="L37" s="33">
        <f>+L18</f>
        <v>0</v>
      </c>
    </row>
    <row r="38" spans="1:12" ht="12.75">
      <c r="A38" s="43"/>
      <c r="B38" s="36"/>
      <c r="C38" s="36"/>
      <c r="D38" s="36"/>
      <c r="E38" s="36"/>
      <c r="F38" s="36"/>
      <c r="G38" s="35"/>
      <c r="H38" s="36"/>
      <c r="I38" s="36"/>
      <c r="J38" s="36"/>
      <c r="K38" s="35"/>
      <c r="L38" s="36"/>
    </row>
    <row r="39" spans="1:13" ht="12.75">
      <c r="A39" s="43">
        <v>13</v>
      </c>
      <c r="B39" s="36" t="s">
        <v>93</v>
      </c>
      <c r="C39" s="36"/>
      <c r="D39" s="36"/>
      <c r="E39" s="36"/>
      <c r="F39" s="36"/>
      <c r="G39" s="35"/>
      <c r="H39" s="141">
        <f>+'IncomeStat.'!N13</f>
        <v>1.6230755440453266</v>
      </c>
      <c r="I39" s="182"/>
      <c r="J39" s="182"/>
      <c r="K39" s="183"/>
      <c r="L39" s="141">
        <f>+'IncomeStat.'!N13</f>
        <v>1.6230755440453266</v>
      </c>
      <c r="M39" s="14"/>
    </row>
    <row r="40" spans="1:12" ht="12.75">
      <c r="A40" s="43"/>
      <c r="B40" s="36"/>
      <c r="C40" s="36"/>
      <c r="D40" s="36"/>
      <c r="E40" s="36"/>
      <c r="F40" s="36"/>
      <c r="G40" s="35"/>
      <c r="H40" s="27" t="s">
        <v>58</v>
      </c>
      <c r="I40" s="36"/>
      <c r="J40" s="36"/>
      <c r="K40" s="35"/>
      <c r="L40" s="27" t="s">
        <v>58</v>
      </c>
    </row>
    <row r="41" spans="1:17" ht="12.75">
      <c r="A41" s="43">
        <v>14</v>
      </c>
      <c r="B41" s="36" t="s">
        <v>102</v>
      </c>
      <c r="C41" s="36"/>
      <c r="D41" s="36"/>
      <c r="E41" s="36"/>
      <c r="F41" s="36"/>
      <c r="G41" s="35"/>
      <c r="H41" s="33">
        <f>-H37*H39</f>
        <v>-49070971.23327345</v>
      </c>
      <c r="I41" s="33"/>
      <c r="J41" s="33"/>
      <c r="K41" s="151"/>
      <c r="L41" s="33">
        <f>-L37*L39</f>
        <v>0</v>
      </c>
      <c r="M41" s="9"/>
      <c r="N41" s="9"/>
      <c r="O41" s="9"/>
      <c r="P41" s="9"/>
      <c r="Q41" s="9"/>
    </row>
    <row r="42" spans="1:12" ht="12.75">
      <c r="A42" s="43"/>
      <c r="B42" s="36"/>
      <c r="C42" s="36"/>
      <c r="D42" s="36"/>
      <c r="E42" s="36"/>
      <c r="F42" s="36"/>
      <c r="G42" s="35"/>
      <c r="H42" s="34" t="s">
        <v>58</v>
      </c>
      <c r="I42" s="36"/>
      <c r="J42" s="36"/>
      <c r="K42" s="35"/>
      <c r="L42" s="27" t="s">
        <v>58</v>
      </c>
    </row>
    <row r="43" spans="1:12" ht="12.75">
      <c r="A43" s="43">
        <v>15</v>
      </c>
      <c r="B43" s="36" t="s">
        <v>244</v>
      </c>
      <c r="C43" s="36"/>
      <c r="D43" s="36"/>
      <c r="E43" s="36"/>
      <c r="F43" s="36"/>
      <c r="G43" s="158" t="s">
        <v>176</v>
      </c>
      <c r="H43" s="151">
        <f>+H41+H34</f>
        <v>-70351409.66318074</v>
      </c>
      <c r="I43" s="36"/>
      <c r="J43" s="36"/>
      <c r="K43" s="158" t="s">
        <v>177</v>
      </c>
      <c r="L43" s="151">
        <f>+L34+L41</f>
        <v>-86864676.2258906</v>
      </c>
    </row>
    <row r="44" spans="1:12" ht="12.75">
      <c r="A44" s="43"/>
      <c r="B44" s="36"/>
      <c r="C44" s="36"/>
      <c r="D44" s="36"/>
      <c r="E44" s="36"/>
      <c r="F44" s="36"/>
      <c r="G44" s="35"/>
      <c r="H44" s="27" t="s">
        <v>104</v>
      </c>
      <c r="I44" s="36"/>
      <c r="J44" s="36"/>
      <c r="K44" s="35"/>
      <c r="L44" s="27" t="s">
        <v>88</v>
      </c>
    </row>
    <row r="45" spans="1:12" ht="12.75">
      <c r="A45" s="43">
        <v>16</v>
      </c>
      <c r="B45" s="36" t="s">
        <v>242</v>
      </c>
      <c r="C45" s="36"/>
      <c r="D45" s="36"/>
      <c r="E45" s="36"/>
      <c r="F45" s="36"/>
      <c r="G45" s="35"/>
      <c r="H45" s="184"/>
      <c r="I45" s="36"/>
      <c r="J45" s="36"/>
      <c r="K45" s="35"/>
      <c r="L45" s="27"/>
    </row>
    <row r="46" spans="1:12" ht="12.75">
      <c r="A46" s="43">
        <v>17</v>
      </c>
      <c r="B46" s="36" t="s">
        <v>243</v>
      </c>
      <c r="C46" s="36"/>
      <c r="D46" s="36"/>
      <c r="E46" s="36"/>
      <c r="F46" s="36"/>
      <c r="G46" s="35"/>
      <c r="H46" s="184"/>
      <c r="I46" s="36"/>
      <c r="J46" s="36"/>
      <c r="K46" s="35"/>
      <c r="L46" s="27"/>
    </row>
    <row r="47" spans="1:12" ht="12.75">
      <c r="A47" s="43"/>
      <c r="B47" s="36"/>
      <c r="C47" s="36"/>
      <c r="D47" s="36"/>
      <c r="E47" s="36"/>
      <c r="F47" s="36"/>
      <c r="G47" s="35"/>
      <c r="H47" s="184" t="s">
        <v>135</v>
      </c>
      <c r="I47" s="36"/>
      <c r="J47" s="36"/>
      <c r="K47" s="35"/>
      <c r="L47" s="27"/>
    </row>
    <row r="48" spans="1:12" ht="12.75">
      <c r="A48" s="43">
        <v>18</v>
      </c>
      <c r="B48" s="35" t="s">
        <v>245</v>
      </c>
      <c r="C48" s="36"/>
      <c r="D48" s="36"/>
      <c r="E48" s="36"/>
      <c r="F48" s="36"/>
      <c r="G48" s="35"/>
      <c r="H48" s="185">
        <f>SUM(H43:H47)</f>
        <v>-70351409.66318074</v>
      </c>
      <c r="I48" s="36"/>
      <c r="J48" s="36"/>
      <c r="K48" s="35"/>
      <c r="L48" s="36"/>
    </row>
    <row r="49" spans="1:12" ht="12.75">
      <c r="A49" s="43"/>
      <c r="B49" s="36"/>
      <c r="C49" s="36"/>
      <c r="D49" s="36"/>
      <c r="E49" s="36"/>
      <c r="F49" s="36"/>
      <c r="G49" s="35"/>
      <c r="H49" s="27" t="s">
        <v>104</v>
      </c>
      <c r="I49" s="36"/>
      <c r="J49" s="36"/>
      <c r="K49" s="35"/>
      <c r="L49" s="36"/>
    </row>
    <row r="50" spans="1:12" ht="12.75">
      <c r="A50" s="43"/>
      <c r="B50" s="36"/>
      <c r="C50" s="36"/>
      <c r="D50" s="36"/>
      <c r="E50" s="36"/>
      <c r="F50" s="36"/>
      <c r="G50" s="35"/>
      <c r="H50" s="27"/>
      <c r="I50" s="36"/>
      <c r="J50" s="36"/>
      <c r="K50" s="35"/>
      <c r="L50" s="36"/>
    </row>
    <row r="51" spans="1:12" ht="12.75">
      <c r="A51" s="43"/>
      <c r="B51" s="36"/>
      <c r="C51" s="36"/>
      <c r="D51" s="36"/>
      <c r="E51" s="36"/>
      <c r="F51" s="36"/>
      <c r="G51" s="35"/>
      <c r="H51" s="27"/>
      <c r="I51" s="36"/>
      <c r="J51" s="36"/>
      <c r="K51" s="35"/>
      <c r="L51" s="36"/>
    </row>
    <row r="52" spans="1:12" ht="12.75">
      <c r="A52" s="43" t="s">
        <v>156</v>
      </c>
      <c r="B52" s="36" t="s">
        <v>157</v>
      </c>
      <c r="C52" s="36"/>
      <c r="D52" s="36"/>
      <c r="E52" s="36"/>
      <c r="F52" s="36"/>
      <c r="G52" s="35"/>
      <c r="H52" s="36"/>
      <c r="I52" s="36"/>
      <c r="J52" s="36"/>
      <c r="K52" s="35"/>
      <c r="L52" s="36"/>
    </row>
    <row r="53" spans="1:12" ht="12.75">
      <c r="A53" s="43"/>
      <c r="B53" s="36" t="s">
        <v>158</v>
      </c>
      <c r="C53" s="36"/>
      <c r="D53" s="36"/>
      <c r="E53" s="36"/>
      <c r="F53" s="36"/>
      <c r="G53" s="35"/>
      <c r="H53" s="36"/>
      <c r="I53" s="36"/>
      <c r="J53" s="36"/>
      <c r="K53" s="35"/>
      <c r="L53" s="36"/>
    </row>
    <row r="54" spans="1:12" ht="12.75">
      <c r="A54" s="43"/>
      <c r="B54" s="36" t="s">
        <v>159</v>
      </c>
      <c r="C54" s="36"/>
      <c r="D54" s="36"/>
      <c r="E54" s="36"/>
      <c r="F54" s="36"/>
      <c r="G54" s="35"/>
      <c r="H54" s="36"/>
      <c r="I54" s="36"/>
      <c r="J54" s="36"/>
      <c r="K54" s="35"/>
      <c r="L54" s="36"/>
    </row>
    <row r="55" spans="1:12" ht="12.75">
      <c r="A55" s="43"/>
      <c r="B55" s="36"/>
      <c r="C55" s="36"/>
      <c r="D55" s="36"/>
      <c r="E55" s="36"/>
      <c r="F55" s="36"/>
      <c r="G55" s="35"/>
      <c r="H55" s="36"/>
      <c r="I55" s="36"/>
      <c r="J55" s="36"/>
      <c r="K55" s="35"/>
      <c r="L55" s="36"/>
    </row>
    <row r="56" spans="1:12" ht="12.75">
      <c r="A56" s="43"/>
      <c r="B56" s="35" t="s">
        <v>174</v>
      </c>
      <c r="C56" s="36"/>
      <c r="D56" s="36"/>
      <c r="E56" s="36"/>
      <c r="F56" s="36"/>
      <c r="G56" s="35"/>
      <c r="H56" s="36"/>
      <c r="I56" s="36"/>
      <c r="J56" s="36"/>
      <c r="K56" s="35"/>
      <c r="L56" s="36"/>
    </row>
    <row r="57" spans="2:11" ht="12.75">
      <c r="B57" s="3"/>
      <c r="G57" s="3"/>
      <c r="K57" s="3"/>
    </row>
    <row r="58" spans="7:11" ht="12.75">
      <c r="G58" s="3"/>
      <c r="K58" s="3"/>
    </row>
    <row r="59" ht="12.75">
      <c r="K59" s="3"/>
    </row>
  </sheetData>
  <printOptions/>
  <pageMargins left="0.5" right="0.5" top="0.25" bottom="0.25" header="0.5" footer="0.5"/>
  <pageSetup fitToHeight="1" fitToWidth="1" horizontalDpi="300" verticalDpi="300" orientation="landscape" scale="79" r:id="rId1"/>
  <headerFooter alignWithMargins="0"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99"/>
  <sheetViews>
    <sheetView zoomScaleSheetLayoutView="100" workbookViewId="0" topLeftCell="B113">
      <selection activeCell="B113" sqref="B113"/>
    </sheetView>
  </sheetViews>
  <sheetFormatPr defaultColWidth="9.140625" defaultRowHeight="12.75"/>
  <cols>
    <col min="2" max="2" width="4.7109375" style="0" customWidth="1"/>
    <col min="3" max="3" width="3.7109375" style="0" customWidth="1"/>
    <col min="4" max="4" width="36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9.7109375" style="88" customWidth="1"/>
    <col min="9" max="9" width="3.7109375" style="0" customWidth="1"/>
    <col min="10" max="10" width="12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36.7109375" style="0" customWidth="1"/>
    <col min="15" max="15" width="3.7109375" style="0" customWidth="1"/>
    <col min="16" max="16" width="14.7109375" style="0" customWidth="1"/>
    <col min="17" max="17" width="3.7109375" style="0" customWidth="1"/>
    <col min="18" max="18" width="9.7109375" style="0" customWidth="1"/>
    <col min="19" max="19" width="3.7109375" style="0" customWidth="1"/>
    <col min="20" max="20" width="12.421875" style="0" bestFit="1" customWidth="1"/>
    <col min="21" max="21" width="3.7109375" style="0" customWidth="1"/>
    <col min="22" max="22" width="15.00390625" style="0" bestFit="1" customWidth="1"/>
    <col min="23" max="23" width="36.7109375" style="0" customWidth="1"/>
    <col min="24" max="24" width="3.7109375" style="0" customWidth="1"/>
    <col min="25" max="25" width="11.7109375" style="0" customWidth="1"/>
  </cols>
  <sheetData>
    <row r="3" ht="18">
      <c r="E3" s="1" t="s">
        <v>137</v>
      </c>
    </row>
    <row r="5" ht="12.75">
      <c r="H5" s="88" t="str">
        <f>+'Rev.Requirement'!E4</f>
        <v>Missouri Public Service Division</v>
      </c>
    </row>
    <row r="7" ht="12.75">
      <c r="H7" s="88" t="str">
        <f>+'Rev.Requirement'!E6</f>
        <v>         Case No. ER 2004-0034</v>
      </c>
    </row>
    <row r="9" spans="4:14" ht="18">
      <c r="D9" s="1" t="s">
        <v>223</v>
      </c>
      <c r="N9" s="1" t="s">
        <v>336</v>
      </c>
    </row>
    <row r="10" spans="2:20" ht="18">
      <c r="B10" s="16" t="s">
        <v>150</v>
      </c>
      <c r="D10" s="1"/>
      <c r="F10" s="16" t="s">
        <v>124</v>
      </c>
      <c r="H10" s="96" t="s">
        <v>126</v>
      </c>
      <c r="J10" s="16" t="s">
        <v>118</v>
      </c>
      <c r="N10" s="1"/>
      <c r="P10" s="16" t="s">
        <v>124</v>
      </c>
      <c r="R10" s="16" t="s">
        <v>126</v>
      </c>
      <c r="T10" s="16" t="s">
        <v>118</v>
      </c>
    </row>
    <row r="11" spans="1:20" ht="12.75">
      <c r="A11" s="3" t="s">
        <v>149</v>
      </c>
      <c r="B11" s="16" t="s">
        <v>151</v>
      </c>
      <c r="D11" s="3" t="s">
        <v>123</v>
      </c>
      <c r="F11" s="47" t="s">
        <v>125</v>
      </c>
      <c r="H11" s="96" t="s">
        <v>40</v>
      </c>
      <c r="J11" s="16" t="s">
        <v>125</v>
      </c>
      <c r="L11" s="3" t="s">
        <v>122</v>
      </c>
      <c r="N11" s="3" t="s">
        <v>123</v>
      </c>
      <c r="P11" s="47" t="s">
        <v>125</v>
      </c>
      <c r="R11" s="16" t="s">
        <v>40</v>
      </c>
      <c r="T11" s="16" t="s">
        <v>125</v>
      </c>
    </row>
    <row r="12" spans="1:20" ht="12.75">
      <c r="A12" s="4" t="s">
        <v>5</v>
      </c>
      <c r="B12" s="4" t="s">
        <v>5</v>
      </c>
      <c r="D12" s="4" t="s">
        <v>127</v>
      </c>
      <c r="F12" s="8" t="s">
        <v>134</v>
      </c>
      <c r="H12" s="89" t="s">
        <v>61</v>
      </c>
      <c r="J12" s="4" t="s">
        <v>42</v>
      </c>
      <c r="L12" s="4" t="s">
        <v>5</v>
      </c>
      <c r="N12" s="4" t="s">
        <v>127</v>
      </c>
      <c r="P12" s="8" t="s">
        <v>134</v>
      </c>
      <c r="R12" s="4" t="s">
        <v>135</v>
      </c>
      <c r="T12" s="4" t="s">
        <v>42</v>
      </c>
    </row>
    <row r="13" spans="1:20" ht="12.75">
      <c r="A13" s="5">
        <v>1</v>
      </c>
      <c r="B13" s="23"/>
      <c r="C13" s="23"/>
      <c r="D13" s="23" t="s">
        <v>260</v>
      </c>
      <c r="E13" s="23"/>
      <c r="F13" s="20">
        <v>305043462</v>
      </c>
      <c r="G13" s="23"/>
      <c r="H13" s="95">
        <v>1</v>
      </c>
      <c r="J13" s="9">
        <f aca="true" t="shared" si="0" ref="J13:J20">+F13*H13</f>
        <v>305043462</v>
      </c>
      <c r="N13" s="36" t="str">
        <f aca="true" t="shared" si="1" ref="N13:N18">+D13:D22</f>
        <v>Sales to Retail Customers</v>
      </c>
      <c r="O13" s="23"/>
      <c r="P13" s="20">
        <f>-668475+163358274+89011698+30841251+2751755+19748959+19685</f>
        <v>305063147</v>
      </c>
      <c r="Q13" s="23"/>
      <c r="R13" s="95">
        <v>1</v>
      </c>
      <c r="S13" s="23"/>
      <c r="T13" s="9">
        <f aca="true" t="shared" si="2" ref="T13:T22">+P13*R13</f>
        <v>305063147</v>
      </c>
    </row>
    <row r="14" spans="1:20" ht="12.75">
      <c r="A14" s="5">
        <f aca="true" t="shared" si="3" ref="A14:A53">+A13+1</f>
        <v>2</v>
      </c>
      <c r="B14" s="23"/>
      <c r="C14" s="23"/>
      <c r="D14" s="23" t="s">
        <v>261</v>
      </c>
      <c r="E14" s="23"/>
      <c r="F14" s="20">
        <v>6506768</v>
      </c>
      <c r="G14" s="23"/>
      <c r="H14" s="95">
        <v>0</v>
      </c>
      <c r="J14" s="9">
        <f t="shared" si="0"/>
        <v>0</v>
      </c>
      <c r="N14" s="36" t="str">
        <f t="shared" si="1"/>
        <v>Sales to Municipals - Non Jurisdictional</v>
      </c>
      <c r="O14" s="23"/>
      <c r="P14" s="20">
        <v>6506767</v>
      </c>
      <c r="Q14" s="23"/>
      <c r="R14" s="95">
        <v>0</v>
      </c>
      <c r="S14" s="23"/>
      <c r="T14" s="9">
        <f t="shared" si="2"/>
        <v>0</v>
      </c>
    </row>
    <row r="15" spans="1:20" ht="12.75">
      <c r="A15" s="5">
        <f t="shared" si="3"/>
        <v>3</v>
      </c>
      <c r="B15" s="23"/>
      <c r="C15" s="23"/>
      <c r="D15" s="23" t="s">
        <v>262</v>
      </c>
      <c r="E15" s="23"/>
      <c r="F15" s="20">
        <v>28864490</v>
      </c>
      <c r="G15" s="23"/>
      <c r="H15" s="95">
        <v>0.9847</v>
      </c>
      <c r="J15" s="9">
        <f t="shared" si="0"/>
        <v>28422863.303</v>
      </c>
      <c r="N15" s="36" t="str">
        <f t="shared" si="1"/>
        <v>Off System Sales</v>
      </c>
      <c r="O15" s="23"/>
      <c r="P15" s="20">
        <v>28844804</v>
      </c>
      <c r="Q15" s="23"/>
      <c r="R15" s="95">
        <f>28689645/28844804</f>
        <v>0.9946209029536134</v>
      </c>
      <c r="S15" s="23"/>
      <c r="T15" s="9">
        <f t="shared" si="2"/>
        <v>28689645</v>
      </c>
    </row>
    <row r="16" spans="1:20" ht="12.75">
      <c r="A16" s="5">
        <f t="shared" si="3"/>
        <v>4</v>
      </c>
      <c r="B16" s="23"/>
      <c r="C16" s="23"/>
      <c r="D16" s="23" t="s">
        <v>263</v>
      </c>
      <c r="E16" s="23"/>
      <c r="F16" s="20">
        <v>1120773</v>
      </c>
      <c r="G16" s="23"/>
      <c r="H16" s="95">
        <v>1</v>
      </c>
      <c r="J16" s="9">
        <f t="shared" si="0"/>
        <v>1120773</v>
      </c>
      <c r="N16" s="36" t="str">
        <f t="shared" si="1"/>
        <v>Forfeited Discounts</v>
      </c>
      <c r="O16" s="23"/>
      <c r="P16" s="20">
        <v>1120774</v>
      </c>
      <c r="Q16" s="23"/>
      <c r="R16" s="95">
        <v>1</v>
      </c>
      <c r="S16" s="23"/>
      <c r="T16" s="9">
        <f t="shared" si="2"/>
        <v>1120774</v>
      </c>
    </row>
    <row r="17" spans="1:20" ht="12.75">
      <c r="A17" s="5">
        <f t="shared" si="3"/>
        <v>5</v>
      </c>
      <c r="B17" s="23"/>
      <c r="C17" s="23"/>
      <c r="D17" s="23" t="s">
        <v>264</v>
      </c>
      <c r="E17" s="23"/>
      <c r="F17" s="20">
        <v>572479</v>
      </c>
      <c r="G17" s="23"/>
      <c r="H17" s="95">
        <v>1</v>
      </c>
      <c r="J17" s="9">
        <f t="shared" si="0"/>
        <v>572479</v>
      </c>
      <c r="N17" s="36" t="str">
        <f t="shared" si="1"/>
        <v>Misc. Service Revenues</v>
      </c>
      <c r="O17" s="23"/>
      <c r="P17" s="20">
        <v>572481</v>
      </c>
      <c r="Q17" s="23"/>
      <c r="R17" s="95">
        <v>1</v>
      </c>
      <c r="S17" s="23"/>
      <c r="T17" s="9">
        <f t="shared" si="2"/>
        <v>572481</v>
      </c>
    </row>
    <row r="18" spans="1:20" ht="12.75">
      <c r="A18" s="5">
        <f t="shared" si="3"/>
        <v>6</v>
      </c>
      <c r="B18" s="23"/>
      <c r="C18" s="23"/>
      <c r="D18" s="23" t="s">
        <v>265</v>
      </c>
      <c r="E18" s="23"/>
      <c r="F18" s="20">
        <v>685593</v>
      </c>
      <c r="G18" s="23"/>
      <c r="H18" s="95">
        <v>1</v>
      </c>
      <c r="J18" s="9">
        <f t="shared" si="0"/>
        <v>685593</v>
      </c>
      <c r="N18" s="36" t="str">
        <f t="shared" si="1"/>
        <v>Rent from Electric Property</v>
      </c>
      <c r="O18" s="23"/>
      <c r="P18" s="20">
        <v>685592</v>
      </c>
      <c r="Q18" s="23"/>
      <c r="R18" s="95">
        <v>1</v>
      </c>
      <c r="S18" s="23"/>
      <c r="T18" s="9">
        <f t="shared" si="2"/>
        <v>685592</v>
      </c>
    </row>
    <row r="19" spans="1:20" ht="12.75">
      <c r="A19" s="5">
        <f t="shared" si="3"/>
        <v>7</v>
      </c>
      <c r="B19" s="23"/>
      <c r="C19" s="23"/>
      <c r="D19" s="23" t="s">
        <v>266</v>
      </c>
      <c r="E19" s="23"/>
      <c r="F19" s="20">
        <v>1508903</v>
      </c>
      <c r="G19" s="23"/>
      <c r="H19" s="95">
        <v>1</v>
      </c>
      <c r="J19" s="9">
        <f t="shared" si="0"/>
        <v>1508903</v>
      </c>
      <c r="N19" s="36" t="str">
        <f>+D19:D30</f>
        <v>Other Electric Revenues</v>
      </c>
      <c r="O19" s="23"/>
      <c r="P19" s="20">
        <v>612265</v>
      </c>
      <c r="Q19" s="23"/>
      <c r="R19" s="95">
        <f>608972/612265</f>
        <v>0.9946216099238075</v>
      </c>
      <c r="S19" s="23"/>
      <c r="T19" s="9">
        <f t="shared" si="2"/>
        <v>608972</v>
      </c>
    </row>
    <row r="20" spans="1:20" ht="12.75">
      <c r="A20" s="5">
        <f t="shared" si="3"/>
        <v>8</v>
      </c>
      <c r="B20" s="23"/>
      <c r="C20" s="23"/>
      <c r="D20" s="23" t="s">
        <v>348</v>
      </c>
      <c r="E20" s="23"/>
      <c r="F20" s="20">
        <v>12761</v>
      </c>
      <c r="G20" s="23"/>
      <c r="H20" s="95">
        <v>1</v>
      </c>
      <c r="J20" s="9">
        <f t="shared" si="0"/>
        <v>12761</v>
      </c>
      <c r="N20" s="36" t="str">
        <f>+D20</f>
        <v>Interdepartmental Sales</v>
      </c>
      <c r="O20" s="23"/>
      <c r="P20" s="20">
        <v>12762</v>
      </c>
      <c r="Q20" s="23"/>
      <c r="R20" s="95">
        <v>1</v>
      </c>
      <c r="S20" s="23"/>
      <c r="T20" s="9">
        <f t="shared" si="2"/>
        <v>12762</v>
      </c>
    </row>
    <row r="21" spans="1:20" ht="12.75">
      <c r="A21" s="5">
        <f t="shared" si="3"/>
        <v>9</v>
      </c>
      <c r="B21" s="23"/>
      <c r="C21" s="23"/>
      <c r="D21" s="23"/>
      <c r="E21" s="23"/>
      <c r="F21" s="20"/>
      <c r="G21" s="23"/>
      <c r="H21" s="95"/>
      <c r="J21" s="9"/>
      <c r="N21" s="36" t="s">
        <v>452</v>
      </c>
      <c r="O21" s="23"/>
      <c r="P21" s="20">
        <v>861164.4</v>
      </c>
      <c r="Q21" s="23"/>
      <c r="R21" s="95">
        <f>852224/861164</f>
        <v>0.9896187021287467</v>
      </c>
      <c r="S21" s="23"/>
      <c r="T21" s="9">
        <f t="shared" si="2"/>
        <v>852224.3958474809</v>
      </c>
    </row>
    <row r="22" spans="1:25" ht="12.75">
      <c r="A22" s="5">
        <f t="shared" si="3"/>
        <v>10</v>
      </c>
      <c r="B22" s="23"/>
      <c r="C22" s="23"/>
      <c r="D22" s="23"/>
      <c r="E22" s="23"/>
      <c r="F22" s="20"/>
      <c r="G22" s="23"/>
      <c r="H22" s="95"/>
      <c r="J22" s="9"/>
      <c r="N22" s="36" t="s">
        <v>451</v>
      </c>
      <c r="O22" s="23"/>
      <c r="P22" s="20">
        <v>35475.4</v>
      </c>
      <c r="Q22" s="23"/>
      <c r="R22" s="95">
        <v>1</v>
      </c>
      <c r="S22" s="23"/>
      <c r="T22" s="9">
        <f t="shared" si="2"/>
        <v>35475.4</v>
      </c>
      <c r="Y22" s="16"/>
    </row>
    <row r="23" spans="1:25" ht="12.75">
      <c r="A23" s="5">
        <f t="shared" si="3"/>
        <v>11</v>
      </c>
      <c r="B23" s="23"/>
      <c r="C23" s="23"/>
      <c r="D23" s="23"/>
      <c r="E23" s="23"/>
      <c r="F23" s="32" t="s">
        <v>134</v>
      </c>
      <c r="G23" s="23"/>
      <c r="H23" s="99" t="s">
        <v>61</v>
      </c>
      <c r="J23" s="8" t="s">
        <v>31</v>
      </c>
      <c r="N23" s="36"/>
      <c r="P23" s="32" t="s">
        <v>134</v>
      </c>
      <c r="Q23" s="23"/>
      <c r="R23" s="99" t="s">
        <v>61</v>
      </c>
      <c r="S23" s="23"/>
      <c r="T23" s="8" t="s">
        <v>31</v>
      </c>
      <c r="W23" s="3"/>
      <c r="Y23" s="5"/>
    </row>
    <row r="24" spans="1:27" ht="12.75">
      <c r="A24" s="5">
        <f t="shared" si="3"/>
        <v>12</v>
      </c>
      <c r="D24" s="29" t="s">
        <v>66</v>
      </c>
      <c r="F24" s="20">
        <f>SUM(F13:F23)</f>
        <v>344315229</v>
      </c>
      <c r="G24" s="23"/>
      <c r="H24" s="95">
        <f>+J24/F24</f>
        <v>0.9798196707209833</v>
      </c>
      <c r="J24" s="9">
        <f>SUM(J13:J23)</f>
        <v>337366834.303</v>
      </c>
      <c r="N24" s="39" t="str">
        <f>+D24</f>
        <v>Booked Revenue - Unadjusted</v>
      </c>
      <c r="P24" s="20">
        <f>SUM(P13:P23)</f>
        <v>344315231.79999995</v>
      </c>
      <c r="Q24" s="23"/>
      <c r="R24" s="95">
        <f>+T24/P24</f>
        <v>0.9806161378070278</v>
      </c>
      <c r="S24" s="23"/>
      <c r="T24" s="9">
        <f>SUM(T13:T23)</f>
        <v>337641072.7958475</v>
      </c>
      <c r="V24" s="9"/>
      <c r="W24" s="9"/>
      <c r="Y24" s="5"/>
      <c r="AA24" s="5"/>
    </row>
    <row r="25" spans="1:27" ht="12.75">
      <c r="A25" s="5">
        <f t="shared" si="3"/>
        <v>13</v>
      </c>
      <c r="D25" s="23"/>
      <c r="F25" s="20"/>
      <c r="G25" s="23"/>
      <c r="H25" s="95"/>
      <c r="J25" s="9"/>
      <c r="N25" s="36"/>
      <c r="O25" s="23"/>
      <c r="P25" s="20"/>
      <c r="Q25" s="23"/>
      <c r="R25" s="95"/>
      <c r="S25" s="23"/>
      <c r="T25" s="9"/>
      <c r="Y25" s="5"/>
      <c r="AA25" s="5"/>
    </row>
    <row r="26" spans="1:27" ht="12.75">
      <c r="A26" s="5">
        <f t="shared" si="3"/>
        <v>14</v>
      </c>
      <c r="B26" s="23"/>
      <c r="C26" s="23"/>
      <c r="D26" s="41" t="s">
        <v>292</v>
      </c>
      <c r="E26" s="23"/>
      <c r="F26" s="20"/>
      <c r="G26" s="23"/>
      <c r="H26" s="95"/>
      <c r="J26" s="9"/>
      <c r="N26" s="39" t="str">
        <f>+D26</f>
        <v>Production Expenses</v>
      </c>
      <c r="O26" s="23"/>
      <c r="P26" s="20"/>
      <c r="Q26" s="23"/>
      <c r="R26" s="95"/>
      <c r="S26" s="23"/>
      <c r="T26" s="9"/>
      <c r="U26" s="23"/>
      <c r="W26" s="3"/>
      <c r="Y26" s="5"/>
      <c r="AA26" s="71"/>
    </row>
    <row r="27" spans="1:27" ht="12.75">
      <c r="A27" s="5">
        <f t="shared" si="3"/>
        <v>15</v>
      </c>
      <c r="B27" s="23">
        <v>500</v>
      </c>
      <c r="C27" s="23"/>
      <c r="D27" s="23" t="s">
        <v>267</v>
      </c>
      <c r="E27" s="23"/>
      <c r="F27" s="20">
        <v>1138479</v>
      </c>
      <c r="G27" s="23"/>
      <c r="H27" s="95">
        <v>0.9869</v>
      </c>
      <c r="J27" s="9">
        <f aca="true" t="shared" si="4" ref="J27:J52">+F27*H27</f>
        <v>1123564.9251</v>
      </c>
      <c r="L27">
        <f aca="true" t="shared" si="5" ref="L27:L70">+B27</f>
        <v>500</v>
      </c>
      <c r="N27" s="36" t="str">
        <f>+D27</f>
        <v>Steam Operating supervision &amp; Engineering</v>
      </c>
      <c r="O27" s="23"/>
      <c r="P27" s="20">
        <v>1138480</v>
      </c>
      <c r="Q27" s="23"/>
      <c r="R27" s="198">
        <v>0.9896187</v>
      </c>
      <c r="S27" s="23"/>
      <c r="T27" s="9">
        <f aca="true" t="shared" si="6" ref="T27:T48">+P27*R27</f>
        <v>1126661.097576</v>
      </c>
      <c r="Y27" s="9"/>
      <c r="AA27" s="71"/>
    </row>
    <row r="28" spans="1:27" ht="12.75">
      <c r="A28" s="5">
        <f t="shared" si="3"/>
        <v>16</v>
      </c>
      <c r="B28" s="23">
        <v>501</v>
      </c>
      <c r="C28" s="23"/>
      <c r="D28" s="23" t="s">
        <v>268</v>
      </c>
      <c r="E28" s="23"/>
      <c r="F28" s="20">
        <v>49837722</v>
      </c>
      <c r="G28" s="23"/>
      <c r="H28" s="95">
        <v>0.9847</v>
      </c>
      <c r="J28" s="9">
        <f t="shared" si="4"/>
        <v>49075204.8534</v>
      </c>
      <c r="L28">
        <f t="shared" si="5"/>
        <v>501</v>
      </c>
      <c r="N28" s="36" t="str">
        <f>+D30</f>
        <v>Steam Oper. Electric Expense</v>
      </c>
      <c r="O28" s="23"/>
      <c r="P28" s="20">
        <f>47327030+2510695</f>
        <v>49837725</v>
      </c>
      <c r="Q28" s="23"/>
      <c r="R28" s="199">
        <v>0.9946209</v>
      </c>
      <c r="S28" s="23"/>
      <c r="T28" s="9">
        <f t="shared" si="6"/>
        <v>49569642.8934525</v>
      </c>
      <c r="Y28" s="9"/>
      <c r="AA28" s="71"/>
    </row>
    <row r="29" spans="1:27" ht="12.75">
      <c r="A29" s="5">
        <f t="shared" si="3"/>
        <v>17</v>
      </c>
      <c r="B29" s="23">
        <v>502</v>
      </c>
      <c r="C29" s="23"/>
      <c r="D29" s="23" t="s">
        <v>269</v>
      </c>
      <c r="E29" s="23"/>
      <c r="F29" s="20">
        <v>1251039</v>
      </c>
      <c r="G29" s="23"/>
      <c r="H29" s="95">
        <v>0.9869</v>
      </c>
      <c r="J29" s="9">
        <f t="shared" si="4"/>
        <v>1234650.3891</v>
      </c>
      <c r="L29">
        <f t="shared" si="5"/>
        <v>502</v>
      </c>
      <c r="N29" s="36" t="str">
        <f aca="true" t="shared" si="7" ref="N29:N70">+D29</f>
        <v>Steam Expenses</v>
      </c>
      <c r="O29" s="23"/>
      <c r="P29" s="20">
        <v>1251038</v>
      </c>
      <c r="Q29" s="23"/>
      <c r="R29" s="198">
        <v>0.9896187</v>
      </c>
      <c r="S29" s="23"/>
      <c r="T29" s="9">
        <f t="shared" si="6"/>
        <v>1238050.5992106</v>
      </c>
      <c r="Y29" s="9"/>
      <c r="AA29" s="71"/>
    </row>
    <row r="30" spans="1:27" ht="12.75">
      <c r="A30" s="5">
        <f t="shared" si="3"/>
        <v>18</v>
      </c>
      <c r="B30" s="23">
        <v>505</v>
      </c>
      <c r="C30" s="23"/>
      <c r="D30" s="23" t="s">
        <v>270</v>
      </c>
      <c r="E30" s="23"/>
      <c r="F30" s="20">
        <v>450652</v>
      </c>
      <c r="G30" s="23"/>
      <c r="H30" s="95">
        <v>0.9869</v>
      </c>
      <c r="J30" s="9">
        <f t="shared" si="4"/>
        <v>444748.4588</v>
      </c>
      <c r="L30">
        <f t="shared" si="5"/>
        <v>505</v>
      </c>
      <c r="N30" s="36" t="str">
        <f t="shared" si="7"/>
        <v>Steam Oper. Electric Expense</v>
      </c>
      <c r="O30" s="23"/>
      <c r="P30" s="20">
        <v>450652</v>
      </c>
      <c r="Q30" s="23"/>
      <c r="R30" s="198">
        <v>0.9896187</v>
      </c>
      <c r="S30" s="23"/>
      <c r="T30" s="9">
        <f t="shared" si="6"/>
        <v>445973.64639239997</v>
      </c>
      <c r="Y30" s="9"/>
      <c r="AA30" s="71"/>
    </row>
    <row r="31" spans="1:27" ht="12.75">
      <c r="A31" s="5">
        <f t="shared" si="3"/>
        <v>19</v>
      </c>
      <c r="B31" s="23">
        <v>506</v>
      </c>
      <c r="C31" s="23"/>
      <c r="D31" s="23" t="s">
        <v>271</v>
      </c>
      <c r="E31" s="23"/>
      <c r="F31" s="20">
        <v>2136313</v>
      </c>
      <c r="G31" s="23"/>
      <c r="H31" s="95">
        <v>0.9869</v>
      </c>
      <c r="J31" s="9">
        <f t="shared" si="4"/>
        <v>2108327.2997</v>
      </c>
      <c r="L31">
        <f t="shared" si="5"/>
        <v>506</v>
      </c>
      <c r="N31" s="36" t="str">
        <f t="shared" si="7"/>
        <v>Misc. Other Power Expense</v>
      </c>
      <c r="O31" s="23"/>
      <c r="P31" s="20">
        <v>2136312</v>
      </c>
      <c r="Q31" s="23"/>
      <c r="R31" s="198">
        <v>0.9896187</v>
      </c>
      <c r="S31" s="23"/>
      <c r="T31" s="9">
        <f t="shared" si="6"/>
        <v>2114134.3042344</v>
      </c>
      <c r="Y31" s="9"/>
      <c r="AA31" s="71"/>
    </row>
    <row r="32" spans="1:27" ht="12.75">
      <c r="A32" s="5">
        <f t="shared" si="3"/>
        <v>20</v>
      </c>
      <c r="B32" s="23">
        <v>507</v>
      </c>
      <c r="C32" s="23"/>
      <c r="D32" s="23" t="s">
        <v>272</v>
      </c>
      <c r="E32" s="23"/>
      <c r="F32" s="20">
        <v>105296</v>
      </c>
      <c r="G32" s="23"/>
      <c r="H32" s="95">
        <v>0.9869</v>
      </c>
      <c r="J32" s="9">
        <f t="shared" si="4"/>
        <v>103916.6224</v>
      </c>
      <c r="L32">
        <f t="shared" si="5"/>
        <v>507</v>
      </c>
      <c r="N32" s="36" t="str">
        <f t="shared" si="7"/>
        <v>Steam Oper. Expense - Rents</v>
      </c>
      <c r="O32" s="23"/>
      <c r="P32" s="20">
        <v>105296</v>
      </c>
      <c r="Q32" s="23"/>
      <c r="R32" s="198">
        <v>0.9896187</v>
      </c>
      <c r="S32" s="23"/>
      <c r="T32" s="9">
        <f t="shared" si="6"/>
        <v>104202.89063519999</v>
      </c>
      <c r="Y32" s="9"/>
      <c r="AA32" s="71"/>
    </row>
    <row r="33" spans="1:27" ht="12.75">
      <c r="A33" s="5">
        <f t="shared" si="3"/>
        <v>21</v>
      </c>
      <c r="B33" s="23">
        <v>509</v>
      </c>
      <c r="C33" s="23"/>
      <c r="D33" s="23" t="s">
        <v>273</v>
      </c>
      <c r="E33" s="23"/>
      <c r="F33" s="20">
        <v>707838</v>
      </c>
      <c r="G33" s="23"/>
      <c r="H33" s="95">
        <v>0.9869</v>
      </c>
      <c r="J33" s="9">
        <f t="shared" si="4"/>
        <v>698565.3222</v>
      </c>
      <c r="L33">
        <f t="shared" si="5"/>
        <v>509</v>
      </c>
      <c r="N33" s="36" t="str">
        <f t="shared" si="7"/>
        <v>Allowances</v>
      </c>
      <c r="O33" s="23"/>
      <c r="P33" s="20">
        <v>707838</v>
      </c>
      <c r="Q33" s="23"/>
      <c r="R33" s="199">
        <v>0.9946209</v>
      </c>
      <c r="S33" s="23"/>
      <c r="T33" s="9">
        <f t="shared" si="6"/>
        <v>704030.4686142</v>
      </c>
      <c r="Y33" s="9"/>
      <c r="AA33" s="71"/>
    </row>
    <row r="34" spans="1:27" ht="12.75">
      <c r="A34" s="5">
        <f t="shared" si="3"/>
        <v>22</v>
      </c>
      <c r="B34" s="23">
        <v>510</v>
      </c>
      <c r="C34" s="23"/>
      <c r="D34" s="23" t="s">
        <v>274</v>
      </c>
      <c r="E34" s="23"/>
      <c r="F34" s="20">
        <v>953291</v>
      </c>
      <c r="G34" s="23"/>
      <c r="H34" s="95">
        <v>0.9869</v>
      </c>
      <c r="J34" s="9">
        <f t="shared" si="4"/>
        <v>940802.8879</v>
      </c>
      <c r="L34">
        <f t="shared" si="5"/>
        <v>510</v>
      </c>
      <c r="N34" s="36" t="str">
        <f>+D34</f>
        <v>Steam Maintenance Supervision &amp; Engin.</v>
      </c>
      <c r="O34" s="23"/>
      <c r="P34" s="20">
        <f>+F34</f>
        <v>953291</v>
      </c>
      <c r="Q34" s="23"/>
      <c r="R34" s="198">
        <v>0.9896187</v>
      </c>
      <c r="S34" s="23"/>
      <c r="T34" s="9">
        <f t="shared" si="6"/>
        <v>943394.6001417</v>
      </c>
      <c r="Y34" s="9"/>
      <c r="AA34" s="71"/>
    </row>
    <row r="35" spans="1:27" ht="12.75">
      <c r="A35" s="5">
        <f t="shared" si="3"/>
        <v>23</v>
      </c>
      <c r="B35" s="23">
        <v>511</v>
      </c>
      <c r="C35" s="23"/>
      <c r="D35" s="23" t="s">
        <v>275</v>
      </c>
      <c r="E35" s="23"/>
      <c r="F35" s="20">
        <v>987551</v>
      </c>
      <c r="G35" s="23"/>
      <c r="H35" s="95">
        <v>0.9869</v>
      </c>
      <c r="J35" s="9">
        <f t="shared" si="4"/>
        <v>974614.0819</v>
      </c>
      <c r="L35">
        <f t="shared" si="5"/>
        <v>511</v>
      </c>
      <c r="N35" s="36" t="str">
        <f t="shared" si="7"/>
        <v>Maintenance of Structures</v>
      </c>
      <c r="O35" s="23"/>
      <c r="P35" s="20">
        <f>+F35</f>
        <v>987551</v>
      </c>
      <c r="Q35" s="23"/>
      <c r="R35" s="198">
        <v>0.9896187</v>
      </c>
      <c r="S35" s="23"/>
      <c r="T35" s="9">
        <f t="shared" si="6"/>
        <v>977298.9368036999</v>
      </c>
      <c r="Y35" s="9"/>
      <c r="AA35" s="71"/>
    </row>
    <row r="36" spans="1:27" ht="12.75">
      <c r="A36" s="5">
        <f t="shared" si="3"/>
        <v>24</v>
      </c>
      <c r="B36" s="23">
        <v>512</v>
      </c>
      <c r="C36" s="23"/>
      <c r="D36" s="23" t="s">
        <v>276</v>
      </c>
      <c r="E36" s="23"/>
      <c r="F36" s="20">
        <v>5272715</v>
      </c>
      <c r="G36" s="23"/>
      <c r="H36" s="95">
        <v>0.9869</v>
      </c>
      <c r="J36" s="9">
        <f t="shared" si="4"/>
        <v>5203642.4335</v>
      </c>
      <c r="L36">
        <f t="shared" si="5"/>
        <v>512</v>
      </c>
      <c r="N36" s="36" t="str">
        <f t="shared" si="7"/>
        <v>Maintenance of Boiler Plant </v>
      </c>
      <c r="O36" s="23"/>
      <c r="P36" s="20">
        <f>+F36</f>
        <v>5272715</v>
      </c>
      <c r="Q36" s="23"/>
      <c r="R36" s="198">
        <v>0.9896187</v>
      </c>
      <c r="S36" s="23"/>
      <c r="T36" s="9">
        <f t="shared" si="6"/>
        <v>5217977.3637705</v>
      </c>
      <c r="Y36" s="9"/>
      <c r="AA36" s="71"/>
    </row>
    <row r="37" spans="1:27" ht="12.75">
      <c r="A37" s="5">
        <f t="shared" si="3"/>
        <v>25</v>
      </c>
      <c r="B37" s="23">
        <v>513</v>
      </c>
      <c r="C37" s="23"/>
      <c r="D37" s="23" t="s">
        <v>277</v>
      </c>
      <c r="E37" s="23"/>
      <c r="F37" s="20">
        <v>1888536</v>
      </c>
      <c r="G37" s="23"/>
      <c r="H37" s="95">
        <v>0.9869</v>
      </c>
      <c r="J37" s="9">
        <f t="shared" si="4"/>
        <v>1863796.1784</v>
      </c>
      <c r="L37">
        <f t="shared" si="5"/>
        <v>513</v>
      </c>
      <c r="N37" s="36" t="str">
        <f t="shared" si="7"/>
        <v>Maintenance of Electric Plant</v>
      </c>
      <c r="O37" s="23"/>
      <c r="P37" s="20">
        <v>1888537</v>
      </c>
      <c r="Q37" s="23"/>
      <c r="R37" s="198">
        <v>0.9896187</v>
      </c>
      <c r="S37" s="23"/>
      <c r="T37" s="9">
        <f t="shared" si="6"/>
        <v>1868931.5308419</v>
      </c>
      <c r="Y37" s="9"/>
      <c r="AA37" s="71"/>
    </row>
    <row r="38" spans="1:27" ht="12.75">
      <c r="A38" s="5">
        <f t="shared" si="3"/>
        <v>26</v>
      </c>
      <c r="B38" s="23">
        <v>514</v>
      </c>
      <c r="C38" s="23"/>
      <c r="D38" s="23" t="s">
        <v>403</v>
      </c>
      <c r="E38" s="23"/>
      <c r="F38" s="20">
        <v>186084</v>
      </c>
      <c r="G38" s="23"/>
      <c r="H38" s="95">
        <v>0.9869</v>
      </c>
      <c r="J38" s="9">
        <f t="shared" si="4"/>
        <v>183646.2996</v>
      </c>
      <c r="L38">
        <f t="shared" si="5"/>
        <v>514</v>
      </c>
      <c r="N38" s="36" t="str">
        <f t="shared" si="7"/>
        <v>Maint. of Miscellaneous Steam Plant</v>
      </c>
      <c r="O38" s="23"/>
      <c r="P38" s="20">
        <v>186083</v>
      </c>
      <c r="Q38" s="23"/>
      <c r="R38" s="198">
        <v>0.9896187</v>
      </c>
      <c r="S38" s="23"/>
      <c r="T38" s="9">
        <f t="shared" si="6"/>
        <v>184151.2165521</v>
      </c>
      <c r="Y38" s="9"/>
      <c r="AA38" s="71"/>
    </row>
    <row r="39" spans="1:27" ht="12.75">
      <c r="A39" s="5">
        <f t="shared" si="3"/>
        <v>27</v>
      </c>
      <c r="B39" s="23">
        <v>546</v>
      </c>
      <c r="C39" s="23"/>
      <c r="D39" s="23" t="s">
        <v>278</v>
      </c>
      <c r="E39" s="23"/>
      <c r="F39" s="20">
        <v>435190</v>
      </c>
      <c r="G39" s="23"/>
      <c r="H39" s="95">
        <v>0.9869</v>
      </c>
      <c r="J39" s="9">
        <f t="shared" si="4"/>
        <v>429489.011</v>
      </c>
      <c r="L39">
        <f t="shared" si="5"/>
        <v>546</v>
      </c>
      <c r="N39" s="36" t="str">
        <f t="shared" si="7"/>
        <v>Other Gen. Oper. Supervision &amp; Engineering</v>
      </c>
      <c r="O39" s="23"/>
      <c r="P39" s="20">
        <f>+F39</f>
        <v>435190</v>
      </c>
      <c r="Q39" s="23"/>
      <c r="R39" s="198">
        <v>0.9896187</v>
      </c>
      <c r="S39" s="23"/>
      <c r="T39" s="9">
        <f t="shared" si="6"/>
        <v>430672.162053</v>
      </c>
      <c r="Y39" s="9"/>
      <c r="AA39" s="71"/>
    </row>
    <row r="40" spans="1:27" ht="12.75">
      <c r="A40" s="5">
        <f t="shared" si="3"/>
        <v>28</v>
      </c>
      <c r="B40" s="23">
        <v>547</v>
      </c>
      <c r="C40" s="23"/>
      <c r="D40" s="23" t="s">
        <v>279</v>
      </c>
      <c r="E40" s="23"/>
      <c r="F40" s="20">
        <v>5635733</v>
      </c>
      <c r="G40" s="23"/>
      <c r="H40" s="95">
        <v>0.9847</v>
      </c>
      <c r="J40" s="9">
        <f t="shared" si="4"/>
        <v>5549506.2851</v>
      </c>
      <c r="L40">
        <f t="shared" si="5"/>
        <v>547</v>
      </c>
      <c r="N40" s="36" t="str">
        <f t="shared" si="7"/>
        <v>Other Generation Fuel Expense</v>
      </c>
      <c r="O40" s="23"/>
      <c r="P40" s="20">
        <f>4313608+1322126</f>
        <v>5635734</v>
      </c>
      <c r="Q40" s="23"/>
      <c r="R40" s="199">
        <v>0.9946209</v>
      </c>
      <c r="S40" s="23"/>
      <c r="T40" s="9">
        <f t="shared" si="6"/>
        <v>5605418.8232406005</v>
      </c>
      <c r="Y40" s="9"/>
      <c r="AA40" s="71"/>
    </row>
    <row r="41" spans="1:27" ht="12.75">
      <c r="A41" s="5">
        <f t="shared" si="3"/>
        <v>29</v>
      </c>
      <c r="B41" s="23">
        <v>548</v>
      </c>
      <c r="C41" s="23"/>
      <c r="D41" s="23" t="s">
        <v>280</v>
      </c>
      <c r="E41" s="23"/>
      <c r="F41" s="20">
        <v>124796</v>
      </c>
      <c r="G41" s="23"/>
      <c r="H41" s="95">
        <v>0.9869</v>
      </c>
      <c r="J41" s="9">
        <f t="shared" si="4"/>
        <v>123161.1724</v>
      </c>
      <c r="L41">
        <f t="shared" si="5"/>
        <v>548</v>
      </c>
      <c r="N41" s="36" t="str">
        <f t="shared" si="7"/>
        <v>Other Power Generation Expense</v>
      </c>
      <c r="O41" s="23"/>
      <c r="P41" s="20">
        <v>124797</v>
      </c>
      <c r="Q41" s="23"/>
      <c r="R41" s="198">
        <v>0.9896187</v>
      </c>
      <c r="S41" s="23"/>
      <c r="T41" s="9">
        <f t="shared" si="6"/>
        <v>123501.44490389999</v>
      </c>
      <c r="V41" s="200"/>
      <c r="Y41" s="9"/>
      <c r="AA41" s="71"/>
    </row>
    <row r="42" spans="1:27" ht="12.75">
      <c r="A42" s="5">
        <f t="shared" si="3"/>
        <v>30</v>
      </c>
      <c r="B42" s="23">
        <v>549</v>
      </c>
      <c r="C42" s="23"/>
      <c r="D42" s="23" t="s">
        <v>281</v>
      </c>
      <c r="E42" s="23"/>
      <c r="F42" s="20">
        <v>251041</v>
      </c>
      <c r="G42" s="23"/>
      <c r="H42" s="95">
        <v>0.9869</v>
      </c>
      <c r="J42" s="9">
        <f t="shared" si="4"/>
        <v>247752.3629</v>
      </c>
      <c r="L42">
        <f t="shared" si="5"/>
        <v>549</v>
      </c>
      <c r="N42" s="36" t="str">
        <f t="shared" si="7"/>
        <v>Misc. Other Power Generation Expense</v>
      </c>
      <c r="O42" s="23"/>
      <c r="P42" s="20">
        <v>251042</v>
      </c>
      <c r="Q42" s="23"/>
      <c r="R42" s="198">
        <v>0.9896187</v>
      </c>
      <c r="S42" s="23"/>
      <c r="T42" s="9">
        <f t="shared" si="6"/>
        <v>248435.8576854</v>
      </c>
      <c r="Y42" s="9"/>
      <c r="AA42" s="71"/>
    </row>
    <row r="43" spans="1:27" ht="12.75">
      <c r="A43" s="5">
        <f t="shared" si="3"/>
        <v>31</v>
      </c>
      <c r="B43" s="23">
        <v>550</v>
      </c>
      <c r="C43" s="23"/>
      <c r="D43" s="23" t="s">
        <v>282</v>
      </c>
      <c r="E43" s="23"/>
      <c r="F43" s="20">
        <v>3915522</v>
      </c>
      <c r="G43" s="23"/>
      <c r="H43" s="95">
        <v>0.9869</v>
      </c>
      <c r="J43" s="9">
        <f t="shared" si="4"/>
        <v>3864228.6618</v>
      </c>
      <c r="L43">
        <f t="shared" si="5"/>
        <v>550</v>
      </c>
      <c r="N43" s="36" t="str">
        <f t="shared" si="7"/>
        <v>Other Generation Rents</v>
      </c>
      <c r="O43" s="23"/>
      <c r="P43" s="20">
        <v>3915523</v>
      </c>
      <c r="Q43" s="23"/>
      <c r="R43" s="198">
        <f>3874878/3915523</f>
        <v>0.9896195220919403</v>
      </c>
      <c r="S43" s="23"/>
      <c r="T43" s="9">
        <f t="shared" si="6"/>
        <v>3874878</v>
      </c>
      <c r="Y43" s="9"/>
      <c r="AA43" s="71"/>
    </row>
    <row r="44" spans="1:27" ht="12.75">
      <c r="A44" s="5">
        <f t="shared" si="3"/>
        <v>32</v>
      </c>
      <c r="B44" s="23">
        <v>551</v>
      </c>
      <c r="C44" s="23"/>
      <c r="D44" s="23" t="s">
        <v>283</v>
      </c>
      <c r="E44" s="23"/>
      <c r="F44" s="20">
        <v>18920</v>
      </c>
      <c r="G44" s="23"/>
      <c r="H44" s="95">
        <v>0.9869</v>
      </c>
      <c r="J44" s="9">
        <f t="shared" si="4"/>
        <v>18672.148</v>
      </c>
      <c r="L44">
        <f t="shared" si="5"/>
        <v>551</v>
      </c>
      <c r="N44" s="36" t="str">
        <f t="shared" si="7"/>
        <v>Other Generation Maint. Super. &amp; Engin.</v>
      </c>
      <c r="O44" s="23"/>
      <c r="P44" s="20">
        <v>18919</v>
      </c>
      <c r="Q44" s="23"/>
      <c r="R44" s="198">
        <v>0.9896187</v>
      </c>
      <c r="S44" s="23"/>
      <c r="T44" s="9">
        <f t="shared" si="6"/>
        <v>18722.5961853</v>
      </c>
      <c r="Y44" s="9"/>
      <c r="AA44" s="71"/>
    </row>
    <row r="45" spans="1:27" ht="12.75">
      <c r="A45" s="5">
        <f t="shared" si="3"/>
        <v>33</v>
      </c>
      <c r="B45" s="23">
        <v>552</v>
      </c>
      <c r="C45" s="23"/>
      <c r="D45" s="23" t="s">
        <v>284</v>
      </c>
      <c r="E45" s="23"/>
      <c r="F45" s="20">
        <v>44232</v>
      </c>
      <c r="G45" s="23"/>
      <c r="H45" s="95">
        <v>0.9869</v>
      </c>
      <c r="J45" s="9">
        <f t="shared" si="4"/>
        <v>43652.5608</v>
      </c>
      <c r="L45">
        <f t="shared" si="5"/>
        <v>552</v>
      </c>
      <c r="N45" s="36" t="str">
        <f t="shared" si="7"/>
        <v>Other Gen. Maint. of Structures</v>
      </c>
      <c r="O45" s="23"/>
      <c r="P45" s="20">
        <v>44231</v>
      </c>
      <c r="Q45" s="23"/>
      <c r="R45" s="198">
        <v>0.9896187</v>
      </c>
      <c r="S45" s="23"/>
      <c r="T45" s="9">
        <f t="shared" si="6"/>
        <v>43771.8247197</v>
      </c>
      <c r="Y45" s="9"/>
      <c r="AA45" s="71"/>
    </row>
    <row r="46" spans="1:27" ht="12.75">
      <c r="A46" s="5">
        <f t="shared" si="3"/>
        <v>34</v>
      </c>
      <c r="B46" s="23">
        <v>553</v>
      </c>
      <c r="C46" s="23"/>
      <c r="D46" s="23" t="s">
        <v>285</v>
      </c>
      <c r="E46" s="23"/>
      <c r="F46" s="20">
        <v>1050792</v>
      </c>
      <c r="G46" s="23"/>
      <c r="H46" s="95">
        <v>0.9869</v>
      </c>
      <c r="J46" s="9">
        <f t="shared" si="4"/>
        <v>1037026.6248</v>
      </c>
      <c r="L46">
        <f t="shared" si="5"/>
        <v>553</v>
      </c>
      <c r="N46" s="36" t="str">
        <f t="shared" si="7"/>
        <v>Other Gen. Maint. of General Plant</v>
      </c>
      <c r="O46" s="23"/>
      <c r="P46" s="20">
        <f>+F46</f>
        <v>1050792</v>
      </c>
      <c r="Q46" s="23"/>
      <c r="R46" s="198">
        <v>0.9896187</v>
      </c>
      <c r="S46" s="23"/>
      <c r="T46" s="9">
        <f t="shared" si="6"/>
        <v>1039883.4130103999</v>
      </c>
      <c r="Y46" s="9"/>
      <c r="AA46" s="71"/>
    </row>
    <row r="47" spans="1:27" ht="12.75">
      <c r="A47" s="5">
        <f t="shared" si="3"/>
        <v>35</v>
      </c>
      <c r="B47" s="23">
        <v>554</v>
      </c>
      <c r="C47" s="23"/>
      <c r="D47" s="23" t="s">
        <v>286</v>
      </c>
      <c r="E47" s="23"/>
      <c r="F47" s="20">
        <v>695</v>
      </c>
      <c r="G47" s="23"/>
      <c r="H47" s="95">
        <v>0.9869</v>
      </c>
      <c r="J47" s="9">
        <f t="shared" si="4"/>
        <v>685.8955</v>
      </c>
      <c r="L47">
        <f t="shared" si="5"/>
        <v>554</v>
      </c>
      <c r="N47" s="36" t="str">
        <f t="shared" si="7"/>
        <v>Other Gen. Maint. Misc. Other Plant</v>
      </c>
      <c r="O47" s="23"/>
      <c r="P47" s="20">
        <f>+F47</f>
        <v>695</v>
      </c>
      <c r="Q47" s="23"/>
      <c r="R47" s="198">
        <v>0.9896187</v>
      </c>
      <c r="S47" s="23"/>
      <c r="T47" s="9">
        <f t="shared" si="6"/>
        <v>687.7849964999999</v>
      </c>
      <c r="Y47" s="9"/>
      <c r="AA47" s="71"/>
    </row>
    <row r="48" spans="1:27" ht="12.75">
      <c r="A48" s="5">
        <f t="shared" si="3"/>
        <v>36</v>
      </c>
      <c r="B48" s="196">
        <v>555.001</v>
      </c>
      <c r="C48" s="23"/>
      <c r="D48" s="23" t="s">
        <v>287</v>
      </c>
      <c r="E48" s="23"/>
      <c r="F48" s="20">
        <v>46434933</v>
      </c>
      <c r="G48" s="23"/>
      <c r="H48" s="95">
        <v>0.9847</v>
      </c>
      <c r="J48" s="9">
        <f t="shared" si="4"/>
        <v>45724478.5251</v>
      </c>
      <c r="L48">
        <f t="shared" si="5"/>
        <v>555.001</v>
      </c>
      <c r="N48" s="36" t="str">
        <f t="shared" si="7"/>
        <v>Purchased Power - Energy Costs</v>
      </c>
      <c r="O48" s="23"/>
      <c r="P48" s="20">
        <f>+F48</f>
        <v>46434933</v>
      </c>
      <c r="Q48" s="23"/>
      <c r="R48" s="199">
        <v>0.9946209</v>
      </c>
      <c r="S48" s="23"/>
      <c r="T48" s="9">
        <f t="shared" si="6"/>
        <v>46185154.8518997</v>
      </c>
      <c r="W48" s="19"/>
      <c r="Y48" s="9"/>
      <c r="AA48" s="71"/>
    </row>
    <row r="49" spans="1:27" ht="12.75">
      <c r="A49" s="5">
        <f t="shared" si="3"/>
        <v>37</v>
      </c>
      <c r="B49" s="196">
        <v>555.002</v>
      </c>
      <c r="C49" s="23"/>
      <c r="D49" s="23" t="s">
        <v>288</v>
      </c>
      <c r="E49" s="23"/>
      <c r="F49" s="20">
        <v>33216044</v>
      </c>
      <c r="G49" s="23"/>
      <c r="H49" s="95">
        <v>0.9869</v>
      </c>
      <c r="J49" s="9">
        <f t="shared" si="4"/>
        <v>32780913.8236</v>
      </c>
      <c r="L49">
        <f t="shared" si="5"/>
        <v>555.002</v>
      </c>
      <c r="N49" s="36" t="str">
        <f t="shared" si="7"/>
        <v>Purchased Power - Demand Costs</v>
      </c>
      <c r="O49" s="23"/>
      <c r="P49" s="20">
        <f>+F49</f>
        <v>33216044</v>
      </c>
      <c r="Q49" s="23"/>
      <c r="R49" s="198">
        <v>0.9896187</v>
      </c>
      <c r="S49" s="23"/>
      <c r="T49" s="9">
        <f>+P49*R49</f>
        <v>32871218.2824228</v>
      </c>
      <c r="W49" s="19"/>
      <c r="Y49" s="9"/>
      <c r="AA49" s="71"/>
    </row>
    <row r="50" spans="1:27" ht="12.75">
      <c r="A50" s="5">
        <f t="shared" si="3"/>
        <v>38</v>
      </c>
      <c r="B50" s="196">
        <v>555.003</v>
      </c>
      <c r="C50" s="23"/>
      <c r="D50" s="23" t="s">
        <v>450</v>
      </c>
      <c r="E50" s="23"/>
      <c r="F50" s="20">
        <v>13356785</v>
      </c>
      <c r="G50" s="23"/>
      <c r="H50" s="95">
        <v>0.9847</v>
      </c>
      <c r="J50" s="9">
        <f t="shared" si="4"/>
        <v>13152426.1895</v>
      </c>
      <c r="L50">
        <f t="shared" si="5"/>
        <v>555.003</v>
      </c>
      <c r="N50" s="36" t="str">
        <f t="shared" si="7"/>
        <v>Purchased Power-For Resale</v>
      </c>
      <c r="O50" s="23"/>
      <c r="P50" s="20">
        <v>13356784</v>
      </c>
      <c r="Q50" s="23"/>
      <c r="R50" s="199">
        <f>13284937/13356784</f>
        <v>0.9946209356982938</v>
      </c>
      <c r="S50" s="23"/>
      <c r="T50" s="9">
        <f>+P50*R50</f>
        <v>13284937</v>
      </c>
      <c r="W50" s="19"/>
      <c r="Y50" s="9"/>
      <c r="AA50" s="71"/>
    </row>
    <row r="51" spans="1:27" ht="12.75">
      <c r="A51" s="5">
        <f t="shared" si="3"/>
        <v>39</v>
      </c>
      <c r="B51" s="23">
        <v>556</v>
      </c>
      <c r="C51" s="23"/>
      <c r="D51" s="23" t="s">
        <v>289</v>
      </c>
      <c r="E51" s="23"/>
      <c r="F51" s="20">
        <v>601204</v>
      </c>
      <c r="G51" s="23"/>
      <c r="H51" s="95">
        <v>0.9847</v>
      </c>
      <c r="J51" s="9">
        <f t="shared" si="4"/>
        <v>592005.5788</v>
      </c>
      <c r="L51">
        <f t="shared" si="5"/>
        <v>556</v>
      </c>
      <c r="N51" s="36" t="str">
        <f t="shared" si="7"/>
        <v>System Control /Load Dispatch</v>
      </c>
      <c r="O51" s="23"/>
      <c r="P51" s="20">
        <v>601205</v>
      </c>
      <c r="Q51" s="23"/>
      <c r="R51" s="199">
        <v>0.99462</v>
      </c>
      <c r="S51" s="23"/>
      <c r="T51" s="9">
        <f>+P51*R51</f>
        <v>597970.5170999999</v>
      </c>
      <c r="W51" s="19"/>
      <c r="Y51" s="9"/>
      <c r="AA51" s="71"/>
    </row>
    <row r="52" spans="1:27" ht="12.75">
      <c r="A52" s="5">
        <f t="shared" si="3"/>
        <v>40</v>
      </c>
      <c r="B52" s="23">
        <v>557</v>
      </c>
      <c r="C52" s="23"/>
      <c r="D52" s="23" t="s">
        <v>190</v>
      </c>
      <c r="E52" s="23"/>
      <c r="F52" s="20">
        <v>825372</v>
      </c>
      <c r="G52" s="23"/>
      <c r="H52" s="95">
        <v>0.9847</v>
      </c>
      <c r="J52" s="9">
        <f t="shared" si="4"/>
        <v>812743.8084</v>
      </c>
      <c r="L52">
        <f t="shared" si="5"/>
        <v>557</v>
      </c>
      <c r="N52" s="36" t="str">
        <f t="shared" si="7"/>
        <v>Other Expenses</v>
      </c>
      <c r="O52" s="23"/>
      <c r="P52" s="20">
        <v>825369</v>
      </c>
      <c r="Q52" s="23"/>
      <c r="R52" s="199">
        <v>0.99462</v>
      </c>
      <c r="S52" s="23"/>
      <c r="T52" s="9">
        <f>+P52*R52</f>
        <v>820928.51478</v>
      </c>
      <c r="W52" s="19"/>
      <c r="Y52" s="9"/>
      <c r="AA52" s="71"/>
    </row>
    <row r="53" spans="1:27" ht="12.75">
      <c r="A53" s="5">
        <f t="shared" si="3"/>
        <v>41</v>
      </c>
      <c r="B53" s="23"/>
      <c r="C53" s="23"/>
      <c r="D53" s="23"/>
      <c r="E53" s="23"/>
      <c r="F53" s="32" t="s">
        <v>134</v>
      </c>
      <c r="G53" s="23"/>
      <c r="H53" s="99" t="s">
        <v>61</v>
      </c>
      <c r="J53" s="8" t="s">
        <v>64</v>
      </c>
      <c r="N53" s="36"/>
      <c r="O53" s="23"/>
      <c r="P53" s="32" t="s">
        <v>134</v>
      </c>
      <c r="Q53" s="23"/>
      <c r="R53" s="99" t="s">
        <v>61</v>
      </c>
      <c r="S53" s="23"/>
      <c r="T53" s="8" t="s">
        <v>64</v>
      </c>
      <c r="W53" s="19"/>
      <c r="Y53" s="9"/>
      <c r="AA53" s="71"/>
    </row>
    <row r="54" spans="1:27" ht="12.75">
      <c r="A54" s="5">
        <f aca="true" t="shared" si="8" ref="A54:A95">+A53+1</f>
        <v>42</v>
      </c>
      <c r="B54" s="23"/>
      <c r="C54" s="23"/>
      <c r="D54" s="23" t="s">
        <v>293</v>
      </c>
      <c r="E54" s="23"/>
      <c r="F54" s="20">
        <f>SUM(F27:F53)</f>
        <v>170826775</v>
      </c>
      <c r="G54" s="23"/>
      <c r="H54" s="95">
        <f>+J54/F54</f>
        <v>0.9853971802704817</v>
      </c>
      <c r="J54" s="20">
        <f>SUM(J27:J53)</f>
        <v>168332222.39970002</v>
      </c>
      <c r="N54" s="36" t="str">
        <f t="shared" si="7"/>
        <v>Total Production Expenses</v>
      </c>
      <c r="O54" s="23"/>
      <c r="P54" s="20">
        <f>SUM(P27:P53)</f>
        <v>170826776</v>
      </c>
      <c r="Q54" s="23"/>
      <c r="R54" s="95">
        <f>+T54/P54</f>
        <v>0.9930564434537036</v>
      </c>
      <c r="S54" s="23"/>
      <c r="T54" s="20">
        <f>SUM(T27:T53)</f>
        <v>169640630.6212225</v>
      </c>
      <c r="W54" s="19"/>
      <c r="Y54" s="9"/>
      <c r="AA54" s="71"/>
    </row>
    <row r="55" spans="1:27" ht="12.75">
      <c r="A55" s="5">
        <f t="shared" si="8"/>
        <v>43</v>
      </c>
      <c r="B55" s="23"/>
      <c r="C55" s="23"/>
      <c r="D55" s="23"/>
      <c r="E55" s="23"/>
      <c r="F55" s="20"/>
      <c r="G55" s="23"/>
      <c r="H55" s="95"/>
      <c r="J55" s="9"/>
      <c r="N55" s="36"/>
      <c r="O55" s="23"/>
      <c r="P55" s="20"/>
      <c r="Q55" s="23"/>
      <c r="R55" s="95"/>
      <c r="S55" s="23"/>
      <c r="T55" s="9"/>
      <c r="W55" s="19"/>
      <c r="Y55" s="9"/>
      <c r="AA55" s="71"/>
    </row>
    <row r="56" spans="1:27" ht="12.75">
      <c r="A56" s="5">
        <f t="shared" si="8"/>
        <v>44</v>
      </c>
      <c r="B56" s="23"/>
      <c r="C56" s="23"/>
      <c r="D56" s="41" t="s">
        <v>291</v>
      </c>
      <c r="E56" s="23"/>
      <c r="F56" s="20"/>
      <c r="G56" s="23"/>
      <c r="H56" s="95"/>
      <c r="J56" s="9"/>
      <c r="N56" s="39" t="str">
        <f t="shared" si="7"/>
        <v>Transmission Expenses</v>
      </c>
      <c r="O56" s="23"/>
      <c r="P56" s="20"/>
      <c r="Q56" s="23"/>
      <c r="R56" s="95"/>
      <c r="S56" s="23"/>
      <c r="T56" s="9"/>
      <c r="W56" s="19"/>
      <c r="Y56" s="9"/>
      <c r="AA56" s="71"/>
    </row>
    <row r="57" spans="1:27" ht="12.75">
      <c r="A57" s="5">
        <f t="shared" si="8"/>
        <v>45</v>
      </c>
      <c r="B57" s="23">
        <v>560</v>
      </c>
      <c r="C57" s="23"/>
      <c r="D57" s="23" t="s">
        <v>290</v>
      </c>
      <c r="E57" s="23"/>
      <c r="F57" s="20">
        <v>2516</v>
      </c>
      <c r="G57" s="23"/>
      <c r="H57" s="95">
        <v>0.9869</v>
      </c>
      <c r="J57" s="9">
        <f>+F57*H57</f>
        <v>2483.0404</v>
      </c>
      <c r="L57">
        <f t="shared" si="5"/>
        <v>560</v>
      </c>
      <c r="N57" s="36" t="str">
        <f t="shared" si="7"/>
        <v>Transmission. Oper. Super. &amp; Engineering</v>
      </c>
      <c r="O57" s="23"/>
      <c r="P57" s="20">
        <v>2518</v>
      </c>
      <c r="Q57" s="23"/>
      <c r="R57" s="198">
        <v>0.9896187</v>
      </c>
      <c r="S57" s="23"/>
      <c r="T57" s="9">
        <f>+P57*R57</f>
        <v>2491.8598865999998</v>
      </c>
      <c r="W57" s="19"/>
      <c r="Y57" s="9"/>
      <c r="AA57" s="71"/>
    </row>
    <row r="58" spans="1:27" ht="12.75">
      <c r="A58" s="5">
        <f t="shared" si="8"/>
        <v>46</v>
      </c>
      <c r="B58" s="23">
        <v>561</v>
      </c>
      <c r="C58" s="23"/>
      <c r="D58" s="23" t="s">
        <v>294</v>
      </c>
      <c r="E58" s="23"/>
      <c r="F58" s="20">
        <v>443133</v>
      </c>
      <c r="G58" s="23"/>
      <c r="H58" s="95">
        <v>0.9869</v>
      </c>
      <c r="J58" s="9">
        <f aca="true" t="shared" si="9" ref="J58:J93">+F58*H58</f>
        <v>437327.9577</v>
      </c>
      <c r="L58">
        <f t="shared" si="5"/>
        <v>561</v>
      </c>
      <c r="N58" s="36" t="str">
        <f t="shared" si="7"/>
        <v>Transmission Oper. Load Dispatch</v>
      </c>
      <c r="O58" s="23"/>
      <c r="P58" s="20">
        <f aca="true" t="shared" si="10" ref="P58:P70">+F58</f>
        <v>443133</v>
      </c>
      <c r="Q58" s="23"/>
      <c r="R58" s="198">
        <v>0.9896187</v>
      </c>
      <c r="S58" s="23"/>
      <c r="T58" s="9">
        <f aca="true" t="shared" si="11" ref="T58:T70">+P58*R58</f>
        <v>438532.70338709996</v>
      </c>
      <c r="W58" s="19"/>
      <c r="Y58" s="9"/>
      <c r="AA58" s="71"/>
    </row>
    <row r="59" spans="1:27" ht="12.75">
      <c r="A59" s="5">
        <f t="shared" si="8"/>
        <v>47</v>
      </c>
      <c r="B59" s="23">
        <v>562</v>
      </c>
      <c r="C59" s="23"/>
      <c r="D59" s="23" t="s">
        <v>295</v>
      </c>
      <c r="E59" s="23"/>
      <c r="F59" s="20">
        <v>13512</v>
      </c>
      <c r="G59" s="23"/>
      <c r="H59" s="95">
        <v>0.9869</v>
      </c>
      <c r="J59" s="9">
        <f t="shared" si="9"/>
        <v>13334.9928</v>
      </c>
      <c r="L59">
        <f t="shared" si="5"/>
        <v>562</v>
      </c>
      <c r="N59" s="36" t="str">
        <f t="shared" si="7"/>
        <v>Transmission Oper. Station Expenses</v>
      </c>
      <c r="O59" s="23"/>
      <c r="P59" s="20">
        <f t="shared" si="10"/>
        <v>13512</v>
      </c>
      <c r="Q59" s="23"/>
      <c r="R59" s="198">
        <v>0.9896187</v>
      </c>
      <c r="S59" s="23"/>
      <c r="T59" s="9">
        <f t="shared" si="11"/>
        <v>13371.7278744</v>
      </c>
      <c r="W59" s="19"/>
      <c r="Y59" s="9"/>
      <c r="AA59" s="71"/>
    </row>
    <row r="60" spans="1:27" ht="12.75">
      <c r="A60" s="5">
        <f t="shared" si="8"/>
        <v>48</v>
      </c>
      <c r="B60" s="23">
        <v>563</v>
      </c>
      <c r="C60" s="23"/>
      <c r="D60" s="23" t="s">
        <v>296</v>
      </c>
      <c r="E60" s="23"/>
      <c r="F60" s="20">
        <v>37529</v>
      </c>
      <c r="G60" s="23"/>
      <c r="H60" s="95">
        <v>0.9869</v>
      </c>
      <c r="J60" s="9">
        <f t="shared" si="9"/>
        <v>37037.3701</v>
      </c>
      <c r="L60">
        <f t="shared" si="5"/>
        <v>563</v>
      </c>
      <c r="N60" s="36" t="str">
        <f t="shared" si="7"/>
        <v>Transmission Oper. OH Line Expense</v>
      </c>
      <c r="O60" s="23"/>
      <c r="P60" s="20">
        <v>37528</v>
      </c>
      <c r="Q60" s="23"/>
      <c r="R60" s="198">
        <v>0.9896187</v>
      </c>
      <c r="S60" s="23"/>
      <c r="T60" s="9">
        <f t="shared" si="11"/>
        <v>37138.4105736</v>
      </c>
      <c r="W60" s="19"/>
      <c r="Y60" s="9"/>
      <c r="AA60" s="71"/>
    </row>
    <row r="61" spans="1:27" ht="12.75">
      <c r="A61" s="5">
        <f t="shared" si="8"/>
        <v>49</v>
      </c>
      <c r="B61" s="23">
        <v>564</v>
      </c>
      <c r="C61" s="23"/>
      <c r="D61" s="23" t="s">
        <v>297</v>
      </c>
      <c r="E61" s="23"/>
      <c r="F61" s="20">
        <v>0</v>
      </c>
      <c r="G61" s="23"/>
      <c r="H61" s="95">
        <v>0.9869</v>
      </c>
      <c r="J61" s="9">
        <f t="shared" si="9"/>
        <v>0</v>
      </c>
      <c r="L61">
        <f t="shared" si="5"/>
        <v>564</v>
      </c>
      <c r="N61" s="36" t="str">
        <f t="shared" si="7"/>
        <v>Transmission Oper. Underground Line Exp.</v>
      </c>
      <c r="O61" s="23"/>
      <c r="P61" s="20">
        <f t="shared" si="10"/>
        <v>0</v>
      </c>
      <c r="Q61" s="23"/>
      <c r="R61" s="198">
        <v>0.9896187</v>
      </c>
      <c r="S61" s="23"/>
      <c r="T61" s="9">
        <f t="shared" si="11"/>
        <v>0</v>
      </c>
      <c r="W61" s="19"/>
      <c r="Y61" s="9"/>
      <c r="AA61" s="71"/>
    </row>
    <row r="62" spans="1:27" ht="12.75">
      <c r="A62" s="5">
        <f t="shared" si="8"/>
        <v>50</v>
      </c>
      <c r="B62" s="23">
        <v>565</v>
      </c>
      <c r="C62" s="23"/>
      <c r="D62" s="23" t="s">
        <v>298</v>
      </c>
      <c r="E62" s="23"/>
      <c r="F62" s="20">
        <v>5308524</v>
      </c>
      <c r="G62" s="23"/>
      <c r="H62" s="95">
        <v>0.9869</v>
      </c>
      <c r="J62" s="9">
        <f t="shared" si="9"/>
        <v>5238982.3356</v>
      </c>
      <c r="L62">
        <f t="shared" si="5"/>
        <v>565</v>
      </c>
      <c r="N62" s="36" t="str">
        <f t="shared" si="7"/>
        <v>Transmission of Electricity by Others</v>
      </c>
      <c r="O62" s="23"/>
      <c r="P62" s="20">
        <f t="shared" si="10"/>
        <v>5308524</v>
      </c>
      <c r="Q62" s="23"/>
      <c r="R62" s="198">
        <v>0.9896187</v>
      </c>
      <c r="S62" s="23"/>
      <c r="T62" s="9">
        <f t="shared" si="11"/>
        <v>5253414.6197988</v>
      </c>
      <c r="W62" s="19"/>
      <c r="Y62" s="9"/>
      <c r="AA62" s="71"/>
    </row>
    <row r="63" spans="1:27" ht="12.75">
      <c r="A63" s="5">
        <f t="shared" si="8"/>
        <v>51</v>
      </c>
      <c r="B63" s="23">
        <v>566</v>
      </c>
      <c r="C63" s="23"/>
      <c r="D63" s="23" t="s">
        <v>299</v>
      </c>
      <c r="E63" s="23"/>
      <c r="F63" s="20">
        <v>1849863</v>
      </c>
      <c r="G63" s="23"/>
      <c r="H63" s="95">
        <v>0.9869</v>
      </c>
      <c r="J63" s="9">
        <f t="shared" si="9"/>
        <v>1825629.7947</v>
      </c>
      <c r="L63">
        <f t="shared" si="5"/>
        <v>566</v>
      </c>
      <c r="N63" s="36" t="str">
        <f t="shared" si="7"/>
        <v>Misc. Transmission Expense</v>
      </c>
      <c r="O63" s="23"/>
      <c r="P63" s="20">
        <v>1849864</v>
      </c>
      <c r="Q63" s="23"/>
      <c r="R63" s="198">
        <v>0.9896187</v>
      </c>
      <c r="S63" s="23"/>
      <c r="T63" s="9">
        <f t="shared" si="11"/>
        <v>1830660.0068567998</v>
      </c>
      <c r="W63" s="19"/>
      <c r="Y63" s="9"/>
      <c r="AA63" s="71"/>
    </row>
    <row r="64" spans="1:27" ht="12.75">
      <c r="A64" s="5">
        <f t="shared" si="8"/>
        <v>52</v>
      </c>
      <c r="B64" s="23">
        <v>567</v>
      </c>
      <c r="C64" s="23"/>
      <c r="D64" s="23" t="s">
        <v>300</v>
      </c>
      <c r="E64" s="23"/>
      <c r="F64" s="20">
        <v>11343</v>
      </c>
      <c r="G64" s="23"/>
      <c r="H64" s="95">
        <v>0.9869</v>
      </c>
      <c r="J64" s="9">
        <f t="shared" si="9"/>
        <v>11194.4067</v>
      </c>
      <c r="L64">
        <f t="shared" si="5"/>
        <v>567</v>
      </c>
      <c r="N64" s="36" t="str">
        <f t="shared" si="7"/>
        <v>Transmission Operating Rents</v>
      </c>
      <c r="O64" s="23"/>
      <c r="P64" s="20">
        <v>11344</v>
      </c>
      <c r="Q64" s="23"/>
      <c r="R64" s="198">
        <v>0.9896187</v>
      </c>
      <c r="S64" s="23"/>
      <c r="T64" s="9">
        <f t="shared" si="11"/>
        <v>11226.2345328</v>
      </c>
      <c r="W64" s="19"/>
      <c r="Y64" s="9"/>
      <c r="AA64" s="71"/>
    </row>
    <row r="65" spans="1:27" ht="12.75">
      <c r="A65" s="5">
        <f t="shared" si="8"/>
        <v>53</v>
      </c>
      <c r="B65" s="23">
        <v>568</v>
      </c>
      <c r="C65" s="23"/>
      <c r="D65" s="23" t="s">
        <v>301</v>
      </c>
      <c r="E65" s="23"/>
      <c r="F65" s="20">
        <v>15119</v>
      </c>
      <c r="G65" s="23"/>
      <c r="H65" s="95">
        <v>0.9869</v>
      </c>
      <c r="J65" s="9">
        <f t="shared" si="9"/>
        <v>14920.9411</v>
      </c>
      <c r="L65">
        <f t="shared" si="5"/>
        <v>568</v>
      </c>
      <c r="N65" s="36" t="str">
        <f t="shared" si="7"/>
        <v>Transmission Maint. Supver. &amp; Engineering</v>
      </c>
      <c r="O65" s="23"/>
      <c r="P65" s="20">
        <v>15118</v>
      </c>
      <c r="Q65" s="23"/>
      <c r="R65" s="198">
        <v>0.9896187</v>
      </c>
      <c r="S65" s="23"/>
      <c r="T65" s="9">
        <f t="shared" si="11"/>
        <v>14961.0555066</v>
      </c>
      <c r="W65" s="19"/>
      <c r="Y65" s="9"/>
      <c r="AA65" s="71"/>
    </row>
    <row r="66" spans="1:27" ht="12.75">
      <c r="A66" s="5">
        <f t="shared" si="8"/>
        <v>54</v>
      </c>
      <c r="B66" s="23">
        <v>569</v>
      </c>
      <c r="C66" s="23"/>
      <c r="D66" s="23" t="s">
        <v>302</v>
      </c>
      <c r="E66" s="23"/>
      <c r="F66" s="20">
        <v>3065</v>
      </c>
      <c r="G66" s="23"/>
      <c r="H66" s="95">
        <v>0.9869</v>
      </c>
      <c r="J66" s="9">
        <f t="shared" si="9"/>
        <v>3024.8485</v>
      </c>
      <c r="L66">
        <f t="shared" si="5"/>
        <v>569</v>
      </c>
      <c r="N66" s="36" t="str">
        <f t="shared" si="7"/>
        <v>Transmission Maint. of Structures</v>
      </c>
      <c r="O66" s="23"/>
      <c r="P66" s="20">
        <v>3066</v>
      </c>
      <c r="Q66" s="23"/>
      <c r="R66" s="198">
        <v>0.9896187</v>
      </c>
      <c r="S66" s="23"/>
      <c r="T66" s="9">
        <f t="shared" si="11"/>
        <v>3034.1709342</v>
      </c>
      <c r="W66" s="19"/>
      <c r="Y66" s="9"/>
      <c r="AA66" s="71"/>
    </row>
    <row r="67" spans="1:27" ht="12.75">
      <c r="A67" s="5">
        <f t="shared" si="8"/>
        <v>55</v>
      </c>
      <c r="B67" s="23">
        <v>570</v>
      </c>
      <c r="C67" s="23"/>
      <c r="D67" s="23" t="s">
        <v>303</v>
      </c>
      <c r="E67" s="23"/>
      <c r="F67" s="20">
        <v>383068</v>
      </c>
      <c r="G67" s="23"/>
      <c r="H67" s="95">
        <v>0.9869</v>
      </c>
      <c r="J67" s="9">
        <f t="shared" si="9"/>
        <v>378049.8092</v>
      </c>
      <c r="L67">
        <f t="shared" si="5"/>
        <v>570</v>
      </c>
      <c r="N67" s="36" t="str">
        <f t="shared" si="7"/>
        <v>Transmission Maint. of Station Expense</v>
      </c>
      <c r="O67" s="23"/>
      <c r="P67" s="20">
        <v>383067</v>
      </c>
      <c r="Q67" s="23"/>
      <c r="R67" s="198">
        <v>0.9896187</v>
      </c>
      <c r="S67" s="23"/>
      <c r="T67" s="9">
        <f t="shared" si="11"/>
        <v>379090.26655289996</v>
      </c>
      <c r="W67" s="19"/>
      <c r="Y67" s="9"/>
      <c r="AA67" s="71"/>
    </row>
    <row r="68" spans="1:27" ht="12.75">
      <c r="A68" s="5">
        <f t="shared" si="8"/>
        <v>56</v>
      </c>
      <c r="B68" s="23">
        <v>571</v>
      </c>
      <c r="C68" s="23"/>
      <c r="D68" s="23" t="s">
        <v>304</v>
      </c>
      <c r="E68" s="23"/>
      <c r="F68" s="20">
        <v>746433</v>
      </c>
      <c r="G68" s="23"/>
      <c r="H68" s="95">
        <v>0.9869</v>
      </c>
      <c r="J68" s="9">
        <f t="shared" si="9"/>
        <v>736654.7277</v>
      </c>
      <c r="L68">
        <f t="shared" si="5"/>
        <v>571</v>
      </c>
      <c r="N68" s="36" t="str">
        <f t="shared" si="7"/>
        <v>Transmission Maintenance - OH Lines</v>
      </c>
      <c r="O68" s="23"/>
      <c r="P68" s="20">
        <v>746432</v>
      </c>
      <c r="Q68" s="23"/>
      <c r="R68" s="198">
        <v>0.9896187</v>
      </c>
      <c r="S68" s="23"/>
      <c r="T68" s="9">
        <f t="shared" si="11"/>
        <v>738683.0654784</v>
      </c>
      <c r="W68" s="19"/>
      <c r="Y68" s="9"/>
      <c r="AA68" s="71"/>
    </row>
    <row r="69" spans="1:27" ht="12.75">
      <c r="A69" s="5">
        <f t="shared" si="8"/>
        <v>57</v>
      </c>
      <c r="B69" s="23">
        <v>572</v>
      </c>
      <c r="C69" s="23"/>
      <c r="D69" s="23" t="s">
        <v>305</v>
      </c>
      <c r="E69" s="23"/>
      <c r="F69" s="20">
        <v>3747</v>
      </c>
      <c r="G69" s="23"/>
      <c r="H69" s="95">
        <v>0.9869</v>
      </c>
      <c r="J69" s="9">
        <f t="shared" si="9"/>
        <v>3697.9143</v>
      </c>
      <c r="L69">
        <f t="shared" si="5"/>
        <v>572</v>
      </c>
      <c r="N69" s="36" t="str">
        <f t="shared" si="7"/>
        <v>Transmission Maintenance - UG Lines</v>
      </c>
      <c r="O69" s="23"/>
      <c r="P69" s="20">
        <f t="shared" si="10"/>
        <v>3747</v>
      </c>
      <c r="Q69" s="23"/>
      <c r="R69" s="198">
        <v>0.9896187</v>
      </c>
      <c r="S69" s="23"/>
      <c r="T69" s="9">
        <f t="shared" si="11"/>
        <v>3708.1012689</v>
      </c>
      <c r="W69" s="19"/>
      <c r="Y69" s="9"/>
      <c r="AA69" s="71"/>
    </row>
    <row r="70" spans="1:27" ht="12.75">
      <c r="A70" s="5">
        <f t="shared" si="8"/>
        <v>58</v>
      </c>
      <c r="B70" s="23">
        <v>573</v>
      </c>
      <c r="C70" s="23"/>
      <c r="D70" s="23" t="s">
        <v>306</v>
      </c>
      <c r="E70" s="23"/>
      <c r="F70" s="20">
        <v>163137</v>
      </c>
      <c r="G70" s="23"/>
      <c r="H70" s="95">
        <v>0.9869</v>
      </c>
      <c r="J70" s="9">
        <f t="shared" si="9"/>
        <v>160999.9053</v>
      </c>
      <c r="L70">
        <f t="shared" si="5"/>
        <v>573</v>
      </c>
      <c r="N70" s="36" t="str">
        <f t="shared" si="7"/>
        <v>Transmission Maint.-Misc. Trans. Plant </v>
      </c>
      <c r="O70" s="23"/>
      <c r="P70" s="20">
        <f t="shared" si="10"/>
        <v>163137</v>
      </c>
      <c r="Q70" s="23"/>
      <c r="R70" s="198">
        <v>0.9896187</v>
      </c>
      <c r="S70" s="23"/>
      <c r="T70" s="9">
        <f t="shared" si="11"/>
        <v>161443.4258619</v>
      </c>
      <c r="W70" s="19"/>
      <c r="Y70" s="9"/>
      <c r="AA70" s="71"/>
    </row>
    <row r="71" spans="1:27" ht="12.75">
      <c r="A71" s="5">
        <f t="shared" si="8"/>
        <v>59</v>
      </c>
      <c r="B71" s="23"/>
      <c r="C71" s="23"/>
      <c r="D71" s="23"/>
      <c r="E71" s="23"/>
      <c r="F71" s="32" t="s">
        <v>135</v>
      </c>
      <c r="G71" s="23"/>
      <c r="H71" s="99" t="s">
        <v>44</v>
      </c>
      <c r="J71" s="8" t="s">
        <v>31</v>
      </c>
      <c r="N71" s="36"/>
      <c r="O71" s="23"/>
      <c r="P71" s="32" t="s">
        <v>135</v>
      </c>
      <c r="Q71" s="23"/>
      <c r="R71" s="99" t="s">
        <v>44</v>
      </c>
      <c r="S71" s="23"/>
      <c r="T71" s="8" t="s">
        <v>31</v>
      </c>
      <c r="W71" s="19"/>
      <c r="Y71" s="9"/>
      <c r="AA71" s="71"/>
    </row>
    <row r="72" spans="1:27" ht="12.75">
      <c r="A72" s="5">
        <f t="shared" si="8"/>
        <v>60</v>
      </c>
      <c r="B72" s="23"/>
      <c r="C72" s="23"/>
      <c r="D72" s="23" t="s">
        <v>307</v>
      </c>
      <c r="E72" s="23"/>
      <c r="F72" s="20">
        <f>SUM(F57:F71)</f>
        <v>8980989</v>
      </c>
      <c r="G72" s="23"/>
      <c r="H72" s="95">
        <f>+J72/F72</f>
        <v>0.9869000000000001</v>
      </c>
      <c r="J72" s="9">
        <f>SUM(J57:J71)</f>
        <v>8863338.044100001</v>
      </c>
      <c r="N72" s="36" t="str">
        <f>+D72</f>
        <v>Total Transmission Expense</v>
      </c>
      <c r="O72" s="23"/>
      <c r="P72" s="20">
        <f>SUM(P57:P71)</f>
        <v>8980990</v>
      </c>
      <c r="Q72" s="23"/>
      <c r="R72" s="95">
        <f>+T72/P72</f>
        <v>0.9896187000000001</v>
      </c>
      <c r="S72" s="23"/>
      <c r="T72" s="9">
        <f>SUM(T57:T71)</f>
        <v>8887755.648513</v>
      </c>
      <c r="W72" s="19"/>
      <c r="Y72" s="9"/>
      <c r="AA72" s="71"/>
    </row>
    <row r="73" spans="1:27" ht="12.75">
      <c r="A73" s="5">
        <f t="shared" si="8"/>
        <v>61</v>
      </c>
      <c r="B73" s="23"/>
      <c r="C73" s="23"/>
      <c r="D73" s="23"/>
      <c r="E73" s="23"/>
      <c r="F73" s="20"/>
      <c r="G73" s="23"/>
      <c r="H73" s="95"/>
      <c r="J73" s="9"/>
      <c r="N73" s="36"/>
      <c r="O73" s="23"/>
      <c r="P73" s="20"/>
      <c r="Q73" s="23"/>
      <c r="R73" s="95"/>
      <c r="S73" s="23"/>
      <c r="T73" s="9"/>
      <c r="W73" s="19"/>
      <c r="Y73" s="9"/>
      <c r="AA73" s="71"/>
    </row>
    <row r="74" spans="1:27" ht="12.75">
      <c r="A74" s="5">
        <f t="shared" si="8"/>
        <v>62</v>
      </c>
      <c r="B74" s="23"/>
      <c r="C74" s="23"/>
      <c r="D74" s="41" t="s">
        <v>308</v>
      </c>
      <c r="E74" s="23"/>
      <c r="F74" s="20"/>
      <c r="G74" s="23"/>
      <c r="H74" s="95"/>
      <c r="J74" s="9"/>
      <c r="N74" s="35" t="str">
        <f>+D74</f>
        <v>Distribution Expenses</v>
      </c>
      <c r="O74" s="23"/>
      <c r="P74" s="20"/>
      <c r="Q74" s="23"/>
      <c r="R74" s="95"/>
      <c r="S74" s="23"/>
      <c r="T74" s="9"/>
      <c r="W74" s="19"/>
      <c r="Y74" s="9"/>
      <c r="AA74" s="71"/>
    </row>
    <row r="75" spans="1:27" ht="12.75">
      <c r="A75" s="5">
        <f t="shared" si="8"/>
        <v>63</v>
      </c>
      <c r="B75" s="23">
        <v>580</v>
      </c>
      <c r="C75" s="23"/>
      <c r="D75" s="23" t="s">
        <v>311</v>
      </c>
      <c r="E75" s="23"/>
      <c r="F75" s="20">
        <v>1149062</v>
      </c>
      <c r="G75" s="23"/>
      <c r="H75" s="95">
        <v>0.99833</v>
      </c>
      <c r="J75" s="9">
        <f t="shared" si="9"/>
        <v>1147143.0664600001</v>
      </c>
      <c r="L75">
        <f>+B75</f>
        <v>580</v>
      </c>
      <c r="N75" s="36" t="str">
        <f>+D75</f>
        <v>Distr. Operation Supervision &amp; Engin.</v>
      </c>
      <c r="O75" s="23"/>
      <c r="P75" s="20">
        <f>+F75</f>
        <v>1149062</v>
      </c>
      <c r="Q75" s="23"/>
      <c r="R75" s="198">
        <v>0.998333</v>
      </c>
      <c r="S75" s="23"/>
      <c r="T75" s="9">
        <f>+P75*R75</f>
        <v>1147146.513646</v>
      </c>
      <c r="W75" s="19"/>
      <c r="Y75" s="9"/>
      <c r="AA75" s="71"/>
    </row>
    <row r="76" spans="1:27" ht="12.75">
      <c r="A76" s="5">
        <f t="shared" si="8"/>
        <v>64</v>
      </c>
      <c r="B76" s="23">
        <v>581</v>
      </c>
      <c r="C76" s="23"/>
      <c r="D76" s="23" t="s">
        <v>310</v>
      </c>
      <c r="E76" s="23"/>
      <c r="F76" s="20">
        <v>90990</v>
      </c>
      <c r="G76" s="23"/>
      <c r="H76" s="95">
        <v>0.99833</v>
      </c>
      <c r="J76" s="9">
        <f t="shared" si="9"/>
        <v>90838.0467</v>
      </c>
      <c r="L76">
        <f aca="true" t="shared" si="12" ref="L76:L93">+B76</f>
        <v>581</v>
      </c>
      <c r="N76" s="36" t="str">
        <f aca="true" t="shared" si="13" ref="N76:N93">+D76</f>
        <v>Distr. Operation Load Dispatching</v>
      </c>
      <c r="O76" s="23"/>
      <c r="P76" s="20">
        <v>90989</v>
      </c>
      <c r="Q76" s="23"/>
      <c r="R76" s="198">
        <v>0.998333</v>
      </c>
      <c r="S76" s="23"/>
      <c r="T76" s="9">
        <f aca="true" t="shared" si="14" ref="T76:T93">+P76*R76</f>
        <v>90837.321337</v>
      </c>
      <c r="W76" s="19"/>
      <c r="Y76" s="9"/>
      <c r="AA76" s="71"/>
    </row>
    <row r="77" spans="1:27" ht="12.75">
      <c r="A77" s="5">
        <f t="shared" si="8"/>
        <v>65</v>
      </c>
      <c r="B77" s="23">
        <v>582</v>
      </c>
      <c r="C77" s="23"/>
      <c r="D77" s="23" t="s">
        <v>309</v>
      </c>
      <c r="E77" s="23"/>
      <c r="F77" s="20">
        <v>71594</v>
      </c>
      <c r="G77" s="23"/>
      <c r="H77" s="95">
        <v>0.99833</v>
      </c>
      <c r="J77" s="9">
        <f t="shared" si="9"/>
        <v>71474.43802</v>
      </c>
      <c r="L77">
        <f t="shared" si="12"/>
        <v>582</v>
      </c>
      <c r="N77" s="36" t="str">
        <f t="shared" si="13"/>
        <v>Distr. Operation Station Equipment</v>
      </c>
      <c r="O77" s="23"/>
      <c r="P77" s="20">
        <v>71595</v>
      </c>
      <c r="Q77" s="23"/>
      <c r="R77" s="198">
        <v>0.998333</v>
      </c>
      <c r="S77" s="23"/>
      <c r="T77" s="9">
        <f t="shared" si="14"/>
        <v>71475.65113500001</v>
      </c>
      <c r="W77" s="19"/>
      <c r="Y77" s="9"/>
      <c r="AA77" s="71"/>
    </row>
    <row r="78" spans="1:27" ht="12.75">
      <c r="A78" s="5">
        <f t="shared" si="8"/>
        <v>66</v>
      </c>
      <c r="B78" s="23">
        <v>583</v>
      </c>
      <c r="C78" s="23"/>
      <c r="D78" s="23" t="s">
        <v>312</v>
      </c>
      <c r="E78" s="23"/>
      <c r="F78" s="20">
        <v>119039</v>
      </c>
      <c r="G78" s="23"/>
      <c r="H78" s="95">
        <v>0.99833</v>
      </c>
      <c r="J78" s="9">
        <f t="shared" si="9"/>
        <v>118840.20487</v>
      </c>
      <c r="L78">
        <f t="shared" si="12"/>
        <v>583</v>
      </c>
      <c r="N78" s="36" t="str">
        <f t="shared" si="13"/>
        <v>Distr. Operation OH Line Expense</v>
      </c>
      <c r="O78" s="23"/>
      <c r="P78" s="20">
        <v>119040</v>
      </c>
      <c r="Q78" s="23"/>
      <c r="R78" s="198">
        <v>0.998333</v>
      </c>
      <c r="S78" s="23"/>
      <c r="T78" s="9">
        <f t="shared" si="14"/>
        <v>118841.56032</v>
      </c>
      <c r="W78" s="19"/>
      <c r="Y78" s="9"/>
      <c r="AA78" s="71"/>
    </row>
    <row r="79" spans="1:27" ht="12.75">
      <c r="A79" s="5">
        <f t="shared" si="8"/>
        <v>67</v>
      </c>
      <c r="B79" s="23">
        <v>584</v>
      </c>
      <c r="C79" s="23"/>
      <c r="D79" s="23" t="s">
        <v>313</v>
      </c>
      <c r="E79" s="23"/>
      <c r="F79" s="20">
        <v>993524</v>
      </c>
      <c r="G79" s="23"/>
      <c r="H79" s="95">
        <v>0.99833</v>
      </c>
      <c r="J79" s="9">
        <f t="shared" si="9"/>
        <v>991864.81492</v>
      </c>
      <c r="L79">
        <f t="shared" si="12"/>
        <v>584</v>
      </c>
      <c r="N79" s="36" t="str">
        <f t="shared" si="13"/>
        <v>Distr. Operation UG Line Expense</v>
      </c>
      <c r="O79" s="23"/>
      <c r="P79" s="20">
        <v>993523</v>
      </c>
      <c r="Q79" s="23"/>
      <c r="R79" s="198">
        <v>0.998333</v>
      </c>
      <c r="S79" s="23"/>
      <c r="T79" s="9">
        <f t="shared" si="14"/>
        <v>991866.7971590001</v>
      </c>
      <c r="W79" s="19"/>
      <c r="Y79" s="9"/>
      <c r="AA79" s="71"/>
    </row>
    <row r="80" spans="1:27" ht="12.75">
      <c r="A80" s="5">
        <f t="shared" si="8"/>
        <v>68</v>
      </c>
      <c r="B80" s="23">
        <v>585</v>
      </c>
      <c r="C80" s="23"/>
      <c r="D80" s="23" t="s">
        <v>314</v>
      </c>
      <c r="E80" s="23"/>
      <c r="F80" s="20">
        <v>182</v>
      </c>
      <c r="G80" s="23"/>
      <c r="H80" s="95">
        <v>0.99833</v>
      </c>
      <c r="J80" s="9">
        <f t="shared" si="9"/>
        <v>181.69606000000002</v>
      </c>
      <c r="L80">
        <f t="shared" si="12"/>
        <v>585</v>
      </c>
      <c r="N80" s="36" t="str">
        <f t="shared" si="13"/>
        <v>Distr. Operation Street Light &amp; Signals</v>
      </c>
      <c r="O80" s="23"/>
      <c r="P80" s="20">
        <f>+F80</f>
        <v>182</v>
      </c>
      <c r="Q80" s="23"/>
      <c r="R80" s="198">
        <v>0.998333</v>
      </c>
      <c r="S80" s="23"/>
      <c r="T80" s="9">
        <f t="shared" si="14"/>
        <v>181.696606</v>
      </c>
      <c r="W80" s="19"/>
      <c r="Y80" s="9"/>
      <c r="AA80" s="71"/>
    </row>
    <row r="81" spans="1:27" ht="12.75">
      <c r="A81" s="5">
        <f t="shared" si="8"/>
        <v>69</v>
      </c>
      <c r="B81" s="23">
        <v>586</v>
      </c>
      <c r="C81" s="23"/>
      <c r="D81" s="23" t="s">
        <v>315</v>
      </c>
      <c r="E81" s="23"/>
      <c r="F81" s="20">
        <v>1401866</v>
      </c>
      <c r="G81" s="23"/>
      <c r="H81" s="95">
        <v>0.99833</v>
      </c>
      <c r="J81" s="9">
        <f t="shared" si="9"/>
        <v>1399524.88378</v>
      </c>
      <c r="L81">
        <f t="shared" si="12"/>
        <v>586</v>
      </c>
      <c r="N81" s="36" t="str">
        <f t="shared" si="13"/>
        <v>Distr. Operation Meter Expenses</v>
      </c>
      <c r="O81" s="23"/>
      <c r="P81" s="20">
        <v>1401865</v>
      </c>
      <c r="Q81" s="23"/>
      <c r="R81" s="198">
        <v>0.998333</v>
      </c>
      <c r="S81" s="23"/>
      <c r="T81" s="9">
        <f t="shared" si="14"/>
        <v>1399528.0910450001</v>
      </c>
      <c r="W81" s="19"/>
      <c r="Y81" s="9"/>
      <c r="AA81" s="71"/>
    </row>
    <row r="82" spans="1:27" ht="12.75">
      <c r="A82" s="5">
        <f t="shared" si="8"/>
        <v>70</v>
      </c>
      <c r="B82" s="23">
        <v>587</v>
      </c>
      <c r="C82" s="23"/>
      <c r="D82" s="23" t="s">
        <v>316</v>
      </c>
      <c r="E82" s="23"/>
      <c r="F82" s="20">
        <v>79726</v>
      </c>
      <c r="G82" s="23"/>
      <c r="H82" s="95">
        <v>0.99833</v>
      </c>
      <c r="J82" s="9">
        <f t="shared" si="9"/>
        <v>79592.85758000001</v>
      </c>
      <c r="L82">
        <f t="shared" si="12"/>
        <v>587</v>
      </c>
      <c r="N82" s="36" t="str">
        <f t="shared" si="13"/>
        <v>Distr. Operation Customer Install Expense</v>
      </c>
      <c r="O82" s="23"/>
      <c r="P82" s="20">
        <f>+F82</f>
        <v>79726</v>
      </c>
      <c r="Q82" s="23"/>
      <c r="R82" s="198">
        <v>0.998333</v>
      </c>
      <c r="S82" s="23"/>
      <c r="T82" s="9">
        <f t="shared" si="14"/>
        <v>79593.096758</v>
      </c>
      <c r="W82" s="19"/>
      <c r="Y82" s="9"/>
      <c r="AA82" s="71"/>
    </row>
    <row r="83" spans="1:27" ht="12.75">
      <c r="A83" s="5">
        <f t="shared" si="8"/>
        <v>71</v>
      </c>
      <c r="B83" s="23">
        <v>588</v>
      </c>
      <c r="C83" s="23"/>
      <c r="D83" s="23" t="s">
        <v>317</v>
      </c>
      <c r="E83" s="23"/>
      <c r="F83" s="20">
        <v>3946016</v>
      </c>
      <c r="G83" s="23"/>
      <c r="H83" s="95">
        <v>0.99833</v>
      </c>
      <c r="J83" s="9">
        <f t="shared" si="9"/>
        <v>3939426.15328</v>
      </c>
      <c r="L83">
        <f t="shared" si="12"/>
        <v>588</v>
      </c>
      <c r="N83" s="36" t="str">
        <f t="shared" si="13"/>
        <v>Distr. Operation Misc. Distr. Expense</v>
      </c>
      <c r="O83" s="23"/>
      <c r="P83" s="20">
        <v>3946011</v>
      </c>
      <c r="Q83" s="23"/>
      <c r="R83" s="198">
        <v>0.998333</v>
      </c>
      <c r="S83" s="23"/>
      <c r="T83" s="9">
        <f t="shared" si="14"/>
        <v>3939432.999663</v>
      </c>
      <c r="W83" s="19"/>
      <c r="Y83" s="9"/>
      <c r="AA83" s="71"/>
    </row>
    <row r="84" spans="1:27" ht="12.75">
      <c r="A84" s="5">
        <f t="shared" si="8"/>
        <v>72</v>
      </c>
      <c r="B84" s="23">
        <v>589</v>
      </c>
      <c r="C84" s="23"/>
      <c r="D84" s="23" t="s">
        <v>318</v>
      </c>
      <c r="E84" s="23"/>
      <c r="F84" s="20">
        <v>129094</v>
      </c>
      <c r="G84" s="23"/>
      <c r="H84" s="95">
        <v>0.99833</v>
      </c>
      <c r="J84" s="9">
        <f t="shared" si="9"/>
        <v>128878.41302</v>
      </c>
      <c r="L84">
        <f t="shared" si="12"/>
        <v>589</v>
      </c>
      <c r="N84" s="36" t="str">
        <f t="shared" si="13"/>
        <v>Distr. Operations Rents</v>
      </c>
      <c r="O84" s="23"/>
      <c r="P84" s="20">
        <f>+F84</f>
        <v>129094</v>
      </c>
      <c r="Q84" s="23"/>
      <c r="R84" s="198">
        <v>0.998333</v>
      </c>
      <c r="S84" s="23"/>
      <c r="T84" s="9">
        <f t="shared" si="14"/>
        <v>128878.800302</v>
      </c>
      <c r="W84" s="19"/>
      <c r="Y84" s="9"/>
      <c r="AA84" s="71"/>
    </row>
    <row r="85" spans="1:27" ht="12.75">
      <c r="A85" s="5">
        <f t="shared" si="8"/>
        <v>73</v>
      </c>
      <c r="B85" s="23">
        <v>590</v>
      </c>
      <c r="C85" s="23"/>
      <c r="D85" s="23" t="s">
        <v>319</v>
      </c>
      <c r="E85" s="23"/>
      <c r="F85" s="20">
        <v>9726</v>
      </c>
      <c r="G85" s="23"/>
      <c r="H85" s="95">
        <v>0.99833</v>
      </c>
      <c r="J85" s="9">
        <f t="shared" si="9"/>
        <v>9709.757580000001</v>
      </c>
      <c r="L85">
        <f t="shared" si="12"/>
        <v>590</v>
      </c>
      <c r="N85" s="36" t="str">
        <f t="shared" si="13"/>
        <v>Dsitr. Maint. Supervision &amp; Engineering</v>
      </c>
      <c r="O85" s="23"/>
      <c r="P85" s="20">
        <v>9727</v>
      </c>
      <c r="Q85" s="23"/>
      <c r="R85" s="198">
        <v>0.998333</v>
      </c>
      <c r="S85" s="23"/>
      <c r="T85" s="9">
        <f t="shared" si="14"/>
        <v>9710.785091</v>
      </c>
      <c r="W85" s="19"/>
      <c r="Y85" s="9"/>
      <c r="AA85" s="71"/>
    </row>
    <row r="86" spans="1:27" ht="12.75">
      <c r="A86" s="5">
        <f t="shared" si="8"/>
        <v>74</v>
      </c>
      <c r="B86" s="23">
        <v>591</v>
      </c>
      <c r="C86" s="23"/>
      <c r="D86" s="23" t="s">
        <v>320</v>
      </c>
      <c r="E86" s="23"/>
      <c r="F86" s="20">
        <v>4335</v>
      </c>
      <c r="G86" s="23"/>
      <c r="H86" s="95">
        <v>0.99833</v>
      </c>
      <c r="J86" s="9">
        <f t="shared" si="9"/>
        <v>4327.76055</v>
      </c>
      <c r="L86">
        <f t="shared" si="12"/>
        <v>591</v>
      </c>
      <c r="N86" s="36" t="str">
        <f t="shared" si="13"/>
        <v>Distr. Maintenance of Structures</v>
      </c>
      <c r="O86" s="23"/>
      <c r="P86" s="20">
        <v>4334</v>
      </c>
      <c r="Q86" s="23"/>
      <c r="R86" s="198">
        <v>0.998333</v>
      </c>
      <c r="S86" s="23"/>
      <c r="T86" s="9">
        <f t="shared" si="14"/>
        <v>4326.775222</v>
      </c>
      <c r="W86" s="19"/>
      <c r="Y86" s="9"/>
      <c r="AA86" s="71"/>
    </row>
    <row r="87" spans="1:27" ht="12.75">
      <c r="A87" s="5">
        <f t="shared" si="8"/>
        <v>75</v>
      </c>
      <c r="B87" s="23">
        <v>592</v>
      </c>
      <c r="C87" s="23"/>
      <c r="D87" s="23" t="s">
        <v>321</v>
      </c>
      <c r="E87" s="23"/>
      <c r="F87" s="20">
        <v>977728</v>
      </c>
      <c r="G87" s="23"/>
      <c r="H87" s="95">
        <v>0.99833</v>
      </c>
      <c r="J87" s="9">
        <f t="shared" si="9"/>
        <v>976095.1942400001</v>
      </c>
      <c r="L87">
        <f t="shared" si="12"/>
        <v>592</v>
      </c>
      <c r="N87" s="36" t="str">
        <f t="shared" si="13"/>
        <v>Dsitr. Maintenance of Station Equipment</v>
      </c>
      <c r="O87" s="23"/>
      <c r="P87" s="20">
        <f>+F87</f>
        <v>977728</v>
      </c>
      <c r="Q87" s="23"/>
      <c r="R87" s="198">
        <v>0.998333</v>
      </c>
      <c r="S87" s="23"/>
      <c r="T87" s="9">
        <f t="shared" si="14"/>
        <v>976098.1274240001</v>
      </c>
      <c r="W87" s="19"/>
      <c r="Y87" s="9"/>
      <c r="AA87" s="71"/>
    </row>
    <row r="88" spans="1:27" ht="12.75">
      <c r="A88" s="5">
        <f t="shared" si="8"/>
        <v>76</v>
      </c>
      <c r="B88" s="23">
        <v>593</v>
      </c>
      <c r="C88" s="23"/>
      <c r="D88" s="23" t="s">
        <v>322</v>
      </c>
      <c r="E88" s="23"/>
      <c r="F88" s="20">
        <v>7591543</v>
      </c>
      <c r="G88" s="23"/>
      <c r="H88" s="95">
        <v>0.99833</v>
      </c>
      <c r="J88" s="9">
        <f t="shared" si="9"/>
        <v>7578865.123190001</v>
      </c>
      <c r="L88">
        <f t="shared" si="12"/>
        <v>593</v>
      </c>
      <c r="N88" s="36" t="str">
        <f t="shared" si="13"/>
        <v>Distr. Maintenance of OH Lines</v>
      </c>
      <c r="O88" s="23"/>
      <c r="P88" s="20">
        <v>7591541</v>
      </c>
      <c r="Q88" s="23"/>
      <c r="R88" s="198">
        <v>0.998333</v>
      </c>
      <c r="S88" s="23"/>
      <c r="T88" s="9">
        <f t="shared" si="14"/>
        <v>7578885.901153</v>
      </c>
      <c r="W88" s="19"/>
      <c r="Y88" s="9"/>
      <c r="AA88" s="71"/>
    </row>
    <row r="89" spans="1:27" ht="12.75">
      <c r="A89" s="5">
        <f t="shared" si="8"/>
        <v>77</v>
      </c>
      <c r="B89" s="23">
        <v>594</v>
      </c>
      <c r="C89" s="23"/>
      <c r="D89" s="23" t="s">
        <v>323</v>
      </c>
      <c r="E89" s="23"/>
      <c r="F89" s="20">
        <v>874706</v>
      </c>
      <c r="G89" s="23"/>
      <c r="H89" s="95">
        <v>0.99833</v>
      </c>
      <c r="J89" s="9">
        <f t="shared" si="9"/>
        <v>873245.24098</v>
      </c>
      <c r="L89">
        <f t="shared" si="12"/>
        <v>594</v>
      </c>
      <c r="N89" s="36" t="str">
        <f t="shared" si="13"/>
        <v>Distr. Maintenance of UG Lines</v>
      </c>
      <c r="O89" s="23"/>
      <c r="P89" s="20">
        <v>874702</v>
      </c>
      <c r="Q89" s="23"/>
      <c r="R89" s="198">
        <v>0.998333</v>
      </c>
      <c r="S89" s="23"/>
      <c r="T89" s="9">
        <f t="shared" si="14"/>
        <v>873243.871766</v>
      </c>
      <c r="W89" s="19"/>
      <c r="Y89" s="9"/>
      <c r="AA89" s="71"/>
    </row>
    <row r="90" spans="1:27" ht="12.75">
      <c r="A90" s="5">
        <f t="shared" si="8"/>
        <v>78</v>
      </c>
      <c r="B90" s="23">
        <v>595</v>
      </c>
      <c r="C90" s="23"/>
      <c r="D90" s="23" t="s">
        <v>324</v>
      </c>
      <c r="E90" s="23"/>
      <c r="F90" s="20">
        <v>56785</v>
      </c>
      <c r="G90" s="23"/>
      <c r="H90" s="95">
        <v>0.99833</v>
      </c>
      <c r="J90" s="9">
        <f t="shared" si="9"/>
        <v>56690.169050000004</v>
      </c>
      <c r="L90">
        <f t="shared" si="12"/>
        <v>595</v>
      </c>
      <c r="N90" s="36" t="str">
        <f t="shared" si="13"/>
        <v>Distr. Maintenance of Line Transformers</v>
      </c>
      <c r="O90" s="23"/>
      <c r="P90" s="20">
        <f>+F90</f>
        <v>56785</v>
      </c>
      <c r="Q90" s="23"/>
      <c r="R90" s="198">
        <v>0.998333</v>
      </c>
      <c r="S90" s="23"/>
      <c r="T90" s="9">
        <f t="shared" si="14"/>
        <v>56690.339405</v>
      </c>
      <c r="W90" s="19"/>
      <c r="Y90" s="9"/>
      <c r="AA90" s="71"/>
    </row>
    <row r="91" spans="1:27" ht="12.75">
      <c r="A91" s="5">
        <f t="shared" si="8"/>
        <v>79</v>
      </c>
      <c r="B91" s="23">
        <v>596</v>
      </c>
      <c r="C91" s="23"/>
      <c r="D91" s="23" t="s">
        <v>325</v>
      </c>
      <c r="E91" s="23"/>
      <c r="F91" s="20">
        <v>401605</v>
      </c>
      <c r="G91" s="23"/>
      <c r="H91" s="95">
        <v>0.99833</v>
      </c>
      <c r="J91" s="9">
        <f t="shared" si="9"/>
        <v>400934.31965</v>
      </c>
      <c r="L91">
        <f t="shared" si="12"/>
        <v>596</v>
      </c>
      <c r="N91" s="36" t="str">
        <f t="shared" si="13"/>
        <v>Distr. Maintenance of Street Lights</v>
      </c>
      <c r="O91" s="23"/>
      <c r="P91" s="20">
        <v>401606</v>
      </c>
      <c r="Q91" s="23"/>
      <c r="R91" s="198">
        <v>0.998333</v>
      </c>
      <c r="S91" s="23"/>
      <c r="T91" s="9">
        <f t="shared" si="14"/>
        <v>400936.522798</v>
      </c>
      <c r="W91" s="19"/>
      <c r="Y91" s="9"/>
      <c r="AA91" s="71"/>
    </row>
    <row r="92" spans="1:27" ht="12.75">
      <c r="A92" s="5">
        <f t="shared" si="8"/>
        <v>80</v>
      </c>
      <c r="B92" s="23">
        <v>597</v>
      </c>
      <c r="C92" s="23"/>
      <c r="D92" s="23" t="s">
        <v>326</v>
      </c>
      <c r="E92" s="23"/>
      <c r="F92" s="20">
        <v>24492</v>
      </c>
      <c r="G92" s="23"/>
      <c r="H92" s="95">
        <v>0.99833</v>
      </c>
      <c r="J92" s="9">
        <f t="shared" si="9"/>
        <v>24451.09836</v>
      </c>
      <c r="L92">
        <f t="shared" si="12"/>
        <v>597</v>
      </c>
      <c r="N92" s="36" t="str">
        <f t="shared" si="13"/>
        <v>Dsitr. Maintenance of Meters</v>
      </c>
      <c r="O92" s="23"/>
      <c r="P92" s="20">
        <v>24493</v>
      </c>
      <c r="Q92" s="23"/>
      <c r="R92" s="198">
        <v>0.998333</v>
      </c>
      <c r="S92" s="23"/>
      <c r="T92" s="9">
        <f t="shared" si="14"/>
        <v>24452.170169</v>
      </c>
      <c r="W92" s="19"/>
      <c r="Y92" s="9"/>
      <c r="AA92" s="71"/>
    </row>
    <row r="93" spans="1:27" ht="12.75">
      <c r="A93" s="5">
        <f t="shared" si="8"/>
        <v>81</v>
      </c>
      <c r="B93" s="23">
        <v>598</v>
      </c>
      <c r="C93" s="23"/>
      <c r="D93" s="23" t="s">
        <v>327</v>
      </c>
      <c r="E93" s="23"/>
      <c r="F93" s="20">
        <v>597861</v>
      </c>
      <c r="G93" s="23"/>
      <c r="H93" s="95">
        <v>0.99833</v>
      </c>
      <c r="J93" s="9">
        <f t="shared" si="9"/>
        <v>596862.57213</v>
      </c>
      <c r="L93">
        <f t="shared" si="12"/>
        <v>598</v>
      </c>
      <c r="N93" s="36" t="str">
        <f t="shared" si="13"/>
        <v>Distr. Maintenance of Misc. Plant</v>
      </c>
      <c r="O93" s="23"/>
      <c r="P93" s="20">
        <v>597861</v>
      </c>
      <c r="Q93" s="23"/>
      <c r="R93" s="198">
        <v>0.998333</v>
      </c>
      <c r="S93" s="23"/>
      <c r="T93" s="9">
        <f t="shared" si="14"/>
        <v>596864.3657130001</v>
      </c>
      <c r="W93" s="19"/>
      <c r="Y93" s="9"/>
      <c r="AA93" s="71"/>
    </row>
    <row r="94" spans="1:27" ht="12.75">
      <c r="A94" s="5">
        <f t="shared" si="8"/>
        <v>82</v>
      </c>
      <c r="D94" s="23"/>
      <c r="F94" s="32" t="s">
        <v>135</v>
      </c>
      <c r="G94" s="23"/>
      <c r="H94" s="99" t="s">
        <v>56</v>
      </c>
      <c r="J94" s="8" t="s">
        <v>64</v>
      </c>
      <c r="N94" s="36"/>
      <c r="P94" s="32" t="s">
        <v>134</v>
      </c>
      <c r="Q94" s="23"/>
      <c r="R94" s="99" t="s">
        <v>61</v>
      </c>
      <c r="S94" s="23"/>
      <c r="T94" s="8" t="s">
        <v>64</v>
      </c>
      <c r="Y94" s="4"/>
      <c r="AA94" s="71"/>
    </row>
    <row r="95" spans="1:27" ht="12.75">
      <c r="A95" s="5">
        <f t="shared" si="8"/>
        <v>83</v>
      </c>
      <c r="B95" s="23"/>
      <c r="C95" s="23"/>
      <c r="D95" s="29" t="s">
        <v>328</v>
      </c>
      <c r="E95" s="23"/>
      <c r="F95" s="20">
        <f>SUM(F75:F94)</f>
        <v>18519874</v>
      </c>
      <c r="G95" s="23"/>
      <c r="H95" s="95">
        <f>+J95/F95</f>
        <v>0.9983299999999999</v>
      </c>
      <c r="J95" s="9">
        <f>SUM(J75:J94)</f>
        <v>18488945.81042</v>
      </c>
      <c r="N95" s="35" t="str">
        <f>+D95</f>
        <v>Total Distribution Expense</v>
      </c>
      <c r="P95" s="20">
        <f>SUM(P75:P94)</f>
        <v>18519864</v>
      </c>
      <c r="Q95" s="23"/>
      <c r="R95" s="95">
        <f>+T95/P95</f>
        <v>0.9983330000000001</v>
      </c>
      <c r="S95" s="23"/>
      <c r="T95" s="9">
        <f>SUM(T75:T94)</f>
        <v>18488991.386712003</v>
      </c>
      <c r="Y95" s="9"/>
      <c r="AA95" s="71"/>
    </row>
    <row r="96" spans="1:27" ht="12.75">
      <c r="A96" s="5">
        <f>+A95+1</f>
        <v>84</v>
      </c>
      <c r="D96" s="29"/>
      <c r="F96" s="20"/>
      <c r="G96" s="23"/>
      <c r="H96" s="95"/>
      <c r="J96" s="9"/>
      <c r="N96" s="36"/>
      <c r="P96" s="20"/>
      <c r="Q96" s="23"/>
      <c r="R96" s="95"/>
      <c r="S96" s="23"/>
      <c r="T96" s="9"/>
      <c r="AA96" s="71"/>
    </row>
    <row r="97" spans="1:27" ht="12.75">
      <c r="A97" s="5">
        <f>+A96+1</f>
        <v>85</v>
      </c>
      <c r="B97" s="23"/>
      <c r="C97" s="23"/>
      <c r="D97" s="41" t="s">
        <v>128</v>
      </c>
      <c r="E97" s="23"/>
      <c r="F97" s="20"/>
      <c r="G97" s="23"/>
      <c r="H97" s="95"/>
      <c r="J97" s="9"/>
      <c r="N97" s="35" t="str">
        <f aca="true" t="shared" si="15" ref="N97:N102">+D97</f>
        <v>Customer Accts. Expense</v>
      </c>
      <c r="P97" s="20"/>
      <c r="Q97" s="23"/>
      <c r="R97" s="95"/>
      <c r="S97" s="23"/>
      <c r="T97" s="9"/>
      <c r="W97" s="3"/>
      <c r="AA97" s="71"/>
    </row>
    <row r="98" spans="1:27" ht="12.75">
      <c r="A98" s="5">
        <f aca="true" t="shared" si="16" ref="A98:A161">+A97+1</f>
        <v>86</v>
      </c>
      <c r="B98" s="23">
        <v>901</v>
      </c>
      <c r="C98" s="23"/>
      <c r="D98" s="23" t="s">
        <v>191</v>
      </c>
      <c r="E98" s="23"/>
      <c r="F98" s="20">
        <v>191225</v>
      </c>
      <c r="G98" s="23"/>
      <c r="H98" s="95">
        <v>0.81025</v>
      </c>
      <c r="J98" s="9">
        <f>+F98*H98</f>
        <v>154940.05625</v>
      </c>
      <c r="L98">
        <f>+B98</f>
        <v>901</v>
      </c>
      <c r="N98" s="37" t="str">
        <f t="shared" si="15"/>
        <v>Supervision - Customer Accounts</v>
      </c>
      <c r="O98" s="23"/>
      <c r="P98" s="20">
        <v>154923</v>
      </c>
      <c r="Q98" s="23"/>
      <c r="R98" s="95">
        <v>1</v>
      </c>
      <c r="S98" s="23"/>
      <c r="T98" s="9">
        <f>+P98*R98</f>
        <v>154923</v>
      </c>
      <c r="W98" s="19"/>
      <c r="Y98" s="9"/>
      <c r="AA98" s="71"/>
    </row>
    <row r="99" spans="1:27" ht="12.75">
      <c r="A99" s="5">
        <f t="shared" si="16"/>
        <v>87</v>
      </c>
      <c r="B99" s="23">
        <v>902</v>
      </c>
      <c r="C99" s="23"/>
      <c r="D99" s="23" t="s">
        <v>192</v>
      </c>
      <c r="E99" s="23"/>
      <c r="F99" s="20">
        <v>2020937</v>
      </c>
      <c r="G99" s="23"/>
      <c r="H99" s="95">
        <v>0.86549</v>
      </c>
      <c r="J99" s="9">
        <f>+F99*H99</f>
        <v>1749100.76413</v>
      </c>
      <c r="L99">
        <f>+B99</f>
        <v>902</v>
      </c>
      <c r="N99" s="37" t="str">
        <f t="shared" si="15"/>
        <v>Meter Reading Expense</v>
      </c>
      <c r="O99" s="23"/>
      <c r="P99" s="20">
        <v>1749099</v>
      </c>
      <c r="Q99" s="23"/>
      <c r="R99" s="95">
        <v>1</v>
      </c>
      <c r="S99" s="23"/>
      <c r="T99" s="9">
        <f>+P99*R99</f>
        <v>1749099</v>
      </c>
      <c r="W99" s="19"/>
      <c r="Y99" s="9"/>
      <c r="AA99" s="71"/>
    </row>
    <row r="100" spans="1:27" ht="12.75">
      <c r="A100" s="5">
        <f t="shared" si="16"/>
        <v>88</v>
      </c>
      <c r="B100" s="23">
        <v>903</v>
      </c>
      <c r="C100" s="23"/>
      <c r="D100" s="23" t="s">
        <v>193</v>
      </c>
      <c r="E100" s="23"/>
      <c r="F100" s="20">
        <v>3771979</v>
      </c>
      <c r="G100" s="23"/>
      <c r="H100" s="95">
        <v>0.81323</v>
      </c>
      <c r="J100" s="9">
        <f>+F100*H100</f>
        <v>3067486.48217</v>
      </c>
      <c r="L100">
        <f>+B100</f>
        <v>903</v>
      </c>
      <c r="N100" s="37" t="str">
        <f t="shared" si="15"/>
        <v>Customer Records  / Collections</v>
      </c>
      <c r="O100" s="23"/>
      <c r="P100" s="20">
        <v>3067498</v>
      </c>
      <c r="Q100" s="23"/>
      <c r="R100" s="95">
        <v>1</v>
      </c>
      <c r="S100" s="23"/>
      <c r="T100" s="9">
        <f>+P100*R100</f>
        <v>3067498</v>
      </c>
      <c r="W100" s="19"/>
      <c r="Y100" s="9"/>
      <c r="AA100" s="71"/>
    </row>
    <row r="101" spans="1:27" ht="12.75">
      <c r="A101" s="5">
        <f t="shared" si="16"/>
        <v>89</v>
      </c>
      <c r="B101" s="23">
        <v>904</v>
      </c>
      <c r="C101" s="23"/>
      <c r="D101" s="23" t="s">
        <v>194</v>
      </c>
      <c r="E101" s="23"/>
      <c r="F101" s="20">
        <v>3656342</v>
      </c>
      <c r="G101" s="23"/>
      <c r="H101" s="95">
        <v>0.66974</v>
      </c>
      <c r="J101" s="9">
        <f>+F101*H101</f>
        <v>2448798.49108</v>
      </c>
      <c r="L101">
        <f>+B101</f>
        <v>904</v>
      </c>
      <c r="N101" s="37" t="str">
        <f t="shared" si="15"/>
        <v>Uncollectible Accounts</v>
      </c>
      <c r="O101" s="23"/>
      <c r="P101" s="20">
        <v>2448801</v>
      </c>
      <c r="Q101" s="23"/>
      <c r="R101" s="95">
        <v>1</v>
      </c>
      <c r="S101" s="23"/>
      <c r="T101" s="9">
        <f>+P101*R101</f>
        <v>2448801</v>
      </c>
      <c r="W101" s="19"/>
      <c r="Y101" s="9"/>
      <c r="AA101" s="71"/>
    </row>
    <row r="102" spans="1:27" ht="12.75">
      <c r="A102" s="5">
        <f t="shared" si="16"/>
        <v>90</v>
      </c>
      <c r="B102" s="23">
        <v>905</v>
      </c>
      <c r="C102" s="23"/>
      <c r="D102" s="23" t="s">
        <v>233</v>
      </c>
      <c r="E102" s="23"/>
      <c r="F102" s="20">
        <v>12</v>
      </c>
      <c r="G102" s="23"/>
      <c r="H102" s="95">
        <v>0.84694</v>
      </c>
      <c r="J102" s="9">
        <f>+F102*H102</f>
        <v>10.16328</v>
      </c>
      <c r="L102">
        <f>+B102</f>
        <v>905</v>
      </c>
      <c r="N102" s="37" t="str">
        <f t="shared" si="15"/>
        <v>Misc. Customer Accts. Expense</v>
      </c>
      <c r="O102" s="23"/>
      <c r="P102" s="20">
        <v>10</v>
      </c>
      <c r="Q102" s="23"/>
      <c r="R102" s="95">
        <v>1</v>
      </c>
      <c r="S102" s="23"/>
      <c r="T102" s="9">
        <f>+P102*R102</f>
        <v>10</v>
      </c>
      <c r="W102" s="19"/>
      <c r="Y102" s="9"/>
      <c r="AA102" s="71"/>
    </row>
    <row r="103" spans="1:27" ht="12.75">
      <c r="A103" s="5">
        <f t="shared" si="16"/>
        <v>91</v>
      </c>
      <c r="D103" s="23"/>
      <c r="F103" s="32" t="s">
        <v>134</v>
      </c>
      <c r="G103" s="23"/>
      <c r="H103" s="99" t="s">
        <v>61</v>
      </c>
      <c r="J103" s="8" t="s">
        <v>31</v>
      </c>
      <c r="N103" s="36"/>
      <c r="P103" s="32" t="s">
        <v>166</v>
      </c>
      <c r="Q103" s="23"/>
      <c r="R103" s="99" t="s">
        <v>61</v>
      </c>
      <c r="S103" s="23"/>
      <c r="T103" s="8" t="s">
        <v>31</v>
      </c>
      <c r="Y103" s="4"/>
      <c r="AA103" s="71"/>
    </row>
    <row r="104" spans="1:27" ht="12.75">
      <c r="A104" s="5">
        <f t="shared" si="16"/>
        <v>92</v>
      </c>
      <c r="D104" s="29" t="s">
        <v>140</v>
      </c>
      <c r="F104" s="20">
        <f>SUM(F98:F103)</f>
        <v>9640495</v>
      </c>
      <c r="G104" s="23"/>
      <c r="H104" s="95">
        <f>+J104/F104</f>
        <v>0.7697048706430532</v>
      </c>
      <c r="J104" s="9">
        <f>SUM(J98:J103)</f>
        <v>7420335.95691</v>
      </c>
      <c r="N104" s="35" t="str">
        <f>+D104</f>
        <v>Customer Accts. Exp. - Unadjusted</v>
      </c>
      <c r="P104" s="20">
        <f>SUM(P98:P103)</f>
        <v>7420331</v>
      </c>
      <c r="Q104" s="23"/>
      <c r="R104" s="95">
        <f>+T104/P104</f>
        <v>1</v>
      </c>
      <c r="S104" s="23"/>
      <c r="T104" s="9">
        <f>SUM(T98:T103)</f>
        <v>7420331</v>
      </c>
      <c r="W104" s="19"/>
      <c r="Y104" s="9"/>
      <c r="AA104" s="71"/>
    </row>
    <row r="105" spans="1:27" ht="12.75">
      <c r="A105" s="5">
        <f t="shared" si="16"/>
        <v>93</v>
      </c>
      <c r="D105" s="23"/>
      <c r="F105" s="20"/>
      <c r="G105" s="23"/>
      <c r="H105" s="95"/>
      <c r="J105" s="9"/>
      <c r="L105" s="23"/>
      <c r="M105" s="23"/>
      <c r="N105" s="36"/>
      <c r="O105" s="23"/>
      <c r="P105" s="20"/>
      <c r="Q105" s="23"/>
      <c r="R105" s="95"/>
      <c r="S105" s="23"/>
      <c r="T105" s="20"/>
      <c r="U105" s="23"/>
      <c r="V105" s="23"/>
      <c r="AA105" s="71"/>
    </row>
    <row r="106" spans="1:27" ht="12.75">
      <c r="A106" s="5">
        <f t="shared" si="16"/>
        <v>94</v>
      </c>
      <c r="B106" s="23"/>
      <c r="C106" s="23"/>
      <c r="D106" s="29" t="s">
        <v>129</v>
      </c>
      <c r="E106" s="23"/>
      <c r="F106" s="20"/>
      <c r="G106" s="23"/>
      <c r="H106" s="95"/>
      <c r="J106" s="9"/>
      <c r="N106" s="36" t="str">
        <f>+D106</f>
        <v>Customer Serv. / Information</v>
      </c>
      <c r="P106" s="20"/>
      <c r="Q106" s="23"/>
      <c r="R106" s="95"/>
      <c r="S106" s="23"/>
      <c r="T106" s="9"/>
      <c r="W106" s="3"/>
      <c r="AA106" s="71"/>
    </row>
    <row r="107" spans="1:27" ht="12.75">
      <c r="A107" s="5">
        <f t="shared" si="16"/>
        <v>95</v>
      </c>
      <c r="B107" s="23">
        <v>907</v>
      </c>
      <c r="C107" s="23"/>
      <c r="D107" s="23" t="s">
        <v>195</v>
      </c>
      <c r="E107" s="23"/>
      <c r="F107" s="20">
        <v>379989</v>
      </c>
      <c r="G107" s="23"/>
      <c r="H107" s="95">
        <v>0.86271</v>
      </c>
      <c r="J107" s="9">
        <f>+F107*H107</f>
        <v>327820.31019</v>
      </c>
      <c r="L107">
        <f>+B107</f>
        <v>907</v>
      </c>
      <c r="N107" s="36" t="str">
        <f>+D107</f>
        <v>Supervision - Customer Service</v>
      </c>
      <c r="P107" s="20">
        <v>329596</v>
      </c>
      <c r="Q107" s="23"/>
      <c r="R107" s="95">
        <v>1</v>
      </c>
      <c r="S107" s="23"/>
      <c r="T107" s="9">
        <f>+P107*R107</f>
        <v>329596</v>
      </c>
      <c r="W107" s="19"/>
      <c r="Y107" s="9"/>
      <c r="AA107" s="71"/>
    </row>
    <row r="108" spans="1:27" ht="12.75">
      <c r="A108" s="5">
        <f t="shared" si="16"/>
        <v>96</v>
      </c>
      <c r="B108" s="23">
        <v>908</v>
      </c>
      <c r="C108" s="23"/>
      <c r="D108" s="23" t="s">
        <v>196</v>
      </c>
      <c r="E108" s="23"/>
      <c r="F108" s="20">
        <v>0</v>
      </c>
      <c r="G108" s="23"/>
      <c r="H108" s="95">
        <v>0.83973</v>
      </c>
      <c r="J108" s="9">
        <f>+F108*H108</f>
        <v>0</v>
      </c>
      <c r="L108">
        <f>+B108</f>
        <v>908</v>
      </c>
      <c r="N108" s="36" t="str">
        <f>+D108</f>
        <v>Customer Assistance Expense</v>
      </c>
      <c r="P108" s="20">
        <v>0</v>
      </c>
      <c r="Q108" s="23"/>
      <c r="R108" s="95">
        <v>1</v>
      </c>
      <c r="S108" s="23"/>
      <c r="T108" s="9">
        <f>+P108*R108</f>
        <v>0</v>
      </c>
      <c r="W108" s="19"/>
      <c r="Y108" s="9"/>
      <c r="AA108" s="71"/>
    </row>
    <row r="109" spans="1:27" ht="12.75">
      <c r="A109" s="5">
        <f t="shared" si="16"/>
        <v>97</v>
      </c>
      <c r="B109" s="23">
        <v>909</v>
      </c>
      <c r="C109" s="23"/>
      <c r="D109" s="23" t="s">
        <v>197</v>
      </c>
      <c r="E109" s="23"/>
      <c r="F109" s="20">
        <v>318132</v>
      </c>
      <c r="G109" s="23"/>
      <c r="H109" s="95">
        <v>0.81752</v>
      </c>
      <c r="J109" s="9">
        <f>+F109*H109</f>
        <v>260079.27264</v>
      </c>
      <c r="L109">
        <f>+B109</f>
        <v>909</v>
      </c>
      <c r="N109" s="36" t="str">
        <f>+D109</f>
        <v>Informational / Instructional Advertising</v>
      </c>
      <c r="P109" s="20">
        <v>261486</v>
      </c>
      <c r="Q109" s="23"/>
      <c r="R109" s="95">
        <v>1</v>
      </c>
      <c r="S109" s="23"/>
      <c r="T109" s="9">
        <f>+P109*R109</f>
        <v>261486</v>
      </c>
      <c r="W109" s="19"/>
      <c r="Y109" s="9"/>
      <c r="AA109" s="71"/>
    </row>
    <row r="110" spans="1:27" ht="12.75">
      <c r="A110" s="5">
        <f t="shared" si="16"/>
        <v>98</v>
      </c>
      <c r="B110" s="23">
        <v>910</v>
      </c>
      <c r="C110" s="23"/>
      <c r="D110" s="23" t="s">
        <v>233</v>
      </c>
      <c r="E110" s="23"/>
      <c r="F110" s="20">
        <v>47011</v>
      </c>
      <c r="G110" s="23"/>
      <c r="H110" s="95">
        <v>0.80421</v>
      </c>
      <c r="J110" s="9">
        <f>+F110*H110</f>
        <v>37806.716309999996</v>
      </c>
      <c r="L110">
        <f>+B110</f>
        <v>910</v>
      </c>
      <c r="N110" s="36" t="str">
        <f>+D110</f>
        <v>Misc. Customer Accts. Expense</v>
      </c>
      <c r="P110" s="20">
        <v>38011</v>
      </c>
      <c r="Q110" s="23"/>
      <c r="R110" s="95">
        <v>1</v>
      </c>
      <c r="S110" s="23"/>
      <c r="T110" s="9">
        <f>+P110*R110</f>
        <v>38011</v>
      </c>
      <c r="W110" s="19"/>
      <c r="Y110" s="9"/>
      <c r="AA110" s="71"/>
    </row>
    <row r="111" spans="1:27" ht="12.75">
      <c r="A111" s="5">
        <f t="shared" si="16"/>
        <v>99</v>
      </c>
      <c r="D111" s="23"/>
      <c r="F111" s="32" t="s">
        <v>134</v>
      </c>
      <c r="G111" s="23"/>
      <c r="H111" s="99" t="s">
        <v>61</v>
      </c>
      <c r="J111" s="8" t="s">
        <v>64</v>
      </c>
      <c r="N111" s="36"/>
      <c r="P111" s="32" t="s">
        <v>166</v>
      </c>
      <c r="Q111" s="23"/>
      <c r="R111" s="99" t="s">
        <v>56</v>
      </c>
      <c r="S111" s="23"/>
      <c r="T111" s="8" t="s">
        <v>64</v>
      </c>
      <c r="Y111" s="4"/>
      <c r="AA111" s="71"/>
    </row>
    <row r="112" spans="1:27" ht="12.75">
      <c r="A112" s="5">
        <f t="shared" si="16"/>
        <v>100</v>
      </c>
      <c r="D112" s="29" t="s">
        <v>141</v>
      </c>
      <c r="F112" s="20">
        <f>SUM(F107:F111)</f>
        <v>745132</v>
      </c>
      <c r="G112" s="23"/>
      <c r="H112" s="95">
        <f>+J112/F112</f>
        <v>0.8397254434650505</v>
      </c>
      <c r="J112" s="9">
        <f>SUM(J107:J111)</f>
        <v>625706.29914</v>
      </c>
      <c r="N112" s="35" t="str">
        <f>+D112</f>
        <v>Cust. Serv./ Information-Unadjusted</v>
      </c>
      <c r="P112" s="20">
        <f>SUM(P107:P111)</f>
        <v>629093</v>
      </c>
      <c r="Q112" s="23"/>
      <c r="R112" s="95">
        <f>+T112/P112</f>
        <v>1</v>
      </c>
      <c r="S112" s="23"/>
      <c r="T112" s="9">
        <f>SUM(T107:T111)</f>
        <v>629093</v>
      </c>
      <c r="W112" s="19"/>
      <c r="Y112" s="9"/>
      <c r="AA112" s="71"/>
    </row>
    <row r="113" spans="1:27" ht="12.75">
      <c r="A113" s="5">
        <f t="shared" si="16"/>
        <v>101</v>
      </c>
      <c r="D113" s="23"/>
      <c r="F113" s="20"/>
      <c r="G113" s="23"/>
      <c r="H113" s="95"/>
      <c r="J113" s="9"/>
      <c r="N113" s="36"/>
      <c r="P113" s="20"/>
      <c r="Q113" s="23"/>
      <c r="R113" s="95"/>
      <c r="S113" s="23"/>
      <c r="T113" s="9"/>
      <c r="AA113" s="71"/>
    </row>
    <row r="114" spans="1:27" ht="12.75">
      <c r="A114" s="5">
        <f t="shared" si="16"/>
        <v>102</v>
      </c>
      <c r="B114" s="23"/>
      <c r="C114" s="23"/>
      <c r="D114" s="52" t="s">
        <v>130</v>
      </c>
      <c r="E114" s="23"/>
      <c r="F114" s="20"/>
      <c r="G114" s="23"/>
      <c r="H114" s="95"/>
      <c r="J114" s="9"/>
      <c r="N114" s="35" t="str">
        <f>+D114</f>
        <v>Sales Expense</v>
      </c>
      <c r="P114" s="20"/>
      <c r="Q114" s="23"/>
      <c r="R114" s="95"/>
      <c r="S114" s="23"/>
      <c r="T114" s="9"/>
      <c r="W114" s="3"/>
      <c r="AA114" s="71"/>
    </row>
    <row r="115" spans="1:27" ht="12.75">
      <c r="A115" s="5">
        <f t="shared" si="16"/>
        <v>103</v>
      </c>
      <c r="B115" s="23">
        <v>911</v>
      </c>
      <c r="C115" s="23"/>
      <c r="D115" s="23" t="s">
        <v>198</v>
      </c>
      <c r="E115" s="23"/>
      <c r="F115" s="20">
        <v>51479</v>
      </c>
      <c r="G115" s="23"/>
      <c r="H115" s="95">
        <v>0.84214</v>
      </c>
      <c r="J115" s="9">
        <f>+F115*H115</f>
        <v>43352.52506</v>
      </c>
      <c r="L115">
        <f>+B115</f>
        <v>911</v>
      </c>
      <c r="N115" s="36" t="str">
        <f>+D115</f>
        <v>Supervision - Sales</v>
      </c>
      <c r="P115" s="20">
        <v>43352</v>
      </c>
      <c r="Q115" s="23"/>
      <c r="R115" s="95">
        <v>1</v>
      </c>
      <c r="S115" s="23"/>
      <c r="T115" s="9">
        <f>+P115*R115</f>
        <v>43352</v>
      </c>
      <c r="W115" s="19"/>
      <c r="Y115" s="9"/>
      <c r="AA115" s="71"/>
    </row>
    <row r="116" spans="1:27" ht="12.75">
      <c r="A116" s="5">
        <f t="shared" si="16"/>
        <v>104</v>
      </c>
      <c r="B116" s="23">
        <v>912</v>
      </c>
      <c r="C116" s="23"/>
      <c r="D116" s="23" t="s">
        <v>199</v>
      </c>
      <c r="E116" s="23"/>
      <c r="F116" s="20">
        <v>59901</v>
      </c>
      <c r="G116" s="23"/>
      <c r="H116" s="95">
        <v>1</v>
      </c>
      <c r="J116" s="9">
        <f>+F116*H116</f>
        <v>59901</v>
      </c>
      <c r="L116">
        <f>+B116</f>
        <v>912</v>
      </c>
      <c r="N116" s="36" t="str">
        <f>+D116</f>
        <v>Demonstrating and Sales Expense</v>
      </c>
      <c r="P116" s="20">
        <v>60101</v>
      </c>
      <c r="Q116" s="23"/>
      <c r="R116" s="95">
        <v>1</v>
      </c>
      <c r="S116" s="23"/>
      <c r="T116" s="9">
        <f>+P116*R116</f>
        <v>60101</v>
      </c>
      <c r="W116" s="19"/>
      <c r="Y116" s="9"/>
      <c r="AA116" s="71"/>
    </row>
    <row r="117" spans="1:27" ht="12.75">
      <c r="A117" s="5">
        <f t="shared" si="16"/>
        <v>105</v>
      </c>
      <c r="B117" s="23">
        <v>913</v>
      </c>
      <c r="C117" s="23"/>
      <c r="D117" s="23" t="s">
        <v>200</v>
      </c>
      <c r="E117" s="23"/>
      <c r="F117" s="20">
        <v>341015</v>
      </c>
      <c r="G117" s="23"/>
      <c r="H117" s="95">
        <v>0.90241</v>
      </c>
      <c r="J117" s="9">
        <f>+F117*H117</f>
        <v>307735.34615</v>
      </c>
      <c r="L117">
        <f>+B117</f>
        <v>913</v>
      </c>
      <c r="N117" s="36" t="str">
        <f>+D117</f>
        <v>Advertising Expense</v>
      </c>
      <c r="P117" s="20">
        <v>307734</v>
      </c>
      <c r="Q117" s="23"/>
      <c r="R117" s="95">
        <v>1</v>
      </c>
      <c r="S117" s="23"/>
      <c r="T117" s="9">
        <f>+P117*R117</f>
        <v>307734</v>
      </c>
      <c r="W117" s="19"/>
      <c r="Y117" s="9"/>
      <c r="AA117" s="71"/>
    </row>
    <row r="118" spans="1:27" ht="12.75">
      <c r="A118" s="5">
        <f t="shared" si="16"/>
        <v>106</v>
      </c>
      <c r="B118" s="23">
        <v>916</v>
      </c>
      <c r="C118" s="23"/>
      <c r="D118" s="23" t="s">
        <v>234</v>
      </c>
      <c r="E118" s="23"/>
      <c r="F118" s="20">
        <v>357896</v>
      </c>
      <c r="G118" s="23"/>
      <c r="H118" s="95">
        <v>0.94019</v>
      </c>
      <c r="J118" s="9">
        <f>+F118*H118</f>
        <v>336490.24024</v>
      </c>
      <c r="L118">
        <f>+B118</f>
        <v>916</v>
      </c>
      <c r="N118" s="36" t="str">
        <f>+D118</f>
        <v>Misc. Sales Expense</v>
      </c>
      <c r="P118" s="20">
        <v>336491</v>
      </c>
      <c r="Q118" s="23"/>
      <c r="R118" s="95">
        <v>1</v>
      </c>
      <c r="S118" s="23"/>
      <c r="T118" s="9">
        <f>+P118*R118</f>
        <v>336491</v>
      </c>
      <c r="W118" s="19"/>
      <c r="Y118" s="9"/>
      <c r="AA118" s="71"/>
    </row>
    <row r="119" spans="1:27" ht="12.75">
      <c r="A119" s="5">
        <f t="shared" si="16"/>
        <v>107</v>
      </c>
      <c r="D119" s="23"/>
      <c r="F119" s="32" t="s">
        <v>134</v>
      </c>
      <c r="G119" s="23"/>
      <c r="H119" s="99" t="s">
        <v>61</v>
      </c>
      <c r="J119" s="8" t="s">
        <v>64</v>
      </c>
      <c r="N119" s="36"/>
      <c r="P119" s="32" t="s">
        <v>135</v>
      </c>
      <c r="Q119" s="23"/>
      <c r="R119" s="99" t="s">
        <v>61</v>
      </c>
      <c r="S119" s="23"/>
      <c r="T119" s="8" t="s">
        <v>64</v>
      </c>
      <c r="Y119" s="4"/>
      <c r="AA119" s="71"/>
    </row>
    <row r="120" spans="1:27" ht="12.75">
      <c r="A120" s="5">
        <f t="shared" si="16"/>
        <v>108</v>
      </c>
      <c r="D120" s="52" t="s">
        <v>142</v>
      </c>
      <c r="F120" s="20">
        <f>SUM(F115:F119)</f>
        <v>810291</v>
      </c>
      <c r="G120" s="23"/>
      <c r="H120" s="95">
        <f>+J120/F120</f>
        <v>0.9224823075290235</v>
      </c>
      <c r="J120" s="9">
        <f>SUM(J115:J119)</f>
        <v>747479.11145</v>
      </c>
      <c r="N120" s="35" t="str">
        <f>+D120</f>
        <v>Sales Expense-Unadjusted</v>
      </c>
      <c r="P120" s="20">
        <f>SUM(P115:P119)</f>
        <v>747678</v>
      </c>
      <c r="Q120" s="23"/>
      <c r="R120" s="95">
        <f>+T120/P120</f>
        <v>1</v>
      </c>
      <c r="S120" s="23"/>
      <c r="T120" s="9">
        <f>SUM(T115:T119)</f>
        <v>747678</v>
      </c>
      <c r="W120" s="19"/>
      <c r="Y120" s="9"/>
      <c r="AA120" s="71"/>
    </row>
    <row r="121" spans="1:27" ht="12.75">
      <c r="A121" s="5">
        <f t="shared" si="16"/>
        <v>109</v>
      </c>
      <c r="D121" s="23"/>
      <c r="F121" s="20"/>
      <c r="G121" s="23"/>
      <c r="H121" s="95"/>
      <c r="J121" s="9"/>
      <c r="N121" s="36"/>
      <c r="P121" s="20"/>
      <c r="Q121" s="23"/>
      <c r="R121" s="95"/>
      <c r="S121" s="23"/>
      <c r="T121" s="9"/>
      <c r="AA121" s="71"/>
    </row>
    <row r="122" spans="1:27" ht="12.75">
      <c r="A122" s="5">
        <f t="shared" si="16"/>
        <v>110</v>
      </c>
      <c r="B122" s="23"/>
      <c r="C122" s="23"/>
      <c r="D122" s="41" t="s">
        <v>131</v>
      </c>
      <c r="E122" s="23"/>
      <c r="F122" s="20"/>
      <c r="G122" s="23"/>
      <c r="H122" s="95"/>
      <c r="J122" s="9"/>
      <c r="N122" s="35" t="str">
        <f>+D122</f>
        <v>Admin. &amp; General Expense</v>
      </c>
      <c r="P122" s="20"/>
      <c r="Q122" s="23"/>
      <c r="R122" s="95"/>
      <c r="S122" s="23"/>
      <c r="T122" s="9"/>
      <c r="W122" s="3"/>
      <c r="AA122" s="71"/>
    </row>
    <row r="123" spans="1:27" ht="12.75">
      <c r="A123" s="5">
        <f t="shared" si="16"/>
        <v>111</v>
      </c>
      <c r="B123" s="23">
        <v>920</v>
      </c>
      <c r="C123" s="23"/>
      <c r="D123" s="23" t="s">
        <v>201</v>
      </c>
      <c r="E123" s="23"/>
      <c r="F123" s="20">
        <v>9493982</v>
      </c>
      <c r="G123" s="23"/>
      <c r="H123" s="95">
        <v>0.84171</v>
      </c>
      <c r="J123" s="9">
        <f aca="true" t="shared" si="17" ref="J123:J135">+F123*H123</f>
        <v>7991179.5892199995</v>
      </c>
      <c r="L123">
        <f aca="true" t="shared" si="18" ref="L123:L135">+B123</f>
        <v>920</v>
      </c>
      <c r="N123" s="36" t="str">
        <f>+D123</f>
        <v>Admin. &amp; General Expense  - Salaries</v>
      </c>
      <c r="O123" s="23"/>
      <c r="P123" s="20">
        <v>8035362</v>
      </c>
      <c r="Q123" s="23"/>
      <c r="R123" s="95">
        <v>0.9945133</v>
      </c>
      <c r="S123" s="23"/>
      <c r="T123" s="9">
        <f aca="true" t="shared" si="19" ref="T123:T135">+P123*R123</f>
        <v>7991274.3793146005</v>
      </c>
      <c r="W123" s="19"/>
      <c r="Y123" s="9"/>
      <c r="AA123" s="71"/>
    </row>
    <row r="124" spans="1:27" ht="12.75">
      <c r="A124" s="5">
        <f t="shared" si="16"/>
        <v>112</v>
      </c>
      <c r="B124" s="23">
        <v>921</v>
      </c>
      <c r="C124" s="23"/>
      <c r="D124" s="23" t="s">
        <v>202</v>
      </c>
      <c r="E124" s="23"/>
      <c r="F124" s="20">
        <v>9621142</v>
      </c>
      <c r="G124" s="23"/>
      <c r="H124" s="95">
        <v>0.86397</v>
      </c>
      <c r="J124" s="9">
        <f t="shared" si="17"/>
        <v>8312378.05374</v>
      </c>
      <c r="L124">
        <f t="shared" si="18"/>
        <v>921</v>
      </c>
      <c r="N124" s="36" t="str">
        <f aca="true" t="shared" si="20" ref="N124:N131">+D124</f>
        <v>Office Supplies and Expense</v>
      </c>
      <c r="O124" s="23"/>
      <c r="P124" s="20">
        <v>8358162</v>
      </c>
      <c r="Q124" s="23"/>
      <c r="R124" s="95">
        <v>0.9945133</v>
      </c>
      <c r="S124" s="23"/>
      <c r="T124" s="9">
        <f t="shared" si="19"/>
        <v>8312303.272554601</v>
      </c>
      <c r="W124" s="19"/>
      <c r="Y124" s="9"/>
      <c r="AA124" s="71"/>
    </row>
    <row r="125" spans="1:27" ht="12.75">
      <c r="A125" s="5">
        <f t="shared" si="16"/>
        <v>113</v>
      </c>
      <c r="B125" s="23">
        <v>922</v>
      </c>
      <c r="C125" s="23"/>
      <c r="D125" s="23" t="s">
        <v>203</v>
      </c>
      <c r="E125" s="23"/>
      <c r="F125" s="20">
        <v>-1797736</v>
      </c>
      <c r="G125" s="23"/>
      <c r="H125" s="95">
        <v>0.87456</v>
      </c>
      <c r="J125" s="9">
        <f t="shared" si="17"/>
        <v>-1572227.99616</v>
      </c>
      <c r="L125">
        <f t="shared" si="18"/>
        <v>922</v>
      </c>
      <c r="N125" s="36" t="str">
        <f t="shared" si="20"/>
        <v>Admin. &amp; Gen. Expense - Construction</v>
      </c>
      <c r="O125" s="23"/>
      <c r="P125" s="20">
        <f>-1091204-489262</f>
        <v>-1580466</v>
      </c>
      <c r="Q125" s="23"/>
      <c r="R125" s="95">
        <v>0.9945133</v>
      </c>
      <c r="S125" s="23"/>
      <c r="T125" s="9">
        <f t="shared" si="19"/>
        <v>-1571794.4571978</v>
      </c>
      <c r="W125" s="19"/>
      <c r="Y125" s="9"/>
      <c r="AA125" s="71"/>
    </row>
    <row r="126" spans="1:27" ht="12.75">
      <c r="A126" s="5">
        <f t="shared" si="16"/>
        <v>114</v>
      </c>
      <c r="B126" s="23">
        <v>923</v>
      </c>
      <c r="C126" s="23"/>
      <c r="D126" s="23" t="s">
        <v>204</v>
      </c>
      <c r="E126" s="23"/>
      <c r="F126" s="20">
        <v>3965838</v>
      </c>
      <c r="G126" s="23"/>
      <c r="H126" s="95">
        <v>0.87518</v>
      </c>
      <c r="J126" s="9">
        <f t="shared" si="17"/>
        <v>3470822.10084</v>
      </c>
      <c r="L126">
        <f t="shared" si="18"/>
        <v>923</v>
      </c>
      <c r="N126" s="36" t="str">
        <f t="shared" si="20"/>
        <v>Outside Services</v>
      </c>
      <c r="O126" s="23"/>
      <c r="P126" s="20">
        <v>3488761</v>
      </c>
      <c r="Q126" s="23"/>
      <c r="R126" s="95">
        <v>0.9945133</v>
      </c>
      <c r="S126" s="23"/>
      <c r="T126" s="9">
        <f t="shared" si="19"/>
        <v>3469619.2150213</v>
      </c>
      <c r="W126" s="19"/>
      <c r="Y126" s="9"/>
      <c r="AA126" s="71"/>
    </row>
    <row r="127" spans="1:27" ht="12.75">
      <c r="A127" s="5">
        <f t="shared" si="16"/>
        <v>115</v>
      </c>
      <c r="B127" s="23">
        <v>924</v>
      </c>
      <c r="C127" s="23"/>
      <c r="D127" s="23" t="s">
        <v>205</v>
      </c>
      <c r="E127" s="23"/>
      <c r="F127" s="20">
        <v>919216</v>
      </c>
      <c r="G127" s="23"/>
      <c r="H127" s="95">
        <v>0.99451</v>
      </c>
      <c r="J127" s="9">
        <f t="shared" si="17"/>
        <v>914169.50416</v>
      </c>
      <c r="L127">
        <f t="shared" si="18"/>
        <v>924</v>
      </c>
      <c r="N127" s="36" t="str">
        <f t="shared" si="20"/>
        <v>Property Insurance</v>
      </c>
      <c r="O127" s="23"/>
      <c r="P127" s="20">
        <v>919217</v>
      </c>
      <c r="Q127" s="23"/>
      <c r="R127" s="95">
        <v>0.9938497</v>
      </c>
      <c r="S127" s="23"/>
      <c r="T127" s="9">
        <f t="shared" si="19"/>
        <v>913563.5396849</v>
      </c>
      <c r="W127" s="19"/>
      <c r="Y127" s="9"/>
      <c r="AA127" s="71"/>
    </row>
    <row r="128" spans="1:27" ht="12.75">
      <c r="A128" s="5">
        <f t="shared" si="16"/>
        <v>116</v>
      </c>
      <c r="B128" s="23">
        <v>925</v>
      </c>
      <c r="C128" s="23"/>
      <c r="D128" s="23" t="s">
        <v>206</v>
      </c>
      <c r="E128" s="23"/>
      <c r="F128" s="20">
        <v>2305770</v>
      </c>
      <c r="G128" s="23"/>
      <c r="H128" s="95">
        <v>0.64556</v>
      </c>
      <c r="J128" s="9">
        <f t="shared" si="17"/>
        <v>1488512.8812</v>
      </c>
      <c r="L128">
        <f t="shared" si="18"/>
        <v>925</v>
      </c>
      <c r="N128" s="36" t="str">
        <f t="shared" si="20"/>
        <v>Injuries and Damages Expense</v>
      </c>
      <c r="O128" s="23"/>
      <c r="P128" s="20">
        <v>1496731</v>
      </c>
      <c r="Q128" s="23"/>
      <c r="R128" s="95">
        <v>0.9945133</v>
      </c>
      <c r="S128" s="23"/>
      <c r="T128" s="9">
        <f t="shared" si="19"/>
        <v>1488518.8860223</v>
      </c>
      <c r="W128" s="19"/>
      <c r="Y128" s="9"/>
      <c r="AA128" s="71"/>
    </row>
    <row r="129" spans="1:27" ht="12.75">
      <c r="A129" s="5">
        <f t="shared" si="16"/>
        <v>117</v>
      </c>
      <c r="B129" s="23">
        <v>926</v>
      </c>
      <c r="C129" s="23"/>
      <c r="D129" s="23" t="s">
        <v>207</v>
      </c>
      <c r="E129" s="23"/>
      <c r="F129" s="20">
        <v>10936104</v>
      </c>
      <c r="G129" s="23"/>
      <c r="H129" s="95">
        <v>0.86327</v>
      </c>
      <c r="J129" s="9">
        <f t="shared" si="17"/>
        <v>9440810.50008</v>
      </c>
      <c r="L129">
        <f t="shared" si="18"/>
        <v>926</v>
      </c>
      <c r="N129" s="36" t="str">
        <f t="shared" si="20"/>
        <v>Pensions and Benefits</v>
      </c>
      <c r="O129" s="23"/>
      <c r="P129" s="20">
        <v>9493024</v>
      </c>
      <c r="Q129" s="23"/>
      <c r="R129" s="95">
        <v>0.9945133</v>
      </c>
      <c r="S129" s="23"/>
      <c r="T129" s="9">
        <f t="shared" si="19"/>
        <v>9440938.6252192</v>
      </c>
      <c r="W129" s="19"/>
      <c r="Y129" s="9"/>
      <c r="AA129" s="71"/>
    </row>
    <row r="130" spans="1:27" ht="12.75">
      <c r="A130" s="5">
        <f t="shared" si="16"/>
        <v>118</v>
      </c>
      <c r="B130" s="23">
        <v>928</v>
      </c>
      <c r="C130" s="23"/>
      <c r="D130" s="23" t="s">
        <v>208</v>
      </c>
      <c r="E130" s="23"/>
      <c r="F130" s="20">
        <v>951593</v>
      </c>
      <c r="G130" s="23"/>
      <c r="H130" s="95">
        <v>0.82241</v>
      </c>
      <c r="J130" s="9">
        <f t="shared" si="17"/>
        <v>782599.59913</v>
      </c>
      <c r="L130">
        <f t="shared" si="18"/>
        <v>928</v>
      </c>
      <c r="N130" s="36" t="str">
        <f t="shared" si="20"/>
        <v>Regulatory Commission Expense</v>
      </c>
      <c r="O130" s="23"/>
      <c r="P130" s="20">
        <v>782595</v>
      </c>
      <c r="Q130" s="23"/>
      <c r="R130" s="95">
        <v>1</v>
      </c>
      <c r="S130" s="23"/>
      <c r="T130" s="9">
        <f t="shared" si="19"/>
        <v>782595</v>
      </c>
      <c r="W130" s="19"/>
      <c r="Y130" s="9"/>
      <c r="AA130" s="71"/>
    </row>
    <row r="131" spans="1:27" ht="12.75">
      <c r="A131" s="5">
        <f t="shared" si="16"/>
        <v>119</v>
      </c>
      <c r="B131" s="23">
        <v>929</v>
      </c>
      <c r="C131" s="23"/>
      <c r="D131" s="23" t="s">
        <v>209</v>
      </c>
      <c r="E131" s="23"/>
      <c r="F131" s="20">
        <v>-215339</v>
      </c>
      <c r="G131" s="23"/>
      <c r="H131" s="95">
        <v>0.99451</v>
      </c>
      <c r="J131" s="9">
        <f t="shared" si="17"/>
        <v>-214156.78889</v>
      </c>
      <c r="L131">
        <f t="shared" si="18"/>
        <v>929</v>
      </c>
      <c r="N131" s="36" t="str">
        <f t="shared" si="20"/>
        <v>Duplicate Charges</v>
      </c>
      <c r="O131" s="23"/>
      <c r="P131" s="20">
        <v>-215339</v>
      </c>
      <c r="Q131" s="23"/>
      <c r="R131" s="95">
        <v>0.9945133</v>
      </c>
      <c r="S131" s="23"/>
      <c r="T131" s="9">
        <f t="shared" si="19"/>
        <v>-214157.4995087</v>
      </c>
      <c r="W131" s="19"/>
      <c r="Y131" s="9"/>
      <c r="AA131" s="71"/>
    </row>
    <row r="132" spans="1:27" ht="12.75">
      <c r="A132" s="5">
        <f t="shared" si="16"/>
        <v>120</v>
      </c>
      <c r="B132" s="23">
        <v>930</v>
      </c>
      <c r="C132" s="97">
        <v>1</v>
      </c>
      <c r="D132" s="23" t="s">
        <v>329</v>
      </c>
      <c r="E132" s="23"/>
      <c r="F132" s="20">
        <v>0</v>
      </c>
      <c r="G132" s="23"/>
      <c r="H132" s="95">
        <v>0.86714</v>
      </c>
      <c r="J132" s="9">
        <f t="shared" si="17"/>
        <v>0</v>
      </c>
      <c r="L132">
        <f>+B132</f>
        <v>930</v>
      </c>
      <c r="N132" s="36" t="str">
        <f>+D132</f>
        <v>General Advertising Expense</v>
      </c>
      <c r="O132" s="23"/>
      <c r="P132" s="20">
        <v>0</v>
      </c>
      <c r="Q132" s="23"/>
      <c r="R132" s="95">
        <v>0.9945133</v>
      </c>
      <c r="S132" s="23"/>
      <c r="T132" s="9">
        <f t="shared" si="19"/>
        <v>0</v>
      </c>
      <c r="W132" s="19"/>
      <c r="Y132" s="9"/>
      <c r="AA132" s="71"/>
    </row>
    <row r="133" spans="1:27" ht="12.75">
      <c r="A133" s="5">
        <f t="shared" si="16"/>
        <v>121</v>
      </c>
      <c r="B133" s="23">
        <v>930</v>
      </c>
      <c r="C133" s="97">
        <v>2</v>
      </c>
      <c r="D133" s="23" t="s">
        <v>210</v>
      </c>
      <c r="E133" s="23"/>
      <c r="F133" s="20">
        <v>785419</v>
      </c>
      <c r="G133" s="23"/>
      <c r="H133" s="95">
        <v>0.86714</v>
      </c>
      <c r="J133" s="9">
        <f t="shared" si="17"/>
        <v>681068.23166</v>
      </c>
      <c r="L133">
        <f>+B133</f>
        <v>930</v>
      </c>
      <c r="N133" s="36" t="str">
        <f>+D133</f>
        <v>Misc. General Expense</v>
      </c>
      <c r="O133" s="23"/>
      <c r="P133" s="20">
        <f>635992+56010</f>
        <v>692002</v>
      </c>
      <c r="Q133" s="23"/>
      <c r="R133" s="95">
        <v>0.9945133</v>
      </c>
      <c r="S133" s="23"/>
      <c r="T133" s="9">
        <f t="shared" si="19"/>
        <v>688205.1926266</v>
      </c>
      <c r="W133" s="19"/>
      <c r="Y133" s="9"/>
      <c r="AA133" s="71"/>
    </row>
    <row r="134" spans="1:27" ht="12.75">
      <c r="A134" s="5">
        <f t="shared" si="16"/>
        <v>122</v>
      </c>
      <c r="B134" s="23">
        <v>931</v>
      </c>
      <c r="C134" s="23"/>
      <c r="D134" s="23" t="s">
        <v>211</v>
      </c>
      <c r="E134" s="23"/>
      <c r="F134" s="20">
        <v>226349</v>
      </c>
      <c r="G134" s="23"/>
      <c r="H134" s="95">
        <v>0.86064</v>
      </c>
      <c r="J134" s="9">
        <f t="shared" si="17"/>
        <v>194805.00336</v>
      </c>
      <c r="L134">
        <f t="shared" si="18"/>
        <v>931</v>
      </c>
      <c r="N134" s="36" t="str">
        <f>+D134</f>
        <v>Rents - General &amp; Administrative</v>
      </c>
      <c r="O134" s="23"/>
      <c r="P134" s="20">
        <v>195880</v>
      </c>
      <c r="Q134" s="23"/>
      <c r="R134" s="95">
        <v>0.9945133</v>
      </c>
      <c r="S134" s="23"/>
      <c r="T134" s="9">
        <f t="shared" si="19"/>
        <v>194805.265204</v>
      </c>
      <c r="W134" s="19"/>
      <c r="Y134" s="9"/>
      <c r="AA134" s="71"/>
    </row>
    <row r="135" spans="1:27" ht="12.75">
      <c r="A135" s="5">
        <f t="shared" si="16"/>
        <v>123</v>
      </c>
      <c r="B135" s="23">
        <v>935</v>
      </c>
      <c r="C135" s="23"/>
      <c r="D135" s="23" t="s">
        <v>212</v>
      </c>
      <c r="E135" s="23"/>
      <c r="F135" s="20">
        <v>599510</v>
      </c>
      <c r="G135" s="23"/>
      <c r="H135" s="95">
        <v>0.92298</v>
      </c>
      <c r="J135" s="9">
        <f t="shared" si="17"/>
        <v>553335.7398</v>
      </c>
      <c r="L135">
        <f t="shared" si="18"/>
        <v>935</v>
      </c>
      <c r="N135" s="36" t="str">
        <f>+D135</f>
        <v>Maintenance of General Plant</v>
      </c>
      <c r="O135" s="23"/>
      <c r="P135" s="20">
        <v>556391</v>
      </c>
      <c r="Q135" s="23"/>
      <c r="R135" s="95">
        <v>0.9945133</v>
      </c>
      <c r="S135" s="23"/>
      <c r="T135" s="9">
        <f t="shared" si="19"/>
        <v>553338.2495003</v>
      </c>
      <c r="W135" s="19"/>
      <c r="Y135" s="9"/>
      <c r="AA135" s="71"/>
    </row>
    <row r="136" spans="1:27" ht="12.75">
      <c r="A136" s="5">
        <f t="shared" si="16"/>
        <v>124</v>
      </c>
      <c r="D136" s="23"/>
      <c r="F136" s="32" t="s">
        <v>134</v>
      </c>
      <c r="G136" s="23"/>
      <c r="H136" s="99" t="s">
        <v>61</v>
      </c>
      <c r="J136" s="8" t="s">
        <v>31</v>
      </c>
      <c r="N136" s="36"/>
      <c r="P136" s="73" t="s">
        <v>134</v>
      </c>
      <c r="Q136" s="23"/>
      <c r="R136" s="99" t="s">
        <v>61</v>
      </c>
      <c r="S136" s="23"/>
      <c r="T136" s="8" t="s">
        <v>31</v>
      </c>
      <c r="Y136" s="4"/>
      <c r="AA136" s="71"/>
    </row>
    <row r="137" spans="1:27" ht="12.75">
      <c r="A137" s="5">
        <f t="shared" si="16"/>
        <v>125</v>
      </c>
      <c r="D137" s="29" t="s">
        <v>330</v>
      </c>
      <c r="F137" s="20">
        <f>SUM(F123:F136)</f>
        <v>37791848</v>
      </c>
      <c r="G137" s="23"/>
      <c r="H137" s="95">
        <f>+J137/F137</f>
        <v>0.8478891113803168</v>
      </c>
      <c r="J137" s="9">
        <f>SUM(J123:J136)</f>
        <v>32043296.41814</v>
      </c>
      <c r="N137" s="35" t="str">
        <f>+D137</f>
        <v>Total Administrative &amp; General Expense</v>
      </c>
      <c r="P137" s="20">
        <f>SUM(P123:P136)</f>
        <v>32222320</v>
      </c>
      <c r="Q137" s="23"/>
      <c r="R137" s="95">
        <f>+T137/P137</f>
        <v>0.9946276267022766</v>
      </c>
      <c r="S137" s="23"/>
      <c r="T137" s="9">
        <f>SUM(T123:T136)</f>
        <v>32049209.6684413</v>
      </c>
      <c r="W137" s="19"/>
      <c r="Y137" s="9"/>
      <c r="AA137" s="71"/>
    </row>
    <row r="138" spans="1:27" ht="12.75">
      <c r="A138" s="5">
        <f t="shared" si="16"/>
        <v>126</v>
      </c>
      <c r="D138" s="23"/>
      <c r="F138" s="20"/>
      <c r="G138" s="23"/>
      <c r="H138" s="95"/>
      <c r="J138" s="9"/>
      <c r="L138" s="23"/>
      <c r="M138" s="23"/>
      <c r="N138" s="36"/>
      <c r="O138" s="23"/>
      <c r="P138" s="20"/>
      <c r="Q138" s="23"/>
      <c r="R138" s="95"/>
      <c r="S138" s="23"/>
      <c r="T138" s="20"/>
      <c r="U138" s="23"/>
      <c r="V138" s="23"/>
      <c r="AA138" s="71"/>
    </row>
    <row r="139" spans="1:27" ht="12.75">
      <c r="A139" s="5">
        <f t="shared" si="16"/>
        <v>127</v>
      </c>
      <c r="B139" s="23"/>
      <c r="C139" s="23"/>
      <c r="D139" s="41" t="s">
        <v>132</v>
      </c>
      <c r="E139" s="23"/>
      <c r="F139" s="20"/>
      <c r="G139" s="23"/>
      <c r="H139" s="95"/>
      <c r="I139" s="23"/>
      <c r="J139" s="9"/>
      <c r="N139" s="35" t="str">
        <f>+D139</f>
        <v>Depreciation Expense</v>
      </c>
      <c r="P139" s="20"/>
      <c r="Q139" s="23"/>
      <c r="R139" s="95"/>
      <c r="S139" s="23"/>
      <c r="T139" s="9"/>
      <c r="W139" s="19"/>
      <c r="AA139" s="71"/>
    </row>
    <row r="140" spans="1:27" ht="12.75">
      <c r="A140" s="5">
        <f t="shared" si="16"/>
        <v>128</v>
      </c>
      <c r="B140" s="23">
        <v>403</v>
      </c>
      <c r="C140" s="23"/>
      <c r="D140" s="23" t="s">
        <v>132</v>
      </c>
      <c r="E140" s="23"/>
      <c r="F140" s="20">
        <v>38097593</v>
      </c>
      <c r="G140" s="23"/>
      <c r="H140" s="95">
        <v>0.99385</v>
      </c>
      <c r="I140" s="23"/>
      <c r="J140" s="9">
        <f>+F140*H140</f>
        <v>37863292.803050004</v>
      </c>
      <c r="L140">
        <f>+B140</f>
        <v>403</v>
      </c>
      <c r="N140" s="36" t="str">
        <f>+D140</f>
        <v>Depreciation Expense</v>
      </c>
      <c r="O140" s="23"/>
      <c r="P140" s="20">
        <f>34644685-38323</f>
        <v>34606362</v>
      </c>
      <c r="Q140" s="23"/>
      <c r="R140" s="95">
        <v>0.9938497</v>
      </c>
      <c r="S140" s="23"/>
      <c r="T140" s="9">
        <f>+P140*R140</f>
        <v>34393522.4917914</v>
      </c>
      <c r="W140" s="19"/>
      <c r="Y140" s="9"/>
      <c r="AA140" s="71"/>
    </row>
    <row r="141" spans="1:27" ht="12.75">
      <c r="A141" s="5"/>
      <c r="B141" s="23"/>
      <c r="C141" s="23"/>
      <c r="D141" s="23"/>
      <c r="E141" s="23"/>
      <c r="F141" s="20"/>
      <c r="G141" s="23"/>
      <c r="H141" s="95"/>
      <c r="I141" s="23"/>
      <c r="J141" s="9"/>
      <c r="N141" s="36"/>
      <c r="O141" s="23"/>
      <c r="P141" s="20"/>
      <c r="Q141" s="23"/>
      <c r="R141" s="95"/>
      <c r="S141" s="23"/>
      <c r="T141" s="9"/>
      <c r="W141" s="19"/>
      <c r="Y141" s="9"/>
      <c r="AA141" s="71"/>
    </row>
    <row r="142" spans="1:27" ht="12.75">
      <c r="A142" s="5"/>
      <c r="B142" s="23"/>
      <c r="C142" s="23"/>
      <c r="D142" s="41" t="s">
        <v>387</v>
      </c>
      <c r="E142" s="23"/>
      <c r="F142" s="20"/>
      <c r="G142" s="23"/>
      <c r="H142" s="95"/>
      <c r="I142" s="23"/>
      <c r="J142" s="9"/>
      <c r="N142" s="37" t="str">
        <f>+D142</f>
        <v>Amortization &amp;  Expense</v>
      </c>
      <c r="O142" s="23"/>
      <c r="P142" s="20"/>
      <c r="Q142" s="23"/>
      <c r="R142" s="95"/>
      <c r="S142" s="23"/>
      <c r="T142" s="9"/>
      <c r="W142" s="19"/>
      <c r="Y142" s="9"/>
      <c r="AA142" s="71"/>
    </row>
    <row r="143" spans="1:27" ht="12.75">
      <c r="A143" s="5">
        <f>+A140+1</f>
        <v>129</v>
      </c>
      <c r="B143" s="23">
        <v>404</v>
      </c>
      <c r="C143" s="23"/>
      <c r="D143" s="23" t="s">
        <v>237</v>
      </c>
      <c r="E143" s="23"/>
      <c r="F143" s="20">
        <v>1814331</v>
      </c>
      <c r="G143" s="23"/>
      <c r="H143" s="95">
        <v>0.91373</v>
      </c>
      <c r="I143" s="23"/>
      <c r="J143" s="9">
        <f>+F143*H143</f>
        <v>1657808.66463</v>
      </c>
      <c r="L143">
        <f>+B143</f>
        <v>404</v>
      </c>
      <c r="N143" s="37" t="str">
        <f>+D143</f>
        <v>Amortization Expense</v>
      </c>
      <c r="O143" s="23"/>
      <c r="P143" s="20">
        <f>146987+1617000</f>
        <v>1763987</v>
      </c>
      <c r="Q143" s="23"/>
      <c r="R143" s="95">
        <v>0.9938497</v>
      </c>
      <c r="S143" s="23"/>
      <c r="T143" s="9">
        <f>+P143*R143</f>
        <v>1753137.9507539</v>
      </c>
      <c r="W143" s="19"/>
      <c r="Y143" s="9"/>
      <c r="AA143" s="71"/>
    </row>
    <row r="144" spans="1:27" ht="12.75">
      <c r="A144" s="5">
        <f t="shared" si="16"/>
        <v>130</v>
      </c>
      <c r="B144" s="23">
        <v>403</v>
      </c>
      <c r="C144" s="23"/>
      <c r="D144" s="23" t="s">
        <v>331</v>
      </c>
      <c r="E144" s="23"/>
      <c r="F144" s="20">
        <v>0</v>
      </c>
      <c r="G144" s="23"/>
      <c r="H144" s="95">
        <v>0.99385</v>
      </c>
      <c r="I144" s="23"/>
      <c r="J144" s="9">
        <f>+F144*H144</f>
        <v>0</v>
      </c>
      <c r="L144">
        <f>+B144</f>
        <v>403</v>
      </c>
      <c r="N144" s="36" t="str">
        <f>+D144</f>
        <v>Cost of Removal / Salvage</v>
      </c>
      <c r="O144" s="23"/>
      <c r="P144" s="20">
        <f>+F144</f>
        <v>0</v>
      </c>
      <c r="Q144" s="23"/>
      <c r="R144" s="95"/>
      <c r="S144" s="23"/>
      <c r="T144" s="9">
        <f>+P144*R144</f>
        <v>0</v>
      </c>
      <c r="W144" s="19"/>
      <c r="Y144" s="9"/>
      <c r="AA144" s="71"/>
    </row>
    <row r="145" spans="1:27" ht="12.75">
      <c r="A145" s="5">
        <f t="shared" si="16"/>
        <v>131</v>
      </c>
      <c r="D145" s="23"/>
      <c r="F145" s="32" t="s">
        <v>58</v>
      </c>
      <c r="G145" s="23"/>
      <c r="H145" s="99" t="s">
        <v>56</v>
      </c>
      <c r="J145" s="8" t="s">
        <v>31</v>
      </c>
      <c r="N145" s="36"/>
      <c r="P145" s="73" t="s">
        <v>134</v>
      </c>
      <c r="Q145" s="23"/>
      <c r="R145" s="99" t="s">
        <v>61</v>
      </c>
      <c r="S145" s="23"/>
      <c r="T145" s="8" t="s">
        <v>31</v>
      </c>
      <c r="Y145" s="4"/>
      <c r="AA145" s="71"/>
    </row>
    <row r="146" spans="1:27" ht="12.75">
      <c r="A146" s="5">
        <f t="shared" si="16"/>
        <v>132</v>
      </c>
      <c r="D146" s="29" t="s">
        <v>388</v>
      </c>
      <c r="F146" s="20">
        <f>+F143+F144</f>
        <v>1814331</v>
      </c>
      <c r="G146" s="23"/>
      <c r="H146" s="95">
        <f>+J146/F146</f>
        <v>0.91373</v>
      </c>
      <c r="J146" s="9">
        <f>+J143+J144</f>
        <v>1657808.66463</v>
      </c>
      <c r="N146" s="35" t="str">
        <f>+D146</f>
        <v>Total Amortization &amp; Net Salvage</v>
      </c>
      <c r="P146" s="20">
        <f>+P143+P144</f>
        <v>1763987</v>
      </c>
      <c r="Q146" s="23"/>
      <c r="R146" s="95">
        <f>+T146/P146</f>
        <v>0.9938497</v>
      </c>
      <c r="S146" s="23"/>
      <c r="T146" s="9">
        <f>+T143+T144</f>
        <v>1753137.9507539</v>
      </c>
      <c r="W146" s="19"/>
      <c r="Y146" s="9"/>
      <c r="AA146" s="71"/>
    </row>
    <row r="147" spans="1:27" ht="12.75">
      <c r="A147" s="5">
        <f t="shared" si="16"/>
        <v>133</v>
      </c>
      <c r="B147" s="23"/>
      <c r="C147" s="23"/>
      <c r="D147" s="23"/>
      <c r="E147" s="23"/>
      <c r="F147" s="20"/>
      <c r="G147" s="23"/>
      <c r="H147" s="95"/>
      <c r="I147" s="23"/>
      <c r="J147" s="9"/>
      <c r="N147" s="36"/>
      <c r="P147" s="20"/>
      <c r="Q147" s="23"/>
      <c r="R147" s="95"/>
      <c r="S147" s="23"/>
      <c r="T147" s="9"/>
      <c r="AA147" s="71"/>
    </row>
    <row r="148" spans="1:27" ht="12.75">
      <c r="A148" s="5">
        <f t="shared" si="16"/>
        <v>134</v>
      </c>
      <c r="B148" s="23"/>
      <c r="C148" s="23"/>
      <c r="D148" s="29" t="s">
        <v>133</v>
      </c>
      <c r="E148" s="23"/>
      <c r="F148" s="20"/>
      <c r="G148" s="23"/>
      <c r="H148" s="95"/>
      <c r="I148" s="23"/>
      <c r="J148" s="9"/>
      <c r="N148" s="35" t="str">
        <f aca="true" t="shared" si="21" ref="N148:N153">+D148</f>
        <v>Taxes Other than Income Tax</v>
      </c>
      <c r="P148" s="20"/>
      <c r="Q148" s="23"/>
      <c r="R148" s="95"/>
      <c r="S148" s="23"/>
      <c r="T148" s="9"/>
      <c r="W148" s="19"/>
      <c r="AA148" s="71"/>
    </row>
    <row r="149" spans="1:27" ht="12.75">
      <c r="A149" s="5">
        <f t="shared" si="16"/>
        <v>135</v>
      </c>
      <c r="B149" s="23">
        <v>408</v>
      </c>
      <c r="C149" s="23"/>
      <c r="D149" s="23" t="s">
        <v>235</v>
      </c>
      <c r="E149" s="23"/>
      <c r="F149" s="20"/>
      <c r="G149" s="23"/>
      <c r="H149" s="95">
        <v>0.93106</v>
      </c>
      <c r="I149" s="23"/>
      <c r="J149" s="9">
        <f>+F149*H149</f>
        <v>0</v>
      </c>
      <c r="L149">
        <f>+B149</f>
        <v>408</v>
      </c>
      <c r="N149" s="36" t="str">
        <f t="shared" si="21"/>
        <v>Payroll Taxes</v>
      </c>
      <c r="P149" s="20">
        <v>1518026</v>
      </c>
      <c r="Q149" s="23"/>
      <c r="R149" s="95">
        <v>0.9945133</v>
      </c>
      <c r="S149" s="23"/>
      <c r="T149" s="9">
        <f>+P149*R149</f>
        <v>1509697.0467458002</v>
      </c>
      <c r="W149" s="19"/>
      <c r="Y149" s="9"/>
      <c r="AA149" s="71"/>
    </row>
    <row r="150" spans="1:27" ht="12.75">
      <c r="A150" s="5">
        <f t="shared" si="16"/>
        <v>136</v>
      </c>
      <c r="B150" s="23">
        <v>408</v>
      </c>
      <c r="C150" s="23"/>
      <c r="D150" s="23" t="s">
        <v>236</v>
      </c>
      <c r="E150" s="23"/>
      <c r="F150" s="20"/>
      <c r="G150" s="23"/>
      <c r="H150" s="95">
        <v>0.93106</v>
      </c>
      <c r="I150" s="23"/>
      <c r="J150" s="9">
        <f>+F150*H150</f>
        <v>0</v>
      </c>
      <c r="L150">
        <f>+B150</f>
        <v>408</v>
      </c>
      <c r="N150" s="36" t="str">
        <f t="shared" si="21"/>
        <v>Property Taxes</v>
      </c>
      <c r="P150" s="20">
        <v>11696747</v>
      </c>
      <c r="Q150" s="23"/>
      <c r="R150" s="95">
        <v>0.9938497</v>
      </c>
      <c r="S150" s="23"/>
      <c r="T150" s="9">
        <f>+P150*R150</f>
        <v>11624808.4969259</v>
      </c>
      <c r="W150" s="19"/>
      <c r="Y150" s="9"/>
      <c r="AA150" s="71"/>
    </row>
    <row r="151" spans="1:27" ht="12.75">
      <c r="A151" s="5">
        <f t="shared" si="16"/>
        <v>137</v>
      </c>
      <c r="B151" s="23">
        <v>408</v>
      </c>
      <c r="C151" s="23"/>
      <c r="D151" s="23" t="s">
        <v>332</v>
      </c>
      <c r="E151" s="23"/>
      <c r="F151" s="20"/>
      <c r="G151" s="23"/>
      <c r="H151" s="95">
        <v>0.93106</v>
      </c>
      <c r="I151" s="23"/>
      <c r="J151" s="9">
        <f>+F151*H151</f>
        <v>0</v>
      </c>
      <c r="L151">
        <f>+B151</f>
        <v>408</v>
      </c>
      <c r="N151" s="36" t="str">
        <f t="shared" si="21"/>
        <v>City Franchise Taxes</v>
      </c>
      <c r="P151" s="20">
        <v>0</v>
      </c>
      <c r="Q151" s="23"/>
      <c r="R151" s="95">
        <v>1</v>
      </c>
      <c r="S151" s="23"/>
      <c r="T151" s="9">
        <f>+P151*R151</f>
        <v>0</v>
      </c>
      <c r="W151" s="19"/>
      <c r="Y151" s="9"/>
      <c r="AA151" s="71"/>
    </row>
    <row r="152" spans="1:27" ht="12.75">
      <c r="A152" s="5">
        <f t="shared" si="16"/>
        <v>138</v>
      </c>
      <c r="B152" s="23">
        <v>408</v>
      </c>
      <c r="C152" s="23"/>
      <c r="D152" s="23" t="s">
        <v>333</v>
      </c>
      <c r="E152" s="23"/>
      <c r="F152" s="20">
        <v>13937825</v>
      </c>
      <c r="G152" s="23"/>
      <c r="H152" s="95">
        <v>0.93106</v>
      </c>
      <c r="I152" s="23"/>
      <c r="J152" s="9">
        <f>+F152*H152</f>
        <v>12976951.3445</v>
      </c>
      <c r="L152">
        <f>+B152</f>
        <v>408</v>
      </c>
      <c r="N152" s="36" t="str">
        <f t="shared" si="21"/>
        <v>Other Taxes</v>
      </c>
      <c r="P152" s="20">
        <f>-140349+16584</f>
        <v>-123765</v>
      </c>
      <c r="Q152" s="23"/>
      <c r="R152" s="95">
        <v>0.9945133</v>
      </c>
      <c r="S152" s="23"/>
      <c r="T152" s="9">
        <f>+P152*R152</f>
        <v>-123085.9385745</v>
      </c>
      <c r="W152" s="19"/>
      <c r="Y152" s="9"/>
      <c r="AA152" s="71"/>
    </row>
    <row r="153" spans="1:27" ht="12.75">
      <c r="A153" s="5">
        <f t="shared" si="16"/>
        <v>139</v>
      </c>
      <c r="B153" s="23">
        <v>408</v>
      </c>
      <c r="C153" s="23"/>
      <c r="D153" s="23" t="s">
        <v>334</v>
      </c>
      <c r="E153" s="23"/>
      <c r="F153" s="20"/>
      <c r="G153" s="23"/>
      <c r="H153" s="95">
        <v>0.93106</v>
      </c>
      <c r="I153" s="23"/>
      <c r="J153" s="9">
        <f>+F153*H153</f>
        <v>0</v>
      </c>
      <c r="L153">
        <f>+B153</f>
        <v>408</v>
      </c>
      <c r="N153" s="36" t="str">
        <f t="shared" si="21"/>
        <v>A &amp; G Loading</v>
      </c>
      <c r="P153" s="20">
        <v>0</v>
      </c>
      <c r="Q153" s="23"/>
      <c r="R153" s="95"/>
      <c r="S153" s="23"/>
      <c r="T153" s="9">
        <f>+P153*R153</f>
        <v>0</v>
      </c>
      <c r="W153" s="19"/>
      <c r="Y153" s="9"/>
      <c r="AA153" s="71"/>
    </row>
    <row r="154" spans="1:27" ht="12.75">
      <c r="A154" s="5">
        <f t="shared" si="16"/>
        <v>140</v>
      </c>
      <c r="D154" s="23"/>
      <c r="F154" s="32" t="s">
        <v>135</v>
      </c>
      <c r="G154" s="23"/>
      <c r="H154" s="99" t="s">
        <v>44</v>
      </c>
      <c r="J154" s="8" t="s">
        <v>31</v>
      </c>
      <c r="N154" s="36"/>
      <c r="P154" s="73" t="s">
        <v>135</v>
      </c>
      <c r="Q154" s="23"/>
      <c r="R154" s="99" t="s">
        <v>11</v>
      </c>
      <c r="S154" s="23"/>
      <c r="T154" s="8" t="s">
        <v>31</v>
      </c>
      <c r="Y154" s="4"/>
      <c r="AA154" s="71"/>
    </row>
    <row r="155" spans="1:27" ht="12.75">
      <c r="A155" s="5">
        <f t="shared" si="16"/>
        <v>141</v>
      </c>
      <c r="D155" s="29" t="s">
        <v>335</v>
      </c>
      <c r="F155" s="20">
        <f>SUM(F149:F154)</f>
        <v>13937825</v>
      </c>
      <c r="G155" s="23"/>
      <c r="H155" s="95">
        <f>+J155/F155</f>
        <v>0.93106</v>
      </c>
      <c r="J155" s="9">
        <f>SUM(J149:J154)</f>
        <v>12976951.3445</v>
      </c>
      <c r="N155" s="35" t="str">
        <f>+D155</f>
        <v>Total Taxes Other</v>
      </c>
      <c r="P155" s="20">
        <f>SUM(P149:P154)</f>
        <v>13091008</v>
      </c>
      <c r="Q155" s="23"/>
      <c r="R155" s="95">
        <f>+T155/P155</f>
        <v>0.9939203768798551</v>
      </c>
      <c r="S155" s="23"/>
      <c r="T155" s="9">
        <f>SUM(T149:T154)</f>
        <v>13011419.605097199</v>
      </c>
      <c r="W155" s="19"/>
      <c r="Y155" s="9"/>
      <c r="AA155" s="71"/>
    </row>
    <row r="156" spans="1:27" ht="12.75">
      <c r="A156" s="5">
        <f t="shared" si="16"/>
        <v>142</v>
      </c>
      <c r="D156" s="23"/>
      <c r="F156" s="20"/>
      <c r="G156" s="23"/>
      <c r="H156" s="95"/>
      <c r="J156" s="9"/>
      <c r="L156" s="23"/>
      <c r="M156" s="23"/>
      <c r="N156" s="36"/>
      <c r="O156" s="23"/>
      <c r="P156" s="20"/>
      <c r="Q156" s="23"/>
      <c r="R156" s="95"/>
      <c r="S156" s="23"/>
      <c r="T156" s="20"/>
      <c r="U156" s="23"/>
      <c r="AA156" s="71"/>
    </row>
    <row r="157" spans="1:27" ht="12.75">
      <c r="A157" s="5">
        <f t="shared" si="16"/>
        <v>143</v>
      </c>
      <c r="D157" s="29" t="s">
        <v>136</v>
      </c>
      <c r="F157" s="21">
        <f>+F54+F72+F95+F104+F112+F120+F137+F140+F146+F155</f>
        <v>301165153</v>
      </c>
      <c r="G157" s="23"/>
      <c r="H157" s="95"/>
      <c r="J157" s="13">
        <f>+J54+J72+J95+J104+J112+J120+J137+J140+J146+J155</f>
        <v>289019376.85204005</v>
      </c>
      <c r="N157" s="35" t="str">
        <f>+D157</f>
        <v>Total O&amp; M Expense (Unadjusted)</v>
      </c>
      <c r="P157" s="13">
        <f>+P54+P72+P95+P104+P112+P120+P137+P140+P146+P155</f>
        <v>288808409</v>
      </c>
      <c r="R157" s="88"/>
      <c r="T157" s="13">
        <f>+T54+T72+T95+T104+T112+T120+T137+T140+T146+T155</f>
        <v>287021769.3725313</v>
      </c>
      <c r="V157" s="9"/>
      <c r="Y157" s="13"/>
      <c r="AA157" s="72"/>
    </row>
    <row r="158" spans="1:27" ht="12.75">
      <c r="A158" s="5">
        <f t="shared" si="16"/>
        <v>144</v>
      </c>
      <c r="D158" s="23"/>
      <c r="F158" s="9"/>
      <c r="J158" s="9"/>
      <c r="L158" s="23"/>
      <c r="M158" s="23"/>
      <c r="N158" s="36"/>
      <c r="O158" s="23"/>
      <c r="P158" s="20"/>
      <c r="Q158" s="23"/>
      <c r="R158" s="95"/>
      <c r="S158" s="23"/>
      <c r="T158" s="20"/>
      <c r="U158" s="23"/>
      <c r="V158" s="23"/>
      <c r="W158" s="23"/>
      <c r="AA158" s="71"/>
    </row>
    <row r="159" spans="1:27" ht="12.75">
      <c r="A159" s="5">
        <f t="shared" si="16"/>
        <v>145</v>
      </c>
      <c r="D159" s="29" t="s">
        <v>138</v>
      </c>
      <c r="E159" s="23"/>
      <c r="F159" s="20"/>
      <c r="G159" s="23"/>
      <c r="H159" s="95"/>
      <c r="I159" s="23"/>
      <c r="J159" s="13">
        <f>+'IncomeAdj.s'!I654</f>
        <v>-18683004.936520003</v>
      </c>
      <c r="N159" s="35" t="str">
        <f>+D159</f>
        <v>Add: Jurisdictional Adjustments - (Income Statement Adj. Sheet)</v>
      </c>
      <c r="R159" s="88"/>
      <c r="T159" s="13">
        <f>+'IncomeAdj.s'!T654</f>
        <v>21720754</v>
      </c>
      <c r="AA159" s="71"/>
    </row>
    <row r="160" spans="1:27" ht="12.75">
      <c r="A160" s="5">
        <f t="shared" si="16"/>
        <v>146</v>
      </c>
      <c r="D160" s="23"/>
      <c r="E160" s="23"/>
      <c r="F160" s="20"/>
      <c r="G160" s="23"/>
      <c r="H160" s="95"/>
      <c r="I160" s="23"/>
      <c r="J160" s="8" t="s">
        <v>31</v>
      </c>
      <c r="L160" s="23"/>
      <c r="M160" s="23"/>
      <c r="N160" s="36"/>
      <c r="O160" s="23"/>
      <c r="P160" s="23"/>
      <c r="Q160" s="23"/>
      <c r="R160" s="95"/>
      <c r="S160" s="23"/>
      <c r="T160" s="32" t="s">
        <v>31</v>
      </c>
      <c r="U160" s="23"/>
      <c r="V160" s="23"/>
      <c r="AA160" s="71"/>
    </row>
    <row r="161" spans="1:27" ht="12.75">
      <c r="A161" s="5">
        <f t="shared" si="16"/>
        <v>147</v>
      </c>
      <c r="D161" s="29" t="s">
        <v>139</v>
      </c>
      <c r="E161" s="23"/>
      <c r="F161" s="20"/>
      <c r="G161" s="23"/>
      <c r="H161" s="95"/>
      <c r="I161" s="23"/>
      <c r="J161" s="13">
        <f>+J157+J159</f>
        <v>270336371.9155201</v>
      </c>
      <c r="N161" s="35" t="s">
        <v>213</v>
      </c>
      <c r="R161" s="88"/>
      <c r="T161" s="13">
        <f>+T157+T159</f>
        <v>308742523.3725313</v>
      </c>
      <c r="AA161" s="71"/>
    </row>
    <row r="162" spans="1:27" ht="12.75">
      <c r="A162" s="5"/>
      <c r="D162" s="23"/>
      <c r="F162" s="9"/>
      <c r="J162" s="8" t="s">
        <v>38</v>
      </c>
      <c r="N162" s="36"/>
      <c r="R162" s="88"/>
      <c r="T162" s="8" t="s">
        <v>39</v>
      </c>
      <c r="Y162" s="4"/>
      <c r="AA162" s="71"/>
    </row>
    <row r="163" spans="1:27" ht="12.75">
      <c r="A163" s="5"/>
      <c r="C163" s="23"/>
      <c r="D163" s="23"/>
      <c r="E163" s="23"/>
      <c r="F163" s="20"/>
      <c r="G163" s="23"/>
      <c r="H163" s="95"/>
      <c r="I163" s="23"/>
      <c r="J163" s="20"/>
      <c r="K163" s="23"/>
      <c r="L163" s="23"/>
      <c r="M163" s="23"/>
      <c r="N163" s="23"/>
      <c r="O163" s="23"/>
      <c r="P163" s="23"/>
      <c r="Q163" s="23"/>
      <c r="R163" s="95"/>
      <c r="S163" s="23"/>
      <c r="T163" s="20"/>
      <c r="U163" s="23"/>
      <c r="Y163" s="9"/>
      <c r="AA163" s="71"/>
    </row>
    <row r="164" spans="1:27" ht="12.75">
      <c r="A164" s="5"/>
      <c r="C164" s="23"/>
      <c r="D164" s="23"/>
      <c r="E164" s="23"/>
      <c r="F164" s="20"/>
      <c r="G164" s="23"/>
      <c r="H164" s="95"/>
      <c r="I164" s="23"/>
      <c r="J164" s="20"/>
      <c r="K164" s="23"/>
      <c r="L164" s="23"/>
      <c r="M164" s="23"/>
      <c r="N164" s="23"/>
      <c r="O164" s="23"/>
      <c r="P164" s="23"/>
      <c r="Q164" s="23"/>
      <c r="R164" s="95"/>
      <c r="S164" s="23"/>
      <c r="T164" s="20"/>
      <c r="U164" s="23"/>
      <c r="Y164" s="4"/>
      <c r="AA164" s="71"/>
    </row>
    <row r="165" spans="1:27" ht="12.75">
      <c r="A165" s="5"/>
      <c r="C165" s="23"/>
      <c r="D165" s="23"/>
      <c r="E165" s="23"/>
      <c r="F165" s="20"/>
      <c r="G165" s="23"/>
      <c r="H165" s="95"/>
      <c r="I165" s="23"/>
      <c r="J165" s="20"/>
      <c r="K165" s="23"/>
      <c r="L165" s="23"/>
      <c r="M165" s="23"/>
      <c r="N165" s="23"/>
      <c r="O165" s="23"/>
      <c r="P165" s="23"/>
      <c r="Q165" s="23"/>
      <c r="R165" s="95"/>
      <c r="S165" s="23"/>
      <c r="T165" s="20"/>
      <c r="U165" s="23"/>
      <c r="Y165" s="9"/>
      <c r="AA165" s="71"/>
    </row>
    <row r="166" spans="1:27" ht="12.75">
      <c r="A166" s="5"/>
      <c r="C166" s="23"/>
      <c r="D166" s="23"/>
      <c r="E166" s="23"/>
      <c r="F166" s="20"/>
      <c r="G166" s="23"/>
      <c r="H166" s="95"/>
      <c r="I166" s="23"/>
      <c r="J166" s="20"/>
      <c r="K166" s="23"/>
      <c r="L166" s="23"/>
      <c r="M166" s="23"/>
      <c r="N166" s="23"/>
      <c r="O166" s="23"/>
      <c r="P166" s="23"/>
      <c r="Q166" s="23"/>
      <c r="R166" s="95"/>
      <c r="S166" s="23"/>
      <c r="T166" s="20"/>
      <c r="U166" s="23"/>
      <c r="Y166" s="4"/>
      <c r="AA166" s="71"/>
    </row>
    <row r="167" spans="1:27" ht="12.75">
      <c r="A167" s="5"/>
      <c r="C167" s="23"/>
      <c r="D167" s="23"/>
      <c r="E167" s="23"/>
      <c r="F167" s="20"/>
      <c r="G167" s="23"/>
      <c r="H167" s="95"/>
      <c r="I167" s="23"/>
      <c r="J167" s="20"/>
      <c r="K167" s="23"/>
      <c r="L167" s="23"/>
      <c r="M167" s="23"/>
      <c r="N167" s="23"/>
      <c r="O167" s="23"/>
      <c r="P167" s="23"/>
      <c r="Q167" s="23"/>
      <c r="R167" s="95"/>
      <c r="S167" s="23"/>
      <c r="T167" s="20"/>
      <c r="U167" s="23"/>
      <c r="Y167" s="13"/>
      <c r="AA167" s="71"/>
    </row>
    <row r="168" spans="1:27" ht="12.75">
      <c r="A168" s="5"/>
      <c r="F168" s="9"/>
      <c r="J168" s="9"/>
      <c r="R168" s="88"/>
      <c r="T168" s="9"/>
      <c r="Y168" s="4"/>
      <c r="AA168" s="71"/>
    </row>
    <row r="169" spans="1:20" ht="12.75">
      <c r="A169" s="5"/>
      <c r="F169" s="9"/>
      <c r="J169" s="9"/>
      <c r="R169" s="88"/>
      <c r="T169" s="9"/>
    </row>
    <row r="170" spans="1:20" ht="12.75">
      <c r="A170" s="5"/>
      <c r="F170" s="9"/>
      <c r="J170" s="9"/>
      <c r="R170" s="88"/>
      <c r="T170" s="9"/>
    </row>
    <row r="171" spans="1:20" ht="12.75">
      <c r="A171" s="5"/>
      <c r="F171" s="9"/>
      <c r="J171" s="9"/>
      <c r="R171" s="88"/>
      <c r="T171" s="9"/>
    </row>
    <row r="172" spans="1:20" ht="12.75">
      <c r="A172" s="5"/>
      <c r="F172" s="9"/>
      <c r="J172" s="9"/>
      <c r="R172" s="88"/>
      <c r="T172" s="9"/>
    </row>
    <row r="173" spans="1:20" ht="12.75">
      <c r="A173" s="5"/>
      <c r="F173" s="9"/>
      <c r="J173" s="9"/>
      <c r="R173" s="88"/>
      <c r="T173" s="9"/>
    </row>
    <row r="174" spans="1:20" ht="12.75">
      <c r="A174" s="5"/>
      <c r="F174" s="9"/>
      <c r="J174" s="9"/>
      <c r="R174" s="88"/>
      <c r="T174" s="9"/>
    </row>
    <row r="175" spans="1:20" ht="12.75">
      <c r="A175" s="5"/>
      <c r="F175" s="9"/>
      <c r="J175" s="9"/>
      <c r="R175" s="88"/>
      <c r="T175" s="9"/>
    </row>
    <row r="176" spans="1:20" ht="12.75">
      <c r="A176" s="5"/>
      <c r="F176" s="9"/>
      <c r="J176" s="9"/>
      <c r="R176" s="88"/>
      <c r="T176" s="9"/>
    </row>
    <row r="177" spans="1:20" ht="12.75">
      <c r="A177" s="5"/>
      <c r="F177" s="9"/>
      <c r="J177" s="9"/>
      <c r="R177" s="88"/>
      <c r="T177" s="9"/>
    </row>
    <row r="178" spans="1:20" ht="12.75">
      <c r="A178" s="5"/>
      <c r="F178" s="9"/>
      <c r="J178" s="9"/>
      <c r="R178" s="88"/>
      <c r="T178" s="9"/>
    </row>
    <row r="179" spans="1:18" ht="12.75">
      <c r="A179" s="5"/>
      <c r="F179" s="9"/>
      <c r="J179" s="9"/>
      <c r="R179" s="88"/>
    </row>
    <row r="180" spans="1:18" ht="12.75">
      <c r="A180" s="5"/>
      <c r="F180" s="9"/>
      <c r="J180" s="9"/>
      <c r="R180" s="88"/>
    </row>
    <row r="181" spans="1:18" ht="12.75">
      <c r="A181" s="5"/>
      <c r="F181" s="9"/>
      <c r="J181" s="9"/>
      <c r="R181" s="88"/>
    </row>
    <row r="182" spans="1:18" ht="12.75">
      <c r="A182" s="5"/>
      <c r="F182" s="9"/>
      <c r="J182" s="9"/>
      <c r="R182" s="88"/>
    </row>
    <row r="183" spans="1:18" ht="12.75">
      <c r="A183" s="5"/>
      <c r="F183" s="9"/>
      <c r="J183" s="9"/>
      <c r="R183" s="88"/>
    </row>
    <row r="184" spans="1:18" ht="12.75">
      <c r="A184" s="5"/>
      <c r="F184" s="9"/>
      <c r="J184" s="9"/>
      <c r="R184" s="88"/>
    </row>
    <row r="185" spans="1:18" ht="12.75">
      <c r="A185" s="5"/>
      <c r="F185" s="9"/>
      <c r="J185" s="9"/>
      <c r="R185" s="88"/>
    </row>
    <row r="186" spans="1:18" ht="12.75">
      <c r="A186" s="5"/>
      <c r="F186" s="9"/>
      <c r="J186" s="9"/>
      <c r="R186" s="88"/>
    </row>
    <row r="187" spans="1:18" ht="12.75">
      <c r="A187" s="5"/>
      <c r="F187" s="9"/>
      <c r="J187" s="9"/>
      <c r="R187" s="88"/>
    </row>
    <row r="188" spans="1:18" ht="12.75">
      <c r="A188" s="5"/>
      <c r="F188" s="9"/>
      <c r="J188" s="9"/>
      <c r="R188" s="88"/>
    </row>
    <row r="189" spans="1:18" ht="12.75">
      <c r="A189" s="5"/>
      <c r="F189" s="9"/>
      <c r="J189" s="9"/>
      <c r="R189" s="88"/>
    </row>
    <row r="190" spans="1:18" ht="12.75">
      <c r="A190" s="5"/>
      <c r="F190" s="9"/>
      <c r="J190" s="9"/>
      <c r="R190" s="88"/>
    </row>
    <row r="191" spans="1:18" ht="12.75">
      <c r="A191" s="5"/>
      <c r="F191" s="9"/>
      <c r="J191" s="9"/>
      <c r="R191" s="88"/>
    </row>
    <row r="192" spans="1:18" ht="12.75">
      <c r="A192" s="5"/>
      <c r="F192" s="9"/>
      <c r="J192" s="9"/>
      <c r="R192" s="88"/>
    </row>
    <row r="193" spans="1:18" ht="12.75">
      <c r="A193" s="5"/>
      <c r="F193" s="9"/>
      <c r="J193" s="9"/>
      <c r="R193" s="88"/>
    </row>
    <row r="194" spans="1:18" ht="12.75">
      <c r="A194" s="5"/>
      <c r="F194" s="9"/>
      <c r="J194" s="9"/>
      <c r="R194" s="88"/>
    </row>
    <row r="195" spans="1:18" ht="12.75">
      <c r="A195" s="5"/>
      <c r="F195" s="9"/>
      <c r="J195" s="9"/>
      <c r="R195" s="88"/>
    </row>
    <row r="196" spans="1:18" ht="12.75">
      <c r="A196" s="5"/>
      <c r="F196" s="9"/>
      <c r="J196" s="9"/>
      <c r="R196" s="88"/>
    </row>
    <row r="197" spans="1:18" ht="12.75">
      <c r="A197" s="5"/>
      <c r="F197" s="9"/>
      <c r="J197" s="9"/>
      <c r="R197" s="88"/>
    </row>
    <row r="198" spans="1:18" ht="12.75">
      <c r="A198" s="5"/>
      <c r="F198" s="9"/>
      <c r="J198" s="9"/>
      <c r="R198" s="88"/>
    </row>
    <row r="199" spans="1:18" ht="12.75">
      <c r="A199" s="5"/>
      <c r="F199" s="9"/>
      <c r="J199" s="9"/>
      <c r="R199" s="88"/>
    </row>
    <row r="200" spans="1:18" ht="12.75">
      <c r="A200" s="5"/>
      <c r="F200" s="9"/>
      <c r="J200" s="9"/>
      <c r="R200" s="88"/>
    </row>
    <row r="201" spans="1:18" ht="12.75">
      <c r="A201" s="5"/>
      <c r="F201" s="9"/>
      <c r="J201" s="9"/>
      <c r="R201" s="88"/>
    </row>
    <row r="202" spans="1:18" ht="12.75">
      <c r="A202" s="5"/>
      <c r="F202" s="9"/>
      <c r="J202" s="9"/>
      <c r="R202" s="88"/>
    </row>
    <row r="203" spans="1:18" ht="12.75">
      <c r="A203" s="5"/>
      <c r="F203" s="9"/>
      <c r="J203" s="9"/>
      <c r="R203" s="88"/>
    </row>
    <row r="204" spans="1:18" ht="12.75">
      <c r="A204" s="5"/>
      <c r="F204" s="9"/>
      <c r="J204" s="9"/>
      <c r="R204" s="88"/>
    </row>
    <row r="205" spans="1:18" ht="12.75">
      <c r="A205" s="5"/>
      <c r="F205" s="9"/>
      <c r="J205" s="9"/>
      <c r="R205" s="88"/>
    </row>
    <row r="206" spans="1:18" ht="12.75">
      <c r="A206" s="5"/>
      <c r="F206" s="9"/>
      <c r="J206" s="9"/>
      <c r="R206" s="88"/>
    </row>
    <row r="207" spans="1:18" ht="12.75">
      <c r="A207" s="5"/>
      <c r="F207" s="9"/>
      <c r="J207" s="9"/>
      <c r="R207" s="88"/>
    </row>
    <row r="208" spans="1:18" ht="12.75">
      <c r="A208" s="5"/>
      <c r="F208" s="9"/>
      <c r="J208" s="9"/>
      <c r="R208" s="88"/>
    </row>
    <row r="209" spans="1:18" ht="12.75">
      <c r="A209" s="5"/>
      <c r="F209" s="9"/>
      <c r="J209" s="9"/>
      <c r="R209" s="88"/>
    </row>
    <row r="210" spans="1:18" ht="12.75">
      <c r="A210" s="5"/>
      <c r="F210" s="9"/>
      <c r="J210" s="9"/>
      <c r="R210" s="88"/>
    </row>
    <row r="211" spans="1:18" ht="12.75">
      <c r="A211" s="5"/>
      <c r="F211" s="9"/>
      <c r="J211" s="9"/>
      <c r="R211" s="88"/>
    </row>
    <row r="212" spans="1:18" ht="12.75">
      <c r="A212" s="5"/>
      <c r="F212" s="9"/>
      <c r="J212" s="9"/>
      <c r="R212" s="88"/>
    </row>
    <row r="213" spans="1:18" ht="12.75">
      <c r="A213" s="5"/>
      <c r="F213" s="9"/>
      <c r="J213" s="9"/>
      <c r="R213" s="88"/>
    </row>
    <row r="214" spans="1:18" ht="12.75">
      <c r="A214" s="5"/>
      <c r="F214" s="9"/>
      <c r="J214" s="9"/>
      <c r="R214" s="88"/>
    </row>
    <row r="215" spans="1:18" ht="12.75">
      <c r="A215" s="5"/>
      <c r="F215" s="9"/>
      <c r="J215" s="9"/>
      <c r="R215" s="88"/>
    </row>
    <row r="216" spans="1:18" ht="12.75">
      <c r="A216" s="5"/>
      <c r="F216" s="9"/>
      <c r="J216" s="9"/>
      <c r="R216" s="88"/>
    </row>
    <row r="217" spans="1:18" ht="12.75">
      <c r="A217" s="5"/>
      <c r="F217" s="9"/>
      <c r="J217" s="9"/>
      <c r="R217" s="88"/>
    </row>
    <row r="218" spans="1:18" ht="12.75">
      <c r="A218" s="5"/>
      <c r="F218" s="9"/>
      <c r="R218" s="88"/>
    </row>
    <row r="219" spans="1:18" ht="12.75">
      <c r="A219" s="5"/>
      <c r="F219" s="9"/>
      <c r="R219" s="88"/>
    </row>
    <row r="220" spans="1:18" ht="12.75">
      <c r="A220" s="5"/>
      <c r="F220" s="9"/>
      <c r="R220" s="88"/>
    </row>
    <row r="221" spans="1:18" ht="12.75">
      <c r="A221" s="5"/>
      <c r="F221" s="9"/>
      <c r="R221" s="88"/>
    </row>
    <row r="222" spans="1:18" ht="12.75">
      <c r="A222" s="5"/>
      <c r="F222" s="9"/>
      <c r="R222" s="88"/>
    </row>
    <row r="223" spans="1:18" ht="12.75">
      <c r="A223" s="5"/>
      <c r="F223" s="9"/>
      <c r="R223" s="88"/>
    </row>
    <row r="224" spans="1:18" ht="12.75">
      <c r="A224" s="5"/>
      <c r="F224" s="9"/>
      <c r="R224" s="88"/>
    </row>
    <row r="225" spans="1:18" ht="12.75">
      <c r="A225" s="5"/>
      <c r="F225" s="9"/>
      <c r="R225" s="88"/>
    </row>
    <row r="226" spans="1:18" ht="12.75">
      <c r="A226" s="5"/>
      <c r="F226" s="9"/>
      <c r="R226" s="88"/>
    </row>
    <row r="227" spans="1:18" ht="12.75">
      <c r="A227" s="5"/>
      <c r="F227" s="9"/>
      <c r="R227" s="88"/>
    </row>
    <row r="228" spans="1:18" ht="12.75">
      <c r="A228" s="5"/>
      <c r="F228" s="9"/>
      <c r="R228" s="88"/>
    </row>
    <row r="229" spans="1:18" ht="12.75">
      <c r="A229" s="5"/>
      <c r="F229" s="9"/>
      <c r="R229" s="88"/>
    </row>
    <row r="230" spans="1:18" ht="12.75">
      <c r="A230" s="5"/>
      <c r="F230" s="9"/>
      <c r="R230" s="88"/>
    </row>
    <row r="231" spans="1:18" ht="12.75">
      <c r="A231" s="5"/>
      <c r="F231" s="9"/>
      <c r="R231" s="88"/>
    </row>
    <row r="232" spans="1:18" ht="12.75">
      <c r="A232" s="5"/>
      <c r="F232" s="9"/>
      <c r="R232" s="88"/>
    </row>
    <row r="233" spans="1:6" ht="12.75">
      <c r="A233" s="5"/>
      <c r="F233" s="9"/>
    </row>
    <row r="234" spans="1:6" ht="12.75">
      <c r="A234" s="5"/>
      <c r="F234" s="9"/>
    </row>
    <row r="235" spans="1:6" ht="12.75">
      <c r="A235" s="5"/>
      <c r="F235" s="9"/>
    </row>
    <row r="236" spans="1:6" ht="12.75">
      <c r="A236" s="5"/>
      <c r="F236" s="9"/>
    </row>
    <row r="237" spans="1:6" ht="12.75">
      <c r="A237" s="5"/>
      <c r="F237" s="9"/>
    </row>
    <row r="238" spans="1:6" ht="12.75">
      <c r="A238" s="5"/>
      <c r="F238" s="9"/>
    </row>
    <row r="239" spans="1:6" ht="12.75">
      <c r="A239" s="5"/>
      <c r="F239" s="9"/>
    </row>
    <row r="240" spans="1:6" ht="12.75">
      <c r="A240" s="5"/>
      <c r="F240" s="9"/>
    </row>
    <row r="241" spans="1:6" ht="12.75">
      <c r="A241" s="5"/>
      <c r="F241" s="9"/>
    </row>
    <row r="242" spans="1:6" ht="12.75">
      <c r="A242" s="5"/>
      <c r="F242" s="9"/>
    </row>
    <row r="243" spans="1:6" ht="12.75">
      <c r="A243" s="5"/>
      <c r="F243" s="9"/>
    </row>
    <row r="244" spans="1:6" ht="12.75">
      <c r="A244" s="5"/>
      <c r="F244" s="9"/>
    </row>
    <row r="245" spans="1:6" ht="12.75">
      <c r="A245" s="5"/>
      <c r="F245" s="9"/>
    </row>
    <row r="246" spans="1:6" ht="12.75">
      <c r="A246" s="5"/>
      <c r="F246" s="9"/>
    </row>
    <row r="247" spans="1:6" ht="12.75">
      <c r="A247" s="5"/>
      <c r="F247" s="9"/>
    </row>
    <row r="248" spans="1:6" ht="12.75">
      <c r="A248" s="5"/>
      <c r="F248" s="9"/>
    </row>
    <row r="249" spans="1:6" ht="12.75">
      <c r="A249" s="5"/>
      <c r="F249" s="9"/>
    </row>
    <row r="250" spans="1:6" ht="12.75">
      <c r="A250" s="5"/>
      <c r="F250" s="9"/>
    </row>
    <row r="251" spans="1:6" ht="12.75">
      <c r="A251" s="5"/>
      <c r="F251" s="9"/>
    </row>
    <row r="252" spans="1:6" ht="12.75">
      <c r="A252" s="5"/>
      <c r="F252" s="9"/>
    </row>
    <row r="253" spans="1:6" ht="12.75">
      <c r="A253" s="5"/>
      <c r="F253" s="9"/>
    </row>
    <row r="254" spans="1:6" ht="12.75">
      <c r="A254" s="5"/>
      <c r="F254" s="9"/>
    </row>
    <row r="255" spans="1:6" ht="12.75">
      <c r="A255" s="5"/>
      <c r="F255" s="9"/>
    </row>
    <row r="256" spans="1:6" ht="12.75">
      <c r="A256" s="5"/>
      <c r="F256" s="9"/>
    </row>
    <row r="257" spans="1:6" ht="12.75">
      <c r="A257" s="5"/>
      <c r="F257" s="9"/>
    </row>
    <row r="258" spans="1:6" ht="12.75">
      <c r="A258" s="5"/>
      <c r="F258" s="9"/>
    </row>
    <row r="259" spans="1:6" ht="12.75">
      <c r="A259" s="5"/>
      <c r="F259" s="9"/>
    </row>
    <row r="260" spans="1:6" ht="12.75">
      <c r="A260" s="5"/>
      <c r="F260" s="9"/>
    </row>
    <row r="261" spans="1:6" ht="12.75">
      <c r="A261" s="5"/>
      <c r="F261" s="9"/>
    </row>
    <row r="262" spans="1:6" ht="12.75">
      <c r="A262" s="5"/>
      <c r="F262" s="9"/>
    </row>
    <row r="263" spans="1:6" ht="12.75">
      <c r="A263" s="5"/>
      <c r="F263" s="9"/>
    </row>
    <row r="264" spans="1:6" ht="12.75">
      <c r="A264" s="5"/>
      <c r="F264" s="9"/>
    </row>
    <row r="265" spans="1:6" ht="12.75">
      <c r="A265" s="5"/>
      <c r="F265" s="9"/>
    </row>
    <row r="266" spans="1:6" ht="12.75">
      <c r="A266" s="5"/>
      <c r="F266" s="9"/>
    </row>
    <row r="267" spans="1:6" ht="12.75">
      <c r="A267" s="5"/>
      <c r="F267" s="9"/>
    </row>
    <row r="268" spans="1:6" ht="12.75">
      <c r="A268" s="5"/>
      <c r="F268" s="9"/>
    </row>
    <row r="269" spans="1:6" ht="12.75">
      <c r="A269" s="5"/>
      <c r="F269" s="9"/>
    </row>
    <row r="270" spans="1:6" ht="12.75">
      <c r="A270" s="5"/>
      <c r="F270" s="9"/>
    </row>
    <row r="271" spans="1:6" ht="12.75">
      <c r="A271" s="5"/>
      <c r="F271" s="9"/>
    </row>
    <row r="272" spans="1:6" ht="12.75">
      <c r="A272" s="5"/>
      <c r="F272" s="9"/>
    </row>
    <row r="273" spans="1:6" ht="12.75">
      <c r="A273" s="5"/>
      <c r="F273" s="9"/>
    </row>
    <row r="274" spans="1:6" ht="12.75">
      <c r="A274" s="5"/>
      <c r="F274" s="9"/>
    </row>
    <row r="275" spans="1:6" ht="12.75">
      <c r="A275" s="5"/>
      <c r="F275" s="9"/>
    </row>
    <row r="276" spans="1:6" ht="12.75">
      <c r="A276" s="5"/>
      <c r="F276" s="9"/>
    </row>
    <row r="277" spans="1:6" ht="12.75">
      <c r="A277" s="5"/>
      <c r="F277" s="9"/>
    </row>
    <row r="278" spans="1:6" ht="12.75">
      <c r="A278" s="5"/>
      <c r="F278" s="9"/>
    </row>
    <row r="279" spans="1:6" ht="12.75">
      <c r="A279" s="5"/>
      <c r="F279" s="9"/>
    </row>
    <row r="280" spans="1:6" ht="12.75">
      <c r="A280" s="5"/>
      <c r="F280" s="9"/>
    </row>
    <row r="281" spans="1:6" ht="12.75">
      <c r="A281" s="5"/>
      <c r="F281" s="9"/>
    </row>
    <row r="282" spans="1:6" ht="12.75">
      <c r="A282" s="5"/>
      <c r="F282" s="9"/>
    </row>
    <row r="283" spans="1:6" ht="12.75">
      <c r="A283" s="5"/>
      <c r="F283" s="9"/>
    </row>
    <row r="284" spans="1:6" ht="12.75">
      <c r="A284" s="5"/>
      <c r="F284" s="9"/>
    </row>
    <row r="285" spans="1:6" ht="12.75">
      <c r="A285" s="5"/>
      <c r="F285" s="9"/>
    </row>
    <row r="286" spans="1:6" ht="12.75">
      <c r="A286" s="5"/>
      <c r="F286" s="9"/>
    </row>
    <row r="287" spans="1:6" ht="12.75">
      <c r="A287" s="5"/>
      <c r="F287" s="9"/>
    </row>
    <row r="288" spans="1:6" ht="12.75">
      <c r="A288" s="5"/>
      <c r="F288" s="9"/>
    </row>
    <row r="289" spans="1:6" ht="12.75">
      <c r="A289" s="5"/>
      <c r="F289" s="9"/>
    </row>
    <row r="290" spans="1:6" ht="12.75">
      <c r="A290" s="5"/>
      <c r="F290" s="9"/>
    </row>
    <row r="291" spans="1:6" ht="12.75">
      <c r="A291" s="5"/>
      <c r="F291" s="9"/>
    </row>
    <row r="292" spans="1:6" ht="12.75">
      <c r="A292" s="5"/>
      <c r="F292" s="9"/>
    </row>
    <row r="293" spans="1:6" ht="12.75">
      <c r="A293" s="5"/>
      <c r="F293" s="9"/>
    </row>
    <row r="294" spans="1:6" ht="12.75">
      <c r="A294" s="5"/>
      <c r="F294" s="9"/>
    </row>
    <row r="295" spans="1:6" ht="12.75">
      <c r="A295" s="5"/>
      <c r="F295" s="9"/>
    </row>
    <row r="296" spans="1:6" ht="12.75">
      <c r="A296" s="5"/>
      <c r="F296" s="9"/>
    </row>
    <row r="297" spans="1:6" ht="12.75">
      <c r="A297" s="5"/>
      <c r="F297" s="9"/>
    </row>
    <row r="298" spans="1:6" ht="12.75">
      <c r="A298" s="5"/>
      <c r="F298" s="9"/>
    </row>
    <row r="299" spans="1:6" ht="12.75">
      <c r="A299" s="5"/>
      <c r="F299" s="9"/>
    </row>
    <row r="300" spans="1:6" ht="12.75">
      <c r="A300" s="5"/>
      <c r="F300" s="9"/>
    </row>
    <row r="301" spans="1:6" ht="12.75">
      <c r="A301" s="5"/>
      <c r="F301" s="9"/>
    </row>
    <row r="302" spans="1:6" ht="12.75">
      <c r="A302" s="5"/>
      <c r="F302" s="9"/>
    </row>
    <row r="303" spans="1:6" ht="12.75">
      <c r="A303" s="5"/>
      <c r="F303" s="9"/>
    </row>
    <row r="304" spans="1:6" ht="12.75">
      <c r="A304" s="5"/>
      <c r="F304" s="9"/>
    </row>
    <row r="305" spans="1:6" ht="12.75">
      <c r="A305" s="5"/>
      <c r="F305" s="9"/>
    </row>
    <row r="306" spans="1:6" ht="12.75">
      <c r="A306" s="5"/>
      <c r="F306" s="9"/>
    </row>
    <row r="307" spans="1:6" ht="12.75">
      <c r="A307" s="5"/>
      <c r="F307" s="9"/>
    </row>
    <row r="308" spans="1:6" ht="12.75">
      <c r="A308" s="5"/>
      <c r="F308" s="9"/>
    </row>
    <row r="309" spans="1:6" ht="12.75">
      <c r="A309" s="5"/>
      <c r="F309" s="9"/>
    </row>
    <row r="310" spans="1:6" ht="12.75">
      <c r="A310" s="5"/>
      <c r="F310" s="9"/>
    </row>
    <row r="311" spans="1:6" ht="12.75">
      <c r="A311" s="5"/>
      <c r="F311" s="9"/>
    </row>
    <row r="312" spans="1:6" ht="12.75">
      <c r="A312" s="5"/>
      <c r="F312" s="9"/>
    </row>
    <row r="313" spans="1:6" ht="12.75">
      <c r="A313" s="5"/>
      <c r="F313" s="9"/>
    </row>
    <row r="314" spans="1:6" ht="12.75">
      <c r="A314" s="5"/>
      <c r="F314" s="9"/>
    </row>
    <row r="315" spans="1:6" ht="12.75">
      <c r="A315" s="5"/>
      <c r="F315" s="9"/>
    </row>
    <row r="316" spans="1:6" ht="12.75">
      <c r="A316" s="5"/>
      <c r="F316" s="9"/>
    </row>
    <row r="317" spans="1:6" ht="12.75">
      <c r="A317" s="5"/>
      <c r="F317" s="9"/>
    </row>
    <row r="318" spans="1:6" ht="12.75">
      <c r="A318" s="5"/>
      <c r="F318" s="9"/>
    </row>
    <row r="319" spans="1:6" ht="12.75">
      <c r="A319" s="5"/>
      <c r="F319" s="9"/>
    </row>
    <row r="320" spans="1:6" ht="12.75">
      <c r="A320" s="5"/>
      <c r="F320" s="9"/>
    </row>
    <row r="321" spans="1:6" ht="12.75">
      <c r="A321" s="5"/>
      <c r="F321" s="9"/>
    </row>
    <row r="322" spans="1:6" ht="12.75">
      <c r="A322" s="5"/>
      <c r="F322" s="9"/>
    </row>
    <row r="323" spans="1:6" ht="12.75">
      <c r="A323" s="5"/>
      <c r="F323" s="9"/>
    </row>
    <row r="324" spans="1:6" ht="12.75">
      <c r="A324" s="5"/>
      <c r="F324" s="9"/>
    </row>
    <row r="325" spans="1:6" ht="12.75">
      <c r="A325" s="5"/>
      <c r="F325" s="9"/>
    </row>
    <row r="326" spans="1:6" ht="12.75">
      <c r="A326" s="5"/>
      <c r="F326" s="9"/>
    </row>
    <row r="327" spans="1:6" ht="12.75">
      <c r="A327" s="5"/>
      <c r="F327" s="9"/>
    </row>
    <row r="328" spans="1:6" ht="12.75">
      <c r="A328" s="5"/>
      <c r="F328" s="9"/>
    </row>
    <row r="329" spans="1:6" ht="12.75">
      <c r="A329" s="5"/>
      <c r="F329" s="9"/>
    </row>
    <row r="330" spans="1:6" ht="12.75">
      <c r="A330" s="5"/>
      <c r="F330" s="9"/>
    </row>
    <row r="331" spans="1:6" ht="12.75">
      <c r="A331" s="5"/>
      <c r="F331" s="9"/>
    </row>
    <row r="332" spans="1:6" ht="12.75">
      <c r="A332" s="5"/>
      <c r="F332" s="9"/>
    </row>
    <row r="333" spans="1:6" ht="12.75">
      <c r="A333" s="5"/>
      <c r="F333" s="9"/>
    </row>
    <row r="334" spans="1:6" ht="12.75">
      <c r="A334" s="5"/>
      <c r="F334" s="9"/>
    </row>
    <row r="335" spans="1:6" ht="12.75">
      <c r="A335" s="5"/>
      <c r="F335" s="9"/>
    </row>
    <row r="336" spans="1:6" ht="12.75">
      <c r="A336" s="5"/>
      <c r="F336" s="9"/>
    </row>
    <row r="337" spans="1:6" ht="12.75">
      <c r="A337" s="5"/>
      <c r="F337" s="9"/>
    </row>
    <row r="338" spans="1:6" ht="12.75">
      <c r="A338" s="5"/>
      <c r="F338" s="9"/>
    </row>
    <row r="339" spans="1:6" ht="12.75">
      <c r="A339" s="5"/>
      <c r="F339" s="9"/>
    </row>
    <row r="340" spans="1:6" ht="12.75">
      <c r="A340" s="5"/>
      <c r="F340" s="9"/>
    </row>
    <row r="341" spans="1:6" ht="12.75">
      <c r="A341" s="5"/>
      <c r="F341" s="9"/>
    </row>
    <row r="342" spans="1:6" ht="12.75">
      <c r="A342" s="5"/>
      <c r="F342" s="9"/>
    </row>
    <row r="343" spans="1:6" ht="12.75">
      <c r="A343" s="5"/>
      <c r="F343" s="9"/>
    </row>
    <row r="344" spans="1:6" ht="12.75">
      <c r="A344" s="5"/>
      <c r="F344" s="9"/>
    </row>
    <row r="345" spans="1:6" ht="12.75">
      <c r="A345" s="5"/>
      <c r="F345" s="9"/>
    </row>
    <row r="346" spans="1:6" ht="12.75">
      <c r="A346" s="5"/>
      <c r="F346" s="9"/>
    </row>
    <row r="347" spans="1:6" ht="12.75">
      <c r="A347" s="5"/>
      <c r="F347" s="9"/>
    </row>
    <row r="348" spans="1:6" ht="12.75">
      <c r="A348" s="5"/>
      <c r="F348" s="9"/>
    </row>
    <row r="349" spans="1:6" ht="12.75">
      <c r="A349" s="5"/>
      <c r="F349" s="9"/>
    </row>
    <row r="350" spans="1:6" ht="12.75">
      <c r="A350" s="5"/>
      <c r="F350" s="9"/>
    </row>
    <row r="351" spans="1:6" ht="12.75">
      <c r="A351" s="5"/>
      <c r="F351" s="9"/>
    </row>
    <row r="352" spans="1:6" ht="12.75">
      <c r="A352" s="5"/>
      <c r="F352" s="9"/>
    </row>
    <row r="353" spans="1:6" ht="12.75">
      <c r="A353" s="5"/>
      <c r="F353" s="9"/>
    </row>
    <row r="354" spans="1:6" ht="12.75">
      <c r="A354" s="5"/>
      <c r="F354" s="9"/>
    </row>
    <row r="355" spans="1:6" ht="12.75">
      <c r="A355" s="5"/>
      <c r="F355" s="9"/>
    </row>
    <row r="356" spans="1:6" ht="12.75">
      <c r="A356" s="5"/>
      <c r="F356" s="9"/>
    </row>
    <row r="357" spans="1:6" ht="12.75">
      <c r="A357" s="5"/>
      <c r="F357" s="9"/>
    </row>
    <row r="358" spans="1:6" ht="12.75">
      <c r="A358" s="5"/>
      <c r="F358" s="9"/>
    </row>
    <row r="359" spans="1:6" ht="12.75">
      <c r="A359" s="5"/>
      <c r="F359" s="9"/>
    </row>
    <row r="360" spans="1:6" ht="12.75">
      <c r="A360" s="5"/>
      <c r="F360" s="9"/>
    </row>
    <row r="361" spans="1:6" ht="12.75">
      <c r="A361" s="5"/>
      <c r="F361" s="9"/>
    </row>
    <row r="362" spans="1:6" ht="12.75">
      <c r="A362" s="5"/>
      <c r="F362" s="9"/>
    </row>
    <row r="363" spans="1:6" ht="12.75">
      <c r="A363" s="5"/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</sheetData>
  <printOptions/>
  <pageMargins left="0.25" right="0.25" top="0.25" bottom="0.25" header="0.5" footer="0.5"/>
  <pageSetup fitToHeight="0" fitToWidth="1" horizontalDpi="300" verticalDpi="300" orientation="landscape" scale="66" r:id="rId1"/>
  <headerFooter alignWithMargins="0">
    <oddFooter>&amp;CPage &amp;P</oddFooter>
  </headerFooter>
  <rowBreaks count="2" manualBreakCount="2">
    <brk id="54" max="20" man="1"/>
    <brk id="10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87"/>
  <sheetViews>
    <sheetView zoomScale="75" zoomScaleNormal="75" workbookViewId="0" topLeftCell="A35">
      <selection activeCell="H42" sqref="H42"/>
    </sheetView>
  </sheetViews>
  <sheetFormatPr defaultColWidth="9.140625" defaultRowHeight="12.75"/>
  <cols>
    <col min="1" max="1" width="7.7109375" style="0" customWidth="1"/>
    <col min="2" max="2" width="39.7109375" style="0" customWidth="1"/>
    <col min="3" max="3" width="5.7109375" style="0" customWidth="1"/>
    <col min="4" max="4" width="11.7109375" style="0" customWidth="1"/>
    <col min="5" max="5" width="14.7109375" style="0" bestFit="1" customWidth="1"/>
    <col min="6" max="6" width="5.7109375" style="0" customWidth="1"/>
    <col min="7" max="7" width="10.28125" style="0" bestFit="1" customWidth="1"/>
    <col min="8" max="8" width="6.421875" style="0" bestFit="1" customWidth="1"/>
    <col min="9" max="9" width="15.7109375" style="0" bestFit="1" customWidth="1"/>
    <col min="10" max="10" width="3.7109375" style="0" customWidth="1"/>
    <col min="11" max="11" width="7.7109375" style="0" customWidth="1"/>
    <col min="12" max="12" width="3.7109375" style="0" customWidth="1"/>
    <col min="13" max="13" width="37.7109375" style="0" customWidth="1"/>
    <col min="14" max="14" width="7.7109375" style="0" customWidth="1"/>
    <col min="15" max="15" width="5.7109375" style="0" customWidth="1"/>
    <col min="16" max="16" width="12.7109375" style="0" customWidth="1"/>
    <col min="17" max="17" width="3.7109375" style="0" customWidth="1"/>
    <col min="18" max="18" width="10.28125" style="0" bestFit="1" customWidth="1"/>
    <col min="19" max="19" width="6.421875" style="0" bestFit="1" customWidth="1"/>
    <col min="20" max="20" width="12.7109375" style="0" customWidth="1"/>
  </cols>
  <sheetData>
    <row r="1" ht="18">
      <c r="G1" s="1" t="s">
        <v>427</v>
      </c>
    </row>
    <row r="3" spans="5:16" ht="12.75">
      <c r="E3" s="5" t="s">
        <v>9</v>
      </c>
      <c r="P3" s="5" t="s">
        <v>9</v>
      </c>
    </row>
    <row r="4" spans="2:20" ht="18">
      <c r="B4" s="44" t="s">
        <v>17</v>
      </c>
      <c r="C4" s="44"/>
      <c r="E4" s="5" t="s">
        <v>17</v>
      </c>
      <c r="G4" s="5" t="s">
        <v>116</v>
      </c>
      <c r="I4" s="5" t="s">
        <v>118</v>
      </c>
      <c r="J4" s="5"/>
      <c r="K4" s="5"/>
      <c r="M4" s="44" t="str">
        <f>+'Rev.Requirement'!E4</f>
        <v>Missouri Public Service Division</v>
      </c>
      <c r="N4" s="44"/>
      <c r="P4" s="5" t="s">
        <v>16</v>
      </c>
      <c r="R4" s="5" t="s">
        <v>116</v>
      </c>
      <c r="T4" s="5" t="s">
        <v>118</v>
      </c>
    </row>
    <row r="5" spans="1:20" ht="15.75">
      <c r="A5" s="3" t="s">
        <v>238</v>
      </c>
      <c r="B5" s="58" t="s">
        <v>183</v>
      </c>
      <c r="C5" s="3" t="s">
        <v>179</v>
      </c>
      <c r="D5" s="5" t="s">
        <v>185</v>
      </c>
      <c r="E5" s="5" t="s">
        <v>117</v>
      </c>
      <c r="G5" s="5" t="s">
        <v>40</v>
      </c>
      <c r="I5" s="5" t="s">
        <v>117</v>
      </c>
      <c r="J5" s="5"/>
      <c r="K5" s="5"/>
      <c r="M5" s="3" t="str">
        <f>+B5</f>
        <v>Revenue Adjustments</v>
      </c>
      <c r="N5" s="3" t="s">
        <v>179</v>
      </c>
      <c r="P5" s="5" t="s">
        <v>117</v>
      </c>
      <c r="R5" s="5" t="s">
        <v>40</v>
      </c>
      <c r="T5" s="5" t="s">
        <v>117</v>
      </c>
    </row>
    <row r="6" spans="1:20" ht="12.75">
      <c r="A6" s="4" t="s">
        <v>120</v>
      </c>
      <c r="B6" s="4" t="s">
        <v>121</v>
      </c>
      <c r="C6" s="4" t="s">
        <v>56</v>
      </c>
      <c r="D6" s="4" t="s">
        <v>166</v>
      </c>
      <c r="E6" s="4" t="s">
        <v>134</v>
      </c>
      <c r="G6" s="4" t="s">
        <v>56</v>
      </c>
      <c r="I6" s="4" t="s">
        <v>31</v>
      </c>
      <c r="J6" s="4"/>
      <c r="K6" s="4"/>
      <c r="M6" s="4" t="s">
        <v>115</v>
      </c>
      <c r="N6" s="4" t="s">
        <v>178</v>
      </c>
      <c r="P6" s="4" t="s">
        <v>42</v>
      </c>
      <c r="R6" s="4" t="s">
        <v>5</v>
      </c>
      <c r="T6" s="4" t="s">
        <v>31</v>
      </c>
    </row>
    <row r="7" spans="1:20" ht="12.75">
      <c r="A7" s="45">
        <v>1</v>
      </c>
      <c r="B7" s="3"/>
      <c r="C7" s="23"/>
      <c r="D7" s="30"/>
      <c r="E7" s="20"/>
      <c r="F7" s="23"/>
      <c r="G7" s="24"/>
      <c r="I7" s="33"/>
      <c r="J7" s="9"/>
      <c r="K7" s="9">
        <f aca="true" t="shared" si="0" ref="K7:K25">+A7</f>
        <v>1</v>
      </c>
      <c r="M7" s="3"/>
      <c r="P7" s="20"/>
      <c r="Q7" s="23"/>
      <c r="R7" s="24"/>
      <c r="S7" s="23"/>
      <c r="T7" s="9"/>
    </row>
    <row r="8" spans="1:20" ht="12.75">
      <c r="A8" s="45">
        <f>+A7+1</f>
        <v>2</v>
      </c>
      <c r="B8" s="29" t="s">
        <v>453</v>
      </c>
      <c r="C8" s="86"/>
      <c r="D8" s="30" t="s">
        <v>799</v>
      </c>
      <c r="E8" s="20">
        <v>11245301</v>
      </c>
      <c r="F8" s="23"/>
      <c r="G8" s="24">
        <v>1</v>
      </c>
      <c r="I8" s="33">
        <f>+E8*G8</f>
        <v>11245301</v>
      </c>
      <c r="J8" s="9"/>
      <c r="K8" s="9">
        <f t="shared" si="0"/>
        <v>2</v>
      </c>
      <c r="M8" s="35" t="str">
        <f>+B8</f>
        <v>Customer Growth/Annualization</v>
      </c>
      <c r="P8" s="20">
        <v>9683063</v>
      </c>
      <c r="Q8" s="23"/>
      <c r="R8" s="24">
        <v>1</v>
      </c>
      <c r="S8" s="23"/>
      <c r="T8" s="13">
        <f>+P8*R8</f>
        <v>9683063</v>
      </c>
    </row>
    <row r="9" spans="1:20" ht="12.75">
      <c r="A9" s="45">
        <f>+A8+1</f>
        <v>3</v>
      </c>
      <c r="B9" s="23" t="s">
        <v>337</v>
      </c>
      <c r="C9" s="86"/>
      <c r="D9" s="30" t="s">
        <v>798</v>
      </c>
      <c r="E9" s="20">
        <v>668475</v>
      </c>
      <c r="F9" s="23"/>
      <c r="G9" s="24">
        <v>1</v>
      </c>
      <c r="I9" s="33">
        <f aca="true" t="shared" si="1" ref="I9:I14">+E9*G9</f>
        <v>668475</v>
      </c>
      <c r="J9" s="9"/>
      <c r="K9" s="9">
        <f t="shared" si="0"/>
        <v>3</v>
      </c>
      <c r="M9" s="36" t="str">
        <f aca="true" t="shared" si="2" ref="M9:M20">+B9</f>
        <v>Eliminate Unbilled Revenue - Test Year</v>
      </c>
      <c r="P9" s="20">
        <v>668475</v>
      </c>
      <c r="Q9" s="23"/>
      <c r="R9" s="24">
        <v>1</v>
      </c>
      <c r="S9" s="23"/>
      <c r="T9" s="9">
        <f aca="true" t="shared" si="3" ref="T9:T24">+P9*R9</f>
        <v>668475</v>
      </c>
    </row>
    <row r="10" spans="1:20" ht="12.75">
      <c r="A10" s="45">
        <f aca="true" t="shared" si="4" ref="A10:A24">+A9+1</f>
        <v>4</v>
      </c>
      <c r="B10" s="23" t="s">
        <v>800</v>
      </c>
      <c r="C10" s="86"/>
      <c r="D10" s="30" t="s">
        <v>801</v>
      </c>
      <c r="E10" s="20">
        <v>983794</v>
      </c>
      <c r="F10" s="23"/>
      <c r="G10" s="24">
        <v>1</v>
      </c>
      <c r="I10" s="33">
        <f t="shared" si="1"/>
        <v>983794</v>
      </c>
      <c r="J10" s="9"/>
      <c r="K10" s="9">
        <f t="shared" si="0"/>
        <v>4</v>
      </c>
      <c r="M10" s="35" t="str">
        <f t="shared" si="2"/>
        <v>Adjust Large Customer Class for Growth</v>
      </c>
      <c r="P10" s="20">
        <v>397999</v>
      </c>
      <c r="Q10" s="23"/>
      <c r="R10" s="24">
        <v>1</v>
      </c>
      <c r="S10" s="23"/>
      <c r="T10" s="13">
        <f t="shared" si="3"/>
        <v>397999</v>
      </c>
    </row>
    <row r="11" spans="1:20" ht="12.75">
      <c r="A11" s="45">
        <f t="shared" si="4"/>
        <v>5</v>
      </c>
      <c r="B11" s="23" t="s">
        <v>340</v>
      </c>
      <c r="C11" s="86"/>
      <c r="D11" s="30"/>
      <c r="E11" s="20"/>
      <c r="F11" s="23"/>
      <c r="G11" s="24">
        <v>1</v>
      </c>
      <c r="I11" s="33">
        <f t="shared" si="1"/>
        <v>0</v>
      </c>
      <c r="J11" s="9"/>
      <c r="K11" s="9">
        <f t="shared" si="0"/>
        <v>5</v>
      </c>
      <c r="M11" s="36" t="str">
        <f t="shared" si="2"/>
        <v>To Remove City Franchise Taxes</v>
      </c>
      <c r="P11" s="20"/>
      <c r="Q11" s="23"/>
      <c r="R11" s="24">
        <v>1</v>
      </c>
      <c r="S11" s="23"/>
      <c r="T11" s="9">
        <f t="shared" si="3"/>
        <v>0</v>
      </c>
    </row>
    <row r="12" spans="1:20" ht="12.75">
      <c r="A12" s="45">
        <f t="shared" si="4"/>
        <v>6</v>
      </c>
      <c r="B12" s="48" t="s">
        <v>338</v>
      </c>
      <c r="C12" s="86"/>
      <c r="D12" s="30" t="s">
        <v>798</v>
      </c>
      <c r="E12" s="20">
        <v>-7740995</v>
      </c>
      <c r="F12" s="23"/>
      <c r="G12" s="24">
        <v>1</v>
      </c>
      <c r="I12" s="33">
        <f t="shared" si="1"/>
        <v>-7740995</v>
      </c>
      <c r="J12" s="9"/>
      <c r="K12" s="9">
        <f t="shared" si="0"/>
        <v>6</v>
      </c>
      <c r="M12" s="35" t="str">
        <f t="shared" si="2"/>
        <v>Normalize Test Year for Weather</v>
      </c>
      <c r="P12" s="20">
        <v>-7740995</v>
      </c>
      <c r="Q12" s="23"/>
      <c r="R12" s="24">
        <v>1</v>
      </c>
      <c r="S12" s="23"/>
      <c r="T12" s="13">
        <f t="shared" si="3"/>
        <v>-7740995</v>
      </c>
    </row>
    <row r="13" spans="1:20" ht="12.75">
      <c r="A13" s="45">
        <f t="shared" si="4"/>
        <v>7</v>
      </c>
      <c r="B13" s="48" t="s">
        <v>802</v>
      </c>
      <c r="C13" s="86"/>
      <c r="D13" s="30" t="s">
        <v>803</v>
      </c>
      <c r="E13" s="20">
        <v>-452796</v>
      </c>
      <c r="F13" s="23"/>
      <c r="G13" s="24">
        <v>1</v>
      </c>
      <c r="I13" s="33">
        <f t="shared" si="1"/>
        <v>-452796</v>
      </c>
      <c r="J13" s="9"/>
      <c r="K13" s="9">
        <f t="shared" si="0"/>
        <v>7</v>
      </c>
      <c r="M13" s="35" t="str">
        <f t="shared" si="2"/>
        <v>Adjust for Rate Switching &amp; Billing Corrections</v>
      </c>
      <c r="P13" s="20">
        <v>-452796</v>
      </c>
      <c r="Q13" s="23"/>
      <c r="R13" s="24">
        <v>1</v>
      </c>
      <c r="S13" s="23"/>
      <c r="T13" s="13">
        <f t="shared" si="3"/>
        <v>-452796</v>
      </c>
    </row>
    <row r="14" spans="1:20" ht="12.75">
      <c r="A14" s="45">
        <f t="shared" si="4"/>
        <v>8</v>
      </c>
      <c r="B14" s="48" t="s">
        <v>805</v>
      </c>
      <c r="C14" s="86"/>
      <c r="D14" s="30" t="s">
        <v>806</v>
      </c>
      <c r="E14" s="20">
        <v>-909325</v>
      </c>
      <c r="F14" s="23"/>
      <c r="G14" s="24">
        <v>1</v>
      </c>
      <c r="I14" s="33">
        <f t="shared" si="1"/>
        <v>-909325</v>
      </c>
      <c r="J14" s="9"/>
      <c r="K14" s="9">
        <f t="shared" si="0"/>
        <v>8</v>
      </c>
      <c r="M14" s="35" t="str">
        <f t="shared" si="2"/>
        <v>Annualize for Rate Change in Test Year</v>
      </c>
      <c r="P14" s="20">
        <v>-909325</v>
      </c>
      <c r="Q14" s="23"/>
      <c r="R14" s="24">
        <v>1</v>
      </c>
      <c r="S14" s="23"/>
      <c r="T14" s="13">
        <f t="shared" si="3"/>
        <v>-909325</v>
      </c>
    </row>
    <row r="15" spans="1:20" ht="12.75">
      <c r="A15" s="45">
        <f t="shared" si="4"/>
        <v>9</v>
      </c>
      <c r="B15" s="48" t="s">
        <v>339</v>
      </c>
      <c r="C15" s="86"/>
      <c r="D15" s="30" t="s">
        <v>804</v>
      </c>
      <c r="E15" s="20">
        <v>400547</v>
      </c>
      <c r="F15" s="23"/>
      <c r="G15" s="24">
        <v>1</v>
      </c>
      <c r="I15" s="33">
        <f aca="true" t="shared" si="5" ref="I15:I24">+E15*G15</f>
        <v>400547</v>
      </c>
      <c r="J15" s="9"/>
      <c r="K15" s="9">
        <f t="shared" si="0"/>
        <v>9</v>
      </c>
      <c r="M15" s="35" t="str">
        <f t="shared" si="2"/>
        <v>To Adjust for EDR Credits</v>
      </c>
      <c r="P15" s="20">
        <v>400547</v>
      </c>
      <c r="Q15" s="23"/>
      <c r="R15" s="24">
        <v>1</v>
      </c>
      <c r="S15" s="23"/>
      <c r="T15" s="13">
        <f t="shared" si="3"/>
        <v>400547</v>
      </c>
    </row>
    <row r="16" spans="1:20" ht="12.75">
      <c r="A16" s="45">
        <f t="shared" si="4"/>
        <v>10</v>
      </c>
      <c r="B16" s="48" t="s">
        <v>811</v>
      </c>
      <c r="C16" s="23"/>
      <c r="D16" s="30" t="s">
        <v>807</v>
      </c>
      <c r="E16" s="20">
        <v>1198801</v>
      </c>
      <c r="F16" s="23"/>
      <c r="G16" s="24">
        <v>1</v>
      </c>
      <c r="I16" s="33">
        <f t="shared" si="5"/>
        <v>1198801</v>
      </c>
      <c r="J16" s="9"/>
      <c r="K16" s="9">
        <f t="shared" si="0"/>
        <v>10</v>
      </c>
      <c r="M16" s="35" t="str">
        <f t="shared" si="2"/>
        <v>To adjust Test Year for 365 Days</v>
      </c>
      <c r="P16" s="20">
        <v>1198801</v>
      </c>
      <c r="Q16" s="23"/>
      <c r="R16" s="24">
        <v>1</v>
      </c>
      <c r="S16" s="23"/>
      <c r="T16" s="13">
        <f t="shared" si="3"/>
        <v>1198801</v>
      </c>
    </row>
    <row r="17" spans="1:20" ht="12.75">
      <c r="A17" s="45">
        <f t="shared" si="4"/>
        <v>11</v>
      </c>
      <c r="B17" s="48" t="s">
        <v>808</v>
      </c>
      <c r="C17" s="23"/>
      <c r="D17" s="30" t="s">
        <v>809</v>
      </c>
      <c r="E17" s="20">
        <v>4048</v>
      </c>
      <c r="F17" s="23"/>
      <c r="G17" s="24">
        <v>1</v>
      </c>
      <c r="I17" s="33">
        <f t="shared" si="5"/>
        <v>4048</v>
      </c>
      <c r="J17" s="9"/>
      <c r="K17" s="9">
        <f t="shared" si="0"/>
        <v>11</v>
      </c>
      <c r="M17" s="35" t="str">
        <f t="shared" si="2"/>
        <v>Annualize Miscellaneous Charges</v>
      </c>
      <c r="P17" s="20">
        <v>4048</v>
      </c>
      <c r="Q17" s="23"/>
      <c r="R17" s="24">
        <v>1</v>
      </c>
      <c r="S17" s="23"/>
      <c r="T17" s="13">
        <f t="shared" si="3"/>
        <v>4048</v>
      </c>
    </row>
    <row r="18" spans="1:20" ht="12.75">
      <c r="A18" s="45">
        <f t="shared" si="4"/>
        <v>12</v>
      </c>
      <c r="B18" s="23" t="s">
        <v>810</v>
      </c>
      <c r="C18" s="23"/>
      <c r="D18" s="30" t="s">
        <v>812</v>
      </c>
      <c r="E18" s="20">
        <v>0</v>
      </c>
      <c r="F18" s="23"/>
      <c r="G18" s="24">
        <v>1</v>
      </c>
      <c r="I18" s="33">
        <f t="shared" si="5"/>
        <v>0</v>
      </c>
      <c r="J18" s="9"/>
      <c r="K18" s="9">
        <f t="shared" si="0"/>
        <v>12</v>
      </c>
      <c r="M18" s="36" t="str">
        <f t="shared" si="2"/>
        <v>Annualization of Unaccounted For Revenue</v>
      </c>
      <c r="P18" s="20"/>
      <c r="Q18" s="23"/>
      <c r="R18" s="24">
        <v>1</v>
      </c>
      <c r="S18" s="23"/>
      <c r="T18" s="9">
        <f t="shared" si="3"/>
        <v>0</v>
      </c>
    </row>
    <row r="19" spans="1:20" ht="12.75">
      <c r="A19" s="45">
        <f t="shared" si="4"/>
        <v>13</v>
      </c>
      <c r="B19" s="48" t="s">
        <v>813</v>
      </c>
      <c r="C19" s="23"/>
      <c r="D19" s="30" t="s">
        <v>814</v>
      </c>
      <c r="E19" s="20">
        <v>-2304341</v>
      </c>
      <c r="F19" s="23"/>
      <c r="G19" s="24">
        <v>0.9847</v>
      </c>
      <c r="I19" s="33">
        <f t="shared" si="5"/>
        <v>-2269084.5827</v>
      </c>
      <c r="J19" s="9"/>
      <c r="K19" s="9">
        <f t="shared" si="0"/>
        <v>13</v>
      </c>
      <c r="M19" s="35" t="str">
        <f t="shared" si="2"/>
        <v>Eliminate L&amp;P Transfers from Interchange Sales</v>
      </c>
      <c r="P19" s="20">
        <v>-2269085</v>
      </c>
      <c r="Q19" s="23"/>
      <c r="R19" s="24">
        <v>1</v>
      </c>
      <c r="S19" s="23"/>
      <c r="T19" s="13">
        <f t="shared" si="3"/>
        <v>-2269085</v>
      </c>
    </row>
    <row r="20" spans="1:20" ht="12.75">
      <c r="A20" s="45">
        <f t="shared" si="4"/>
        <v>14</v>
      </c>
      <c r="B20" s="48" t="s">
        <v>815</v>
      </c>
      <c r="C20" s="23"/>
      <c r="D20" s="30" t="s">
        <v>816</v>
      </c>
      <c r="E20" s="20">
        <v>-12265321</v>
      </c>
      <c r="F20" s="23"/>
      <c r="G20" s="24">
        <v>0.9847</v>
      </c>
      <c r="I20" s="33">
        <f t="shared" si="5"/>
        <v>-12077661.5887</v>
      </c>
      <c r="J20" s="9"/>
      <c r="K20" s="9">
        <f t="shared" si="0"/>
        <v>14</v>
      </c>
      <c r="M20" s="35" t="str">
        <f t="shared" si="2"/>
        <v>Update Interchange Revenue thru Sept 30,2003</v>
      </c>
      <c r="P20" s="20">
        <v>-12077662</v>
      </c>
      <c r="Q20" s="23"/>
      <c r="R20" s="24">
        <v>1</v>
      </c>
      <c r="S20" s="23"/>
      <c r="T20" s="13">
        <f t="shared" si="3"/>
        <v>-12077662</v>
      </c>
    </row>
    <row r="21" spans="1:20" ht="12.75">
      <c r="A21" s="45">
        <f t="shared" si="4"/>
        <v>15</v>
      </c>
      <c r="B21" s="48" t="s">
        <v>863</v>
      </c>
      <c r="C21" s="23"/>
      <c r="D21" s="30" t="s">
        <v>817</v>
      </c>
      <c r="E21" s="20">
        <v>820644</v>
      </c>
      <c r="F21" s="23"/>
      <c r="G21" s="24">
        <v>0.9847</v>
      </c>
      <c r="I21" s="33">
        <f t="shared" si="5"/>
        <v>808088.1468</v>
      </c>
      <c r="J21" s="9"/>
      <c r="K21" s="9">
        <f t="shared" si="0"/>
        <v>15</v>
      </c>
      <c r="M21" s="35" t="str">
        <f>+B21</f>
        <v>Annualize Rev. for WAPA Capacity Contract</v>
      </c>
      <c r="P21" s="20">
        <v>808088</v>
      </c>
      <c r="Q21" s="23"/>
      <c r="R21" s="24">
        <v>1</v>
      </c>
      <c r="S21" s="23"/>
      <c r="T21" s="13">
        <f t="shared" si="3"/>
        <v>808088</v>
      </c>
    </row>
    <row r="22" spans="1:20" ht="12.75">
      <c r="A22" s="45">
        <f t="shared" si="4"/>
        <v>16</v>
      </c>
      <c r="B22" s="23"/>
      <c r="C22" s="23"/>
      <c r="D22" s="30"/>
      <c r="E22" s="20"/>
      <c r="F22" s="23"/>
      <c r="G22" s="24"/>
      <c r="I22" s="33">
        <f t="shared" si="5"/>
        <v>0</v>
      </c>
      <c r="J22" s="9"/>
      <c r="K22" s="9">
        <f t="shared" si="0"/>
        <v>16</v>
      </c>
      <c r="M22" s="36">
        <f>+B22</f>
        <v>0</v>
      </c>
      <c r="P22" s="20"/>
      <c r="Q22" s="23"/>
      <c r="R22" s="24">
        <v>1</v>
      </c>
      <c r="S22" s="23"/>
      <c r="T22" s="9">
        <f t="shared" si="3"/>
        <v>0</v>
      </c>
    </row>
    <row r="23" spans="1:20" ht="12.75">
      <c r="A23" s="45">
        <f t="shared" si="4"/>
        <v>17</v>
      </c>
      <c r="B23" s="23"/>
      <c r="C23" s="23"/>
      <c r="D23" s="30"/>
      <c r="E23" s="20"/>
      <c r="F23" s="23"/>
      <c r="G23" s="24"/>
      <c r="I23" s="33">
        <f t="shared" si="5"/>
        <v>0</v>
      </c>
      <c r="J23" s="9"/>
      <c r="K23" s="9">
        <f t="shared" si="0"/>
        <v>17</v>
      </c>
      <c r="M23" s="36">
        <f>+B23</f>
        <v>0</v>
      </c>
      <c r="P23" s="20"/>
      <c r="Q23" s="23"/>
      <c r="R23" s="24">
        <v>1</v>
      </c>
      <c r="S23" s="23"/>
      <c r="T23" s="9">
        <f t="shared" si="3"/>
        <v>0</v>
      </c>
    </row>
    <row r="24" spans="1:20" ht="12.75">
      <c r="A24" s="45">
        <f t="shared" si="4"/>
        <v>18</v>
      </c>
      <c r="B24" s="23"/>
      <c r="C24" s="23"/>
      <c r="D24" s="30"/>
      <c r="E24" s="20"/>
      <c r="F24" s="23"/>
      <c r="G24" s="24"/>
      <c r="I24" s="33">
        <f t="shared" si="5"/>
        <v>0</v>
      </c>
      <c r="J24" s="9"/>
      <c r="K24" s="9">
        <f t="shared" si="0"/>
        <v>18</v>
      </c>
      <c r="M24" s="36">
        <f>+B24</f>
        <v>0</v>
      </c>
      <c r="P24" s="20"/>
      <c r="Q24" s="23"/>
      <c r="R24" s="24">
        <v>1</v>
      </c>
      <c r="S24" s="23"/>
      <c r="T24" s="9">
        <f t="shared" si="3"/>
        <v>0</v>
      </c>
    </row>
    <row r="25" spans="1:20" ht="12.75">
      <c r="A25" s="45">
        <v>19</v>
      </c>
      <c r="B25" s="23"/>
      <c r="C25" s="23"/>
      <c r="D25" s="30"/>
      <c r="E25" s="20"/>
      <c r="F25" s="23"/>
      <c r="G25" s="24"/>
      <c r="I25" s="33">
        <f>+E25*G25</f>
        <v>0</v>
      </c>
      <c r="J25" s="9"/>
      <c r="K25" s="9">
        <f t="shared" si="0"/>
        <v>19</v>
      </c>
      <c r="M25" s="36">
        <f>+B25</f>
        <v>0</v>
      </c>
      <c r="P25" s="20"/>
      <c r="Q25" s="23"/>
      <c r="R25" s="24">
        <v>1</v>
      </c>
      <c r="S25" s="23"/>
      <c r="T25" s="9">
        <f>+P25*R25</f>
        <v>0</v>
      </c>
    </row>
    <row r="26" spans="1:21" ht="12.75">
      <c r="A26" s="45"/>
      <c r="B26" s="23"/>
      <c r="C26" s="23"/>
      <c r="D26" s="30"/>
      <c r="E26" s="32" t="s">
        <v>135</v>
      </c>
      <c r="F26" s="23"/>
      <c r="G26" s="24"/>
      <c r="I26" s="8" t="s">
        <v>64</v>
      </c>
      <c r="J26" s="9"/>
      <c r="K26" s="9"/>
      <c r="M26" s="36"/>
      <c r="P26" s="32" t="s">
        <v>135</v>
      </c>
      <c r="Q26" s="23"/>
      <c r="R26" s="24"/>
      <c r="T26" s="8" t="s">
        <v>64</v>
      </c>
      <c r="U26" s="9"/>
    </row>
    <row r="27" spans="1:21" ht="15.75">
      <c r="A27" s="45"/>
      <c r="B27" s="186" t="s">
        <v>184</v>
      </c>
      <c r="C27" s="29"/>
      <c r="D27" s="30"/>
      <c r="E27" s="20">
        <f>SUM(E7:E26)</f>
        <v>-8351168</v>
      </c>
      <c r="F27" s="23"/>
      <c r="G27" s="24"/>
      <c r="I27" s="9">
        <f>SUM(I7:I26)</f>
        <v>-8140808.024599999</v>
      </c>
      <c r="J27" s="9"/>
      <c r="K27" s="9"/>
      <c r="M27" s="35" t="str">
        <f>+B27</f>
        <v>Total Revenue Adjusts.</v>
      </c>
      <c r="N27" s="3"/>
      <c r="P27" s="20">
        <f>SUM(P7:P26)</f>
        <v>-10288842</v>
      </c>
      <c r="Q27" s="23"/>
      <c r="R27" s="24"/>
      <c r="T27" s="9">
        <f>SUM(T7:T26)</f>
        <v>-10288842</v>
      </c>
      <c r="U27" s="9"/>
    </row>
    <row r="28" spans="1:20" ht="15.75">
      <c r="A28" s="45"/>
      <c r="B28" s="186"/>
      <c r="C28" s="29"/>
      <c r="D28" s="30"/>
      <c r="E28" s="20"/>
      <c r="F28" s="23"/>
      <c r="G28" s="24"/>
      <c r="I28" s="9"/>
      <c r="J28" s="9"/>
      <c r="K28" s="9"/>
      <c r="M28" s="35"/>
      <c r="N28" s="3"/>
      <c r="P28" s="20"/>
      <c r="Q28" s="23"/>
      <c r="R28" s="24"/>
      <c r="T28" s="9"/>
    </row>
    <row r="29" spans="1:20" ht="15.75">
      <c r="A29" s="45"/>
      <c r="B29" s="186"/>
      <c r="C29" s="29"/>
      <c r="D29" s="30"/>
      <c r="E29" s="20"/>
      <c r="F29" s="23"/>
      <c r="G29" s="24"/>
      <c r="I29" s="9"/>
      <c r="J29" s="9"/>
      <c r="K29" s="9"/>
      <c r="M29" s="35"/>
      <c r="N29" s="3"/>
      <c r="P29" s="20"/>
      <c r="Q29" s="23"/>
      <c r="R29" s="24"/>
      <c r="T29" s="9"/>
    </row>
    <row r="30" spans="1:26" ht="12.75">
      <c r="A30" s="45"/>
      <c r="B30" s="23"/>
      <c r="C30" s="23"/>
      <c r="D30" s="30"/>
      <c r="E30" s="67"/>
      <c r="F30" s="23"/>
      <c r="G30" s="24"/>
      <c r="H30" s="23"/>
      <c r="I30" s="32"/>
      <c r="J30" s="20"/>
      <c r="K30" s="20"/>
      <c r="L30" s="23"/>
      <c r="M30" s="36"/>
      <c r="N30" s="23"/>
      <c r="O30" s="23"/>
      <c r="P30" s="32"/>
      <c r="Q30" s="23"/>
      <c r="R30" s="24"/>
      <c r="S30" s="23"/>
      <c r="T30" s="32"/>
      <c r="U30" s="23"/>
      <c r="V30" s="23"/>
      <c r="W30" s="23"/>
      <c r="X30" s="23"/>
      <c r="Y30" s="23"/>
      <c r="Z30" s="23"/>
    </row>
    <row r="31" spans="1:26" ht="18">
      <c r="A31" s="45"/>
      <c r="B31" s="59" t="s">
        <v>17</v>
      </c>
      <c r="C31" s="23"/>
      <c r="D31" s="30"/>
      <c r="E31" s="68" t="s">
        <v>124</v>
      </c>
      <c r="F31" s="23"/>
      <c r="G31" s="66" t="s">
        <v>126</v>
      </c>
      <c r="H31" s="23"/>
      <c r="I31" s="68" t="s">
        <v>118</v>
      </c>
      <c r="J31" s="20"/>
      <c r="K31" s="20"/>
      <c r="L31" s="23"/>
      <c r="M31" s="187" t="str">
        <f>+M4</f>
        <v>Missouri Public Service Division</v>
      </c>
      <c r="N31" s="59"/>
      <c r="O31" s="23"/>
      <c r="P31" s="68" t="s">
        <v>124</v>
      </c>
      <c r="Q31" s="23"/>
      <c r="R31" s="66" t="s">
        <v>126</v>
      </c>
      <c r="S31" s="23"/>
      <c r="T31" s="68" t="s">
        <v>118</v>
      </c>
      <c r="U31" s="23"/>
      <c r="V31" s="23"/>
      <c r="W31" s="23"/>
      <c r="X31" s="23"/>
      <c r="Y31" s="23"/>
      <c r="Z31" s="23"/>
    </row>
    <row r="32" spans="1:26" ht="15.75">
      <c r="A32" s="46" t="s">
        <v>149</v>
      </c>
      <c r="B32" s="57" t="s">
        <v>182</v>
      </c>
      <c r="C32" s="29" t="s">
        <v>179</v>
      </c>
      <c r="D32" s="30"/>
      <c r="E32" s="68" t="s">
        <v>125</v>
      </c>
      <c r="F32" s="23"/>
      <c r="G32" s="66" t="s">
        <v>40</v>
      </c>
      <c r="H32" s="23"/>
      <c r="I32" s="68" t="s">
        <v>125</v>
      </c>
      <c r="J32" s="20"/>
      <c r="K32" s="21" t="str">
        <f>+A32</f>
        <v>Line No.</v>
      </c>
      <c r="L32" s="29"/>
      <c r="M32" s="188" t="s">
        <v>182</v>
      </c>
      <c r="N32" s="29" t="str">
        <f>+C32</f>
        <v>Acct.No.</v>
      </c>
      <c r="O32" s="23"/>
      <c r="P32" s="68" t="s">
        <v>125</v>
      </c>
      <c r="Q32" s="23"/>
      <c r="R32" s="66" t="s">
        <v>40</v>
      </c>
      <c r="S32" s="23"/>
      <c r="T32" s="68" t="s">
        <v>125</v>
      </c>
      <c r="U32" s="23"/>
      <c r="V32" s="23"/>
      <c r="W32" s="23"/>
      <c r="X32" s="23"/>
      <c r="Y32" s="23"/>
      <c r="Z32" s="23"/>
    </row>
    <row r="33" spans="1:26" ht="15.75">
      <c r="A33" s="46"/>
      <c r="B33" s="57"/>
      <c r="C33" s="29"/>
      <c r="D33" s="30"/>
      <c r="E33" s="68"/>
      <c r="F33" s="23"/>
      <c r="G33" s="66"/>
      <c r="H33" s="23"/>
      <c r="I33" s="68"/>
      <c r="J33" s="20"/>
      <c r="K33" s="21"/>
      <c r="L33" s="29"/>
      <c r="M33" s="188"/>
      <c r="N33" s="29"/>
      <c r="O33" s="23"/>
      <c r="P33" s="68"/>
      <c r="Q33" s="23"/>
      <c r="R33" s="66"/>
      <c r="S33" s="23"/>
      <c r="T33" s="68"/>
      <c r="U33" s="23"/>
      <c r="V33" s="23"/>
      <c r="W33" s="23"/>
      <c r="X33" s="23"/>
      <c r="Y33" s="23"/>
      <c r="Z33" s="23"/>
    </row>
    <row r="34" spans="1:26" ht="12.75">
      <c r="A34" s="56" t="s">
        <v>240</v>
      </c>
      <c r="B34" s="25" t="s">
        <v>341</v>
      </c>
      <c r="C34" s="23"/>
      <c r="D34" s="30"/>
      <c r="E34" s="32" t="s">
        <v>134</v>
      </c>
      <c r="F34" s="23"/>
      <c r="G34" s="65" t="s">
        <v>56</v>
      </c>
      <c r="H34" s="23"/>
      <c r="I34" s="32" t="s">
        <v>31</v>
      </c>
      <c r="J34" s="20"/>
      <c r="K34" s="20" t="str">
        <f>+A34</f>
        <v>------------</v>
      </c>
      <c r="L34" s="23"/>
      <c r="M34" s="36" t="str">
        <f>+B34</f>
        <v>-------------------------------------------------------------</v>
      </c>
      <c r="N34" s="25" t="s">
        <v>120</v>
      </c>
      <c r="O34" s="23"/>
      <c r="P34" s="32" t="s">
        <v>31</v>
      </c>
      <c r="Q34" s="23"/>
      <c r="R34" s="65" t="s">
        <v>56</v>
      </c>
      <c r="S34" s="23"/>
      <c r="T34" s="32" t="s">
        <v>31</v>
      </c>
      <c r="U34" s="23"/>
      <c r="V34" s="23"/>
      <c r="W34" s="23"/>
      <c r="X34" s="23"/>
      <c r="Y34" s="23"/>
      <c r="Z34" s="23"/>
    </row>
    <row r="35" spans="1:26" ht="12.75">
      <c r="A35" s="45">
        <v>1</v>
      </c>
      <c r="B35" s="23" t="s">
        <v>456</v>
      </c>
      <c r="C35" s="23"/>
      <c r="D35" s="30" t="s">
        <v>743</v>
      </c>
      <c r="E35" s="32">
        <v>-813833</v>
      </c>
      <c r="F35" s="23"/>
      <c r="G35" s="95">
        <v>0.86397</v>
      </c>
      <c r="H35" s="23"/>
      <c r="I35" s="32">
        <f>+E35*G35</f>
        <v>-703127.29701</v>
      </c>
      <c r="J35" s="20"/>
      <c r="K35" s="20">
        <f>+A35</f>
        <v>1</v>
      </c>
      <c r="L35" s="23"/>
      <c r="M35" s="35" t="str">
        <f>+B35</f>
        <v>Elimination of Trans UCU</v>
      </c>
      <c r="N35" s="23"/>
      <c r="O35" s="23"/>
      <c r="P35" s="32">
        <v>-703127</v>
      </c>
      <c r="Q35" s="23"/>
      <c r="R35" s="24">
        <v>1</v>
      </c>
      <c r="S35" s="23"/>
      <c r="T35" s="61">
        <f>+P35*R35</f>
        <v>-703127</v>
      </c>
      <c r="U35" s="23"/>
      <c r="V35" s="23"/>
      <c r="W35" s="23"/>
      <c r="X35" s="23"/>
      <c r="Y35" s="23"/>
      <c r="Z35" s="23"/>
    </row>
    <row r="36" spans="1:26" ht="12.75">
      <c r="A36" s="45"/>
      <c r="B36" s="23"/>
      <c r="C36" s="23"/>
      <c r="D36" s="30"/>
      <c r="E36" s="32"/>
      <c r="F36" s="23"/>
      <c r="G36" s="95"/>
      <c r="H36" s="23"/>
      <c r="I36" s="32"/>
      <c r="J36" s="20"/>
      <c r="K36" s="20"/>
      <c r="L36" s="23"/>
      <c r="M36" s="36"/>
      <c r="N36" s="23"/>
      <c r="O36" s="23"/>
      <c r="P36" s="32"/>
      <c r="Q36" s="23"/>
      <c r="R36" s="24"/>
      <c r="S36" s="23"/>
      <c r="T36" s="32"/>
      <c r="U36" s="23"/>
      <c r="V36" s="23"/>
      <c r="W36" s="23"/>
      <c r="X36" s="23"/>
      <c r="Y36" s="23"/>
      <c r="Z36" s="23"/>
    </row>
    <row r="37" spans="1:26" ht="12.75">
      <c r="A37" s="45">
        <f>+A35+1</f>
        <v>2</v>
      </c>
      <c r="B37" s="23" t="s">
        <v>342</v>
      </c>
      <c r="C37" s="23">
        <v>501</v>
      </c>
      <c r="D37" s="30" t="s">
        <v>745</v>
      </c>
      <c r="E37" s="32">
        <v>-3606301</v>
      </c>
      <c r="F37" s="23"/>
      <c r="G37" s="95">
        <v>0.9847</v>
      </c>
      <c r="H37" s="23"/>
      <c r="I37" s="32">
        <f>+E37*G37</f>
        <v>-3551124.5947000002</v>
      </c>
      <c r="J37" s="20"/>
      <c r="K37" s="20">
        <f>+A37</f>
        <v>2</v>
      </c>
      <c r="L37" s="23"/>
      <c r="M37" s="36" t="str">
        <f>+B37</f>
        <v>Annualize Fuel Expense </v>
      </c>
      <c r="N37" s="23"/>
      <c r="O37" s="23"/>
      <c r="P37" s="32">
        <v>410582</v>
      </c>
      <c r="Q37" s="23"/>
      <c r="R37" s="24">
        <v>1</v>
      </c>
      <c r="S37" s="23"/>
      <c r="T37" s="32">
        <f>+P37*R37</f>
        <v>410582</v>
      </c>
      <c r="U37" s="23"/>
      <c r="V37" s="23"/>
      <c r="W37" s="23"/>
      <c r="X37" s="23"/>
      <c r="Y37" s="23"/>
      <c r="Z37" s="23"/>
    </row>
    <row r="38" spans="1:26" ht="12.75">
      <c r="A38" s="45"/>
      <c r="B38" s="23"/>
      <c r="C38" s="23"/>
      <c r="D38" s="30"/>
      <c r="E38" s="32"/>
      <c r="F38" s="23"/>
      <c r="G38" s="95"/>
      <c r="H38" s="23"/>
      <c r="I38" s="32"/>
      <c r="J38" s="20"/>
      <c r="K38" s="20"/>
      <c r="L38" s="23"/>
      <c r="M38" s="36"/>
      <c r="N38" s="23"/>
      <c r="O38" s="23"/>
      <c r="P38" s="32"/>
      <c r="Q38" s="23"/>
      <c r="R38" s="24"/>
      <c r="S38" s="23"/>
      <c r="T38" s="32"/>
      <c r="U38" s="23"/>
      <c r="V38" s="23"/>
      <c r="W38" s="23"/>
      <c r="X38" s="23"/>
      <c r="Y38" s="23"/>
      <c r="Z38" s="23"/>
    </row>
    <row r="39" spans="1:26" ht="12.75">
      <c r="A39" s="45">
        <f>+A37+1</f>
        <v>3</v>
      </c>
      <c r="B39" s="23" t="s">
        <v>342</v>
      </c>
      <c r="C39" s="23">
        <v>547</v>
      </c>
      <c r="D39" s="30" t="s">
        <v>746</v>
      </c>
      <c r="E39" s="32">
        <v>-328695</v>
      </c>
      <c r="F39" s="23"/>
      <c r="G39" s="95">
        <v>0.9847</v>
      </c>
      <c r="H39" s="23"/>
      <c r="I39" s="32">
        <f>+E39*G39</f>
        <v>-323665.9665</v>
      </c>
      <c r="J39" s="20"/>
      <c r="K39" s="20">
        <f>+A39</f>
        <v>3</v>
      </c>
      <c r="L39" s="23"/>
      <c r="M39" s="36" t="str">
        <f>+B39</f>
        <v>Annualize Fuel Expense </v>
      </c>
      <c r="N39" s="23"/>
      <c r="O39" s="23"/>
      <c r="P39" s="32">
        <v>-3080303</v>
      </c>
      <c r="Q39" s="23"/>
      <c r="R39" s="24">
        <v>1</v>
      </c>
      <c r="S39" s="23"/>
      <c r="T39" s="32">
        <f>+P39*R39</f>
        <v>-3080303</v>
      </c>
      <c r="U39" s="23"/>
      <c r="V39" s="23"/>
      <c r="W39" s="23"/>
      <c r="X39" s="23"/>
      <c r="Y39" s="23"/>
      <c r="Z39" s="23"/>
    </row>
    <row r="40" spans="1:26" ht="12.75">
      <c r="A40" s="45"/>
      <c r="B40" s="23"/>
      <c r="C40" s="23"/>
      <c r="D40" s="30"/>
      <c r="E40" s="32"/>
      <c r="F40" s="23"/>
      <c r="G40" s="95"/>
      <c r="H40" s="23"/>
      <c r="I40" s="32"/>
      <c r="J40" s="20"/>
      <c r="K40" s="20"/>
      <c r="L40" s="23"/>
      <c r="M40" s="36"/>
      <c r="N40" s="23"/>
      <c r="O40" s="23"/>
      <c r="P40" s="32"/>
      <c r="Q40" s="23"/>
      <c r="R40" s="24"/>
      <c r="S40" s="23"/>
      <c r="T40" s="32"/>
      <c r="U40" s="23"/>
      <c r="V40" s="23"/>
      <c r="W40" s="23"/>
      <c r="X40" s="23"/>
      <c r="Y40" s="23"/>
      <c r="Z40" s="23"/>
    </row>
    <row r="41" spans="1:26" ht="12.75">
      <c r="A41" s="45">
        <f>+A39+1</f>
        <v>4</v>
      </c>
      <c r="B41" s="23" t="s">
        <v>454</v>
      </c>
      <c r="C41" s="23"/>
      <c r="D41" s="30"/>
      <c r="E41" s="32">
        <v>0</v>
      </c>
      <c r="F41" s="23"/>
      <c r="G41" s="95">
        <v>1</v>
      </c>
      <c r="H41" s="23"/>
      <c r="I41" s="32">
        <f>+E41*G41</f>
        <v>0</v>
      </c>
      <c r="J41" s="20"/>
      <c r="K41" s="20">
        <f>+A41</f>
        <v>4</v>
      </c>
      <c r="L41" s="23"/>
      <c r="M41" s="36" t="str">
        <f>+B41</f>
        <v>Gas Cost Cap Adj</v>
      </c>
      <c r="N41" s="23"/>
      <c r="O41" s="23"/>
      <c r="P41" s="32">
        <v>4568958</v>
      </c>
      <c r="Q41" s="23"/>
      <c r="R41" s="24">
        <v>1</v>
      </c>
      <c r="S41" s="23"/>
      <c r="T41" s="32">
        <f>+P41*R41</f>
        <v>4568958</v>
      </c>
      <c r="U41" s="23"/>
      <c r="V41" s="23"/>
      <c r="W41" s="23"/>
      <c r="X41" s="23"/>
      <c r="Y41" s="23"/>
      <c r="Z41" s="23"/>
    </row>
    <row r="42" spans="1:26" ht="12.75">
      <c r="A42" s="45"/>
      <c r="B42" s="23"/>
      <c r="C42" s="23"/>
      <c r="D42" s="30"/>
      <c r="E42" s="32"/>
      <c r="F42" s="23"/>
      <c r="G42" s="95"/>
      <c r="H42" s="23"/>
      <c r="I42" s="32"/>
      <c r="J42" s="20"/>
      <c r="K42" s="20"/>
      <c r="L42" s="23"/>
      <c r="M42" s="36"/>
      <c r="N42" s="23"/>
      <c r="O42" s="23"/>
      <c r="P42" s="32"/>
      <c r="Q42" s="23"/>
      <c r="R42" s="24"/>
      <c r="S42" s="23"/>
      <c r="T42" s="32"/>
      <c r="U42" s="23"/>
      <c r="V42" s="23"/>
      <c r="W42" s="23"/>
      <c r="X42" s="23"/>
      <c r="Y42" s="23"/>
      <c r="Z42" s="23"/>
    </row>
    <row r="43" spans="1:26" ht="12.75">
      <c r="A43" s="45">
        <f>+A41+1</f>
        <v>5</v>
      </c>
      <c r="B43" s="23" t="s">
        <v>833</v>
      </c>
      <c r="C43" s="23"/>
      <c r="D43" s="30" t="s">
        <v>739</v>
      </c>
      <c r="E43" s="20">
        <v>68512</v>
      </c>
      <c r="F43" s="23"/>
      <c r="G43" s="95">
        <v>0.9869</v>
      </c>
      <c r="H43" s="23"/>
      <c r="I43" s="32">
        <f>+E43*G43</f>
        <v>67614.49279999999</v>
      </c>
      <c r="J43" s="20"/>
      <c r="K43" s="20">
        <f>+A43</f>
        <v>5</v>
      </c>
      <c r="L43" s="23"/>
      <c r="M43" s="36" t="str">
        <f>+B43</f>
        <v>Annualize Emission Allowances</v>
      </c>
      <c r="N43" s="23"/>
      <c r="O43" s="23"/>
      <c r="P43" s="32">
        <v>-704030</v>
      </c>
      <c r="Q43" s="23"/>
      <c r="R43" s="24">
        <v>1</v>
      </c>
      <c r="S43" s="23"/>
      <c r="T43" s="32">
        <f>+P43*R43</f>
        <v>-704030</v>
      </c>
      <c r="U43" s="23"/>
      <c r="V43" s="23"/>
      <c r="W43" s="23"/>
      <c r="X43" s="23"/>
      <c r="Y43" s="23"/>
      <c r="Z43" s="23"/>
    </row>
    <row r="44" spans="1:26" ht="12.75">
      <c r="A44" s="45"/>
      <c r="B44" s="23"/>
      <c r="C44" s="23"/>
      <c r="D44" s="30"/>
      <c r="E44" s="32"/>
      <c r="F44" s="23"/>
      <c r="G44" s="95"/>
      <c r="H44" s="23"/>
      <c r="I44" s="32"/>
      <c r="J44" s="20"/>
      <c r="K44" s="20"/>
      <c r="L44" s="23"/>
      <c r="M44" s="36"/>
      <c r="N44" s="23"/>
      <c r="O44" s="23"/>
      <c r="P44" s="32"/>
      <c r="Q44" s="23"/>
      <c r="R44" s="24"/>
      <c r="S44" s="23"/>
      <c r="T44" s="32"/>
      <c r="U44" s="23"/>
      <c r="V44" s="23"/>
      <c r="W44" s="23"/>
      <c r="X44" s="23"/>
      <c r="Y44" s="23"/>
      <c r="Z44" s="23"/>
    </row>
    <row r="45" spans="1:26" ht="12.75">
      <c r="A45" s="45">
        <f>+A43+1</f>
        <v>6</v>
      </c>
      <c r="B45" s="23" t="s">
        <v>767</v>
      </c>
      <c r="C45" s="23"/>
      <c r="D45" s="30" t="s">
        <v>768</v>
      </c>
      <c r="E45" s="20">
        <v>137263</v>
      </c>
      <c r="F45" s="23"/>
      <c r="G45" s="95">
        <v>0.86327</v>
      </c>
      <c r="H45" s="23"/>
      <c r="I45" s="32">
        <f>+E45*G45</f>
        <v>118495.03001</v>
      </c>
      <c r="J45" s="23"/>
      <c r="K45" s="20">
        <f>+A45</f>
        <v>6</v>
      </c>
      <c r="L45" s="23"/>
      <c r="M45" s="36" t="str">
        <f>+B45</f>
        <v>Pension Expense</v>
      </c>
      <c r="N45" s="23"/>
      <c r="O45" s="23"/>
      <c r="P45" s="20">
        <v>780786</v>
      </c>
      <c r="Q45" s="23"/>
      <c r="R45" s="24">
        <v>1</v>
      </c>
      <c r="S45" s="23"/>
      <c r="T45" s="32">
        <f>+P45*R45</f>
        <v>780786</v>
      </c>
      <c r="U45" s="23"/>
      <c r="V45" s="23"/>
      <c r="W45" s="23"/>
      <c r="X45" s="23"/>
      <c r="Y45" s="23"/>
      <c r="Z45" s="23"/>
    </row>
    <row r="46" spans="1:26" ht="12.75">
      <c r="A46" s="45"/>
      <c r="B46" s="23"/>
      <c r="C46" s="23"/>
      <c r="D46" s="30"/>
      <c r="E46" s="20"/>
      <c r="F46" s="23"/>
      <c r="G46" s="95"/>
      <c r="H46" s="23"/>
      <c r="I46" s="32"/>
      <c r="J46" s="23"/>
      <c r="K46" s="20"/>
      <c r="L46" s="23"/>
      <c r="M46" s="36"/>
      <c r="N46" s="23"/>
      <c r="O46" s="23"/>
      <c r="P46" s="20"/>
      <c r="Q46" s="23"/>
      <c r="R46" s="24"/>
      <c r="S46" s="23"/>
      <c r="T46" s="32"/>
      <c r="U46" s="23"/>
      <c r="V46" s="23"/>
      <c r="W46" s="23"/>
      <c r="X46" s="23"/>
      <c r="Y46" s="23"/>
      <c r="Z46" s="23"/>
    </row>
    <row r="47" spans="1:26" ht="12.75">
      <c r="A47" s="45">
        <f>+A45+1</f>
        <v>7</v>
      </c>
      <c r="B47" s="23" t="s">
        <v>769</v>
      </c>
      <c r="C47" s="23"/>
      <c r="D47" s="30" t="s">
        <v>770</v>
      </c>
      <c r="E47" s="20">
        <v>-474008</v>
      </c>
      <c r="F47" s="23"/>
      <c r="G47" s="95">
        <v>0.86327</v>
      </c>
      <c r="H47" s="23"/>
      <c r="I47" s="32">
        <f>+E47*G47</f>
        <v>-409196.88616</v>
      </c>
      <c r="J47" s="23"/>
      <c r="K47" s="20">
        <f>+K45+1</f>
        <v>7</v>
      </c>
      <c r="L47" s="23"/>
      <c r="M47" s="35" t="str">
        <f>+B47</f>
        <v>OPEBS - FAS 106 Expense</v>
      </c>
      <c r="N47" s="23"/>
      <c r="O47" s="23"/>
      <c r="P47" s="20">
        <v>-409197</v>
      </c>
      <c r="Q47" s="23"/>
      <c r="R47" s="24">
        <v>1</v>
      </c>
      <c r="S47" s="23"/>
      <c r="T47" s="61">
        <f>+P47*R47</f>
        <v>-409197</v>
      </c>
      <c r="U47" s="23"/>
      <c r="V47" s="23"/>
      <c r="W47" s="23"/>
      <c r="X47" s="23"/>
      <c r="Y47" s="23"/>
      <c r="Z47" s="23"/>
    </row>
    <row r="48" spans="1:26" ht="12.75">
      <c r="A48" s="45"/>
      <c r="B48" s="23"/>
      <c r="C48" s="23"/>
      <c r="D48" s="30"/>
      <c r="E48" s="20"/>
      <c r="F48" s="23"/>
      <c r="G48" s="95"/>
      <c r="H48" s="23"/>
      <c r="I48" s="9"/>
      <c r="J48" s="9"/>
      <c r="K48" s="20"/>
      <c r="L48" s="23"/>
      <c r="M48" s="36"/>
      <c r="N48" s="23"/>
      <c r="O48" s="23"/>
      <c r="P48" s="20"/>
      <c r="Q48" s="23"/>
      <c r="R48" s="24"/>
      <c r="S48" s="23"/>
      <c r="T48" s="9"/>
      <c r="U48" s="23"/>
      <c r="V48" s="23"/>
      <c r="W48" s="23"/>
      <c r="X48" s="23"/>
      <c r="Y48" s="23"/>
      <c r="Z48" s="23"/>
    </row>
    <row r="49" spans="1:20" ht="12.75">
      <c r="A49" s="45">
        <f>+A47+1</f>
        <v>8</v>
      </c>
      <c r="B49" t="s">
        <v>771</v>
      </c>
      <c r="C49" s="29"/>
      <c r="D49" s="30" t="s">
        <v>774</v>
      </c>
      <c r="E49" s="20">
        <v>1422708</v>
      </c>
      <c r="F49" s="23"/>
      <c r="G49" s="95">
        <v>1</v>
      </c>
      <c r="H49" s="23"/>
      <c r="I49" s="32">
        <f>+E49*G49</f>
        <v>1422708</v>
      </c>
      <c r="J49" s="9"/>
      <c r="K49" s="20">
        <f>+A49</f>
        <v>8</v>
      </c>
      <c r="M49" s="36" t="str">
        <f>+B49</f>
        <v>Amortize Prepaid Pension Asset</v>
      </c>
      <c r="N49" s="23"/>
      <c r="O49" s="23"/>
      <c r="P49" s="20">
        <v>0</v>
      </c>
      <c r="Q49" s="23"/>
      <c r="R49" s="24">
        <v>1</v>
      </c>
      <c r="S49" s="23"/>
      <c r="T49" s="32">
        <f>+P49*R49</f>
        <v>0</v>
      </c>
    </row>
    <row r="50" spans="1:20" ht="12.75">
      <c r="A50" s="45"/>
      <c r="B50" s="25" t="s">
        <v>772</v>
      </c>
      <c r="C50" s="25"/>
      <c r="D50" s="30"/>
      <c r="E50" s="20"/>
      <c r="F50" s="23"/>
      <c r="G50" s="95"/>
      <c r="H50" s="23"/>
      <c r="I50" s="9"/>
      <c r="J50" s="9"/>
      <c r="K50" s="9"/>
      <c r="M50" s="36"/>
      <c r="N50" s="23"/>
      <c r="O50" s="23"/>
      <c r="P50" s="20"/>
      <c r="Q50" s="23"/>
      <c r="R50" s="24"/>
      <c r="S50" s="23"/>
      <c r="T50" s="9"/>
    </row>
    <row r="51" spans="1:20" ht="12.75">
      <c r="A51" s="45">
        <f>+A49+1</f>
        <v>9</v>
      </c>
      <c r="B51" s="23" t="s">
        <v>738</v>
      </c>
      <c r="C51" s="23"/>
      <c r="D51" s="30" t="s">
        <v>775</v>
      </c>
      <c r="E51" s="20">
        <v>155365</v>
      </c>
      <c r="F51" s="23"/>
      <c r="G51" s="95">
        <v>0.9869</v>
      </c>
      <c r="H51" s="23"/>
      <c r="I51" s="32">
        <f>+E51*G51</f>
        <v>153329.7185</v>
      </c>
      <c r="J51" s="9"/>
      <c r="K51" s="20">
        <f>+A51</f>
        <v>9</v>
      </c>
      <c r="M51" s="35" t="str">
        <f>+B51</f>
        <v>Transmission of Power by Others</v>
      </c>
      <c r="N51" s="23"/>
      <c r="O51" s="23"/>
      <c r="P51" s="20">
        <v>153330</v>
      </c>
      <c r="Q51" s="23"/>
      <c r="R51" s="24">
        <v>1</v>
      </c>
      <c r="S51" s="23"/>
      <c r="T51" s="61">
        <f>+P51*R51</f>
        <v>153330</v>
      </c>
    </row>
    <row r="52" spans="1:20" ht="12.75">
      <c r="A52" s="45"/>
      <c r="B52" s="23"/>
      <c r="C52" s="23"/>
      <c r="D52" s="30"/>
      <c r="E52" s="20"/>
      <c r="F52" s="23"/>
      <c r="G52" s="95"/>
      <c r="H52" s="23"/>
      <c r="I52" s="9"/>
      <c r="J52" s="9"/>
      <c r="K52" s="9"/>
      <c r="M52" s="36"/>
      <c r="N52" s="23"/>
      <c r="O52" s="23"/>
      <c r="P52" s="20"/>
      <c r="Q52" s="23"/>
      <c r="R52" s="24"/>
      <c r="S52" s="23"/>
      <c r="T52" s="9"/>
    </row>
    <row r="53" spans="1:20" ht="12.75">
      <c r="A53" s="45">
        <f>+A51+1</f>
        <v>10</v>
      </c>
      <c r="B53" s="29" t="s">
        <v>350</v>
      </c>
      <c r="C53" s="23"/>
      <c r="D53" s="30" t="s">
        <v>742</v>
      </c>
      <c r="E53" s="21">
        <v>-318389</v>
      </c>
      <c r="F53" s="23"/>
      <c r="G53" s="95">
        <v>1</v>
      </c>
      <c r="H53" s="23"/>
      <c r="I53" s="61">
        <f>+E53*G53</f>
        <v>-318389</v>
      </c>
      <c r="J53" s="9"/>
      <c r="K53" s="20">
        <f>+A53</f>
        <v>10</v>
      </c>
      <c r="M53" s="36" t="str">
        <f>+B53</f>
        <v>Annualize Bad Debt Expense</v>
      </c>
      <c r="N53" s="23"/>
      <c r="O53" s="23"/>
      <c r="P53" s="20">
        <v>47639</v>
      </c>
      <c r="Q53" s="23"/>
      <c r="R53" s="24">
        <v>1</v>
      </c>
      <c r="S53" s="23"/>
      <c r="T53" s="32">
        <f>+P53*R53</f>
        <v>47639</v>
      </c>
    </row>
    <row r="54" spans="1:20" ht="12.75">
      <c r="A54" s="45"/>
      <c r="B54" s="23"/>
      <c r="C54" s="23"/>
      <c r="D54" s="30"/>
      <c r="E54" s="32"/>
      <c r="F54" s="23"/>
      <c r="G54" s="95"/>
      <c r="I54" s="32"/>
      <c r="J54" s="9"/>
      <c r="K54" s="9"/>
      <c r="M54" s="36"/>
      <c r="N54" s="23"/>
      <c r="O54" s="23"/>
      <c r="P54" s="32"/>
      <c r="Q54" s="23"/>
      <c r="R54" s="24"/>
      <c r="T54" s="32"/>
    </row>
    <row r="55" spans="1:20" ht="12.75">
      <c r="A55" s="45">
        <f>+A53+1</f>
        <v>11</v>
      </c>
      <c r="B55" s="23" t="s">
        <v>352</v>
      </c>
      <c r="C55" s="23"/>
      <c r="D55" s="30" t="s">
        <v>748</v>
      </c>
      <c r="E55" s="20">
        <v>9725320</v>
      </c>
      <c r="F55" s="23"/>
      <c r="G55" s="95">
        <v>0.9847</v>
      </c>
      <c r="I55" s="32">
        <f>+E55*G55</f>
        <v>9576522.604</v>
      </c>
      <c r="J55" s="9"/>
      <c r="K55" s="20">
        <f>+A55</f>
        <v>11</v>
      </c>
      <c r="M55" s="36" t="str">
        <f>+B55</f>
        <v>Annualize Purchased Power-Energy Costs</v>
      </c>
      <c r="N55" s="23"/>
      <c r="O55" s="23"/>
      <c r="P55" s="20">
        <v>14356451</v>
      </c>
      <c r="Q55" s="23"/>
      <c r="R55" s="24">
        <v>1</v>
      </c>
      <c r="T55" s="32">
        <f>+P55*R55</f>
        <v>14356451</v>
      </c>
    </row>
    <row r="56" spans="1:20" ht="12.75">
      <c r="A56" s="45"/>
      <c r="B56" s="23"/>
      <c r="C56" s="23"/>
      <c r="D56" s="30"/>
      <c r="E56" s="20"/>
      <c r="F56" s="23"/>
      <c r="G56" s="95"/>
      <c r="I56" s="32"/>
      <c r="J56" s="9"/>
      <c r="K56" s="9"/>
      <c r="M56" s="36"/>
      <c r="O56" s="23"/>
      <c r="P56" s="20"/>
      <c r="Q56" s="23"/>
      <c r="R56" s="24"/>
      <c r="T56" s="32"/>
    </row>
    <row r="57" spans="1:20" ht="12.75">
      <c r="A57" s="45">
        <f>+A55+1</f>
        <v>12</v>
      </c>
      <c r="B57" s="29" t="s">
        <v>361</v>
      </c>
      <c r="C57" s="23"/>
      <c r="D57" s="30" t="s">
        <v>749</v>
      </c>
      <c r="E57" s="21">
        <v>-4697526</v>
      </c>
      <c r="F57" s="23"/>
      <c r="G57" s="95">
        <v>0.9869</v>
      </c>
      <c r="I57" s="61">
        <f>+E57*G57</f>
        <v>-4635988.4094</v>
      </c>
      <c r="J57" s="9"/>
      <c r="K57" s="20">
        <f>+A57</f>
        <v>12</v>
      </c>
      <c r="M57" s="36" t="str">
        <f>+B57</f>
        <v>Annualize Purchased Power Demand Costs</v>
      </c>
      <c r="N57" s="23"/>
      <c r="O57" s="23"/>
      <c r="P57" s="20">
        <v>1617164</v>
      </c>
      <c r="Q57" s="23"/>
      <c r="R57" s="24">
        <v>1</v>
      </c>
      <c r="T57" s="32">
        <f>+P57*R57</f>
        <v>1617164</v>
      </c>
    </row>
    <row r="58" spans="1:20" ht="12.75">
      <c r="A58" s="45"/>
      <c r="B58" s="23"/>
      <c r="C58" s="23"/>
      <c r="D58" s="30"/>
      <c r="E58" s="20"/>
      <c r="F58" s="23"/>
      <c r="G58" s="95"/>
      <c r="I58" s="32"/>
      <c r="J58" s="9"/>
      <c r="K58" s="9"/>
      <c r="M58" s="36"/>
      <c r="N58" s="23"/>
      <c r="O58" s="23"/>
      <c r="P58" s="20"/>
      <c r="Q58" s="23"/>
      <c r="R58" s="24"/>
      <c r="T58" s="32"/>
    </row>
    <row r="59" spans="1:20" ht="12.75">
      <c r="A59" s="45">
        <f>+A57+1</f>
        <v>13</v>
      </c>
      <c r="B59" s="48" t="s">
        <v>351</v>
      </c>
      <c r="C59" s="23"/>
      <c r="D59" s="30" t="s">
        <v>773</v>
      </c>
      <c r="E59" s="20">
        <v>-136847</v>
      </c>
      <c r="F59" s="23"/>
      <c r="G59" s="95">
        <v>1</v>
      </c>
      <c r="I59" s="32">
        <f>+E59*G59</f>
        <v>-136847</v>
      </c>
      <c r="J59" s="9"/>
      <c r="K59" s="20">
        <f>+A59</f>
        <v>13</v>
      </c>
      <c r="M59" s="36" t="str">
        <f>+B59</f>
        <v>PSC Assessment</v>
      </c>
      <c r="N59" s="23"/>
      <c r="O59" s="23"/>
      <c r="P59" s="20">
        <v>-136847</v>
      </c>
      <c r="Q59" s="23"/>
      <c r="R59" s="24">
        <v>1</v>
      </c>
      <c r="T59" s="32">
        <f>+P59*R59</f>
        <v>-136847</v>
      </c>
    </row>
    <row r="60" spans="1:20" ht="12.75">
      <c r="A60" s="45"/>
      <c r="B60" s="23"/>
      <c r="C60" s="23"/>
      <c r="D60" s="30"/>
      <c r="E60" s="20"/>
      <c r="F60" s="23"/>
      <c r="G60" s="95"/>
      <c r="I60" s="32"/>
      <c r="J60" s="9"/>
      <c r="K60" s="18"/>
      <c r="M60" s="36"/>
      <c r="N60" s="23"/>
      <c r="O60" s="23"/>
      <c r="P60" s="20"/>
      <c r="Q60" s="23"/>
      <c r="R60" s="24"/>
      <c r="T60" s="32"/>
    </row>
    <row r="61" spans="1:20" ht="12.75">
      <c r="A61" s="45">
        <f>+A59+1</f>
        <v>14</v>
      </c>
      <c r="B61" s="29" t="s">
        <v>776</v>
      </c>
      <c r="C61" s="23"/>
      <c r="D61" s="30" t="s">
        <v>779</v>
      </c>
      <c r="E61" s="20">
        <v>-697</v>
      </c>
      <c r="F61" s="23"/>
      <c r="G61" s="95">
        <v>0.86327</v>
      </c>
      <c r="I61" s="32">
        <f>+E61*G61</f>
        <v>-601.69919</v>
      </c>
      <c r="J61" s="9"/>
      <c r="K61" s="20">
        <f>+A61</f>
        <v>14</v>
      </c>
      <c r="M61" s="36" t="str">
        <f>+B61</f>
        <v>Annualize 401 K Benefits</v>
      </c>
      <c r="N61" s="23"/>
      <c r="O61" s="23"/>
      <c r="P61" s="20">
        <v>-602</v>
      </c>
      <c r="Q61" s="23"/>
      <c r="R61" s="24">
        <v>1</v>
      </c>
      <c r="T61" s="61">
        <f>+P61*R61</f>
        <v>-602</v>
      </c>
    </row>
    <row r="62" spans="1:20" ht="12.75">
      <c r="A62" s="45"/>
      <c r="B62" s="23"/>
      <c r="C62" s="23"/>
      <c r="D62" s="30"/>
      <c r="E62" s="32"/>
      <c r="F62" s="23"/>
      <c r="G62" s="95"/>
      <c r="I62" s="32"/>
      <c r="J62" s="9"/>
      <c r="K62" s="9"/>
      <c r="M62" s="36"/>
      <c r="N62" s="23"/>
      <c r="O62" s="23"/>
      <c r="P62" s="32"/>
      <c r="Q62" s="23"/>
      <c r="R62" s="24"/>
      <c r="T62" s="32"/>
    </row>
    <row r="63" spans="1:20" ht="12.75">
      <c r="A63" s="45">
        <f>+A61+1</f>
        <v>15</v>
      </c>
      <c r="B63" s="48" t="s">
        <v>353</v>
      </c>
      <c r="C63" s="29"/>
      <c r="D63" s="30" t="s">
        <v>741</v>
      </c>
      <c r="E63" s="20">
        <v>686496</v>
      </c>
      <c r="F63" s="23"/>
      <c r="G63" s="95">
        <v>1</v>
      </c>
      <c r="I63" s="32">
        <f>+E63*G63</f>
        <v>686496</v>
      </c>
      <c r="J63" s="9"/>
      <c r="K63" s="20">
        <f>+A63</f>
        <v>15</v>
      </c>
      <c r="M63" s="36" t="str">
        <f>+B63</f>
        <v>Interest on Accounts Receivable</v>
      </c>
      <c r="N63" s="23"/>
      <c r="O63" s="23"/>
      <c r="P63" s="20"/>
      <c r="Q63" s="23"/>
      <c r="R63" s="24">
        <v>1</v>
      </c>
      <c r="T63" s="32">
        <f>+P63*R63</f>
        <v>0</v>
      </c>
    </row>
    <row r="64" spans="1:20" ht="12.75">
      <c r="A64" s="45"/>
      <c r="B64" s="23"/>
      <c r="C64" s="23"/>
      <c r="D64" s="30"/>
      <c r="E64" s="20"/>
      <c r="F64" s="23"/>
      <c r="G64" s="95"/>
      <c r="I64" s="32"/>
      <c r="J64" s="9"/>
      <c r="K64" s="9"/>
      <c r="M64" s="36"/>
      <c r="N64" s="23"/>
      <c r="O64" s="23"/>
      <c r="P64" s="20"/>
      <c r="Q64" s="23"/>
      <c r="R64" s="24"/>
      <c r="T64" s="32"/>
    </row>
    <row r="65" spans="1:20" ht="12.75">
      <c r="A65" s="45">
        <f>+A63+1</f>
        <v>16</v>
      </c>
      <c r="B65" s="23"/>
      <c r="C65" s="23"/>
      <c r="D65" s="30"/>
      <c r="E65" s="20"/>
      <c r="F65" s="23"/>
      <c r="G65" s="95">
        <v>1</v>
      </c>
      <c r="I65" s="32">
        <f>+E65*G65</f>
        <v>0</v>
      </c>
      <c r="J65" s="9"/>
      <c r="K65" s="20">
        <f>+A65</f>
        <v>16</v>
      </c>
      <c r="M65" s="36">
        <f>+B65</f>
        <v>0</v>
      </c>
      <c r="N65" s="23"/>
      <c r="O65" s="23"/>
      <c r="P65" s="20"/>
      <c r="Q65" s="23"/>
      <c r="R65" s="24">
        <v>1</v>
      </c>
      <c r="T65" s="9">
        <f>+P65*R65</f>
        <v>0</v>
      </c>
    </row>
    <row r="66" spans="1:20" ht="12.75">
      <c r="A66" s="45"/>
      <c r="B66" s="55"/>
      <c r="C66" s="41"/>
      <c r="D66" s="30"/>
      <c r="E66" s="20"/>
      <c r="F66" s="23"/>
      <c r="G66" s="95"/>
      <c r="I66" s="32"/>
      <c r="J66" s="9"/>
      <c r="K66" s="20"/>
      <c r="M66" s="36"/>
      <c r="N66" s="23"/>
      <c r="O66" s="23"/>
      <c r="P66" s="20"/>
      <c r="Q66" s="23"/>
      <c r="R66" s="24"/>
      <c r="T66" s="32"/>
    </row>
    <row r="67" spans="1:20" ht="12.75">
      <c r="A67" s="45">
        <f>+A65+1</f>
        <v>17</v>
      </c>
      <c r="B67" s="29" t="s">
        <v>355</v>
      </c>
      <c r="C67" s="25"/>
      <c r="D67" s="30" t="s">
        <v>782</v>
      </c>
      <c r="E67" s="21">
        <v>149146</v>
      </c>
      <c r="F67" s="23"/>
      <c r="G67" s="95">
        <v>1</v>
      </c>
      <c r="I67" s="61">
        <f>+E67*G67</f>
        <v>149146</v>
      </c>
      <c r="J67" s="9"/>
      <c r="K67" s="20">
        <f>+A67</f>
        <v>17</v>
      </c>
      <c r="M67" s="36" t="str">
        <f>+B67</f>
        <v>Annualize Rate Case Expense</v>
      </c>
      <c r="N67" s="23"/>
      <c r="O67" s="23"/>
      <c r="P67" s="20">
        <v>149146</v>
      </c>
      <c r="Q67" s="23"/>
      <c r="R67" s="24">
        <v>1</v>
      </c>
      <c r="T67" s="9">
        <f>+P67*R67</f>
        <v>149146</v>
      </c>
    </row>
    <row r="68" spans="1:20" ht="12.75">
      <c r="A68" s="45"/>
      <c r="B68" s="23"/>
      <c r="C68" s="23"/>
      <c r="D68" s="30"/>
      <c r="E68" s="20"/>
      <c r="F68" s="23"/>
      <c r="G68" s="95"/>
      <c r="I68" s="32"/>
      <c r="J68" s="9"/>
      <c r="K68" s="20"/>
      <c r="M68" s="36"/>
      <c r="N68" s="23"/>
      <c r="O68" s="23"/>
      <c r="P68" s="20"/>
      <c r="Q68" s="23"/>
      <c r="R68" s="24"/>
      <c r="T68" s="32"/>
    </row>
    <row r="69" spans="1:20" ht="12.75">
      <c r="A69" s="45">
        <f>+A67+1</f>
        <v>18</v>
      </c>
      <c r="B69" s="23" t="s">
        <v>356</v>
      </c>
      <c r="C69" s="23"/>
      <c r="D69" s="30" t="s">
        <v>783</v>
      </c>
      <c r="E69" s="20">
        <v>-156370</v>
      </c>
      <c r="F69" s="23"/>
      <c r="G69" s="95">
        <v>0.93106</v>
      </c>
      <c r="I69" s="32">
        <f>+E69*G69</f>
        <v>-145589.8522</v>
      </c>
      <c r="J69" s="9"/>
      <c r="K69" s="20">
        <f>+A69</f>
        <v>18</v>
      </c>
      <c r="M69" s="36" t="str">
        <f>+B69</f>
        <v>Annualize Property Tax Expense</v>
      </c>
      <c r="N69" s="23"/>
      <c r="O69" s="23"/>
      <c r="P69" s="20">
        <v>113855</v>
      </c>
      <c r="Q69" s="23"/>
      <c r="R69" s="24">
        <v>1</v>
      </c>
      <c r="T69" s="9">
        <f>+P69*R69</f>
        <v>113855</v>
      </c>
    </row>
    <row r="70" spans="1:20" ht="12.75">
      <c r="A70" s="45"/>
      <c r="B70" s="23"/>
      <c r="C70" s="23"/>
      <c r="D70" s="30"/>
      <c r="E70" s="20"/>
      <c r="F70" s="23"/>
      <c r="G70" s="95"/>
      <c r="I70" s="32"/>
      <c r="J70" s="9"/>
      <c r="K70" s="20"/>
      <c r="M70" s="36"/>
      <c r="N70" s="23"/>
      <c r="O70" s="23"/>
      <c r="P70" s="20"/>
      <c r="Q70" s="23"/>
      <c r="R70" s="24"/>
      <c r="T70" s="32"/>
    </row>
    <row r="71" spans="1:20" ht="12.75">
      <c r="A71" s="45">
        <f>+A69+1</f>
        <v>19</v>
      </c>
      <c r="B71" s="29" t="s">
        <v>777</v>
      </c>
      <c r="C71" s="23"/>
      <c r="D71" s="30" t="s">
        <v>778</v>
      </c>
      <c r="E71" s="32">
        <v>-342</v>
      </c>
      <c r="F71" s="23"/>
      <c r="G71" s="95">
        <v>0.86327</v>
      </c>
      <c r="I71" s="32">
        <f>+E71*G71</f>
        <v>-295.23834</v>
      </c>
      <c r="J71" s="9"/>
      <c r="K71" s="20">
        <f>+A71</f>
        <v>19</v>
      </c>
      <c r="M71" s="36" t="str">
        <f>+B71</f>
        <v>Annualize ESOP Contribution</v>
      </c>
      <c r="N71" s="23"/>
      <c r="O71" s="23"/>
      <c r="P71" s="32">
        <v>-295</v>
      </c>
      <c r="Q71" s="23"/>
      <c r="R71" s="24">
        <v>1</v>
      </c>
      <c r="T71" s="13">
        <f>+P71*R71</f>
        <v>-295</v>
      </c>
    </row>
    <row r="72" spans="1:20" ht="12.75">
      <c r="A72" s="45"/>
      <c r="B72" s="23"/>
      <c r="C72" s="23"/>
      <c r="D72" s="30"/>
      <c r="E72" s="32"/>
      <c r="F72" s="23"/>
      <c r="G72" s="95"/>
      <c r="I72" s="32"/>
      <c r="J72" s="9"/>
      <c r="K72" s="20"/>
      <c r="M72" s="36"/>
      <c r="N72" s="23"/>
      <c r="O72" s="23"/>
      <c r="P72" s="32"/>
      <c r="Q72" s="23"/>
      <c r="R72" s="24"/>
      <c r="T72" s="32"/>
    </row>
    <row r="73" spans="1:20" ht="12.75">
      <c r="A73" s="45">
        <f>+A71+1</f>
        <v>20</v>
      </c>
      <c r="B73" s="29" t="s">
        <v>457</v>
      </c>
      <c r="C73" s="23"/>
      <c r="D73" s="30" t="s">
        <v>744</v>
      </c>
      <c r="E73" s="32">
        <v>-1542962</v>
      </c>
      <c r="F73" s="23"/>
      <c r="G73" s="95">
        <v>0.86397</v>
      </c>
      <c r="I73" s="32">
        <f>+E73*G73</f>
        <v>-1333072.87914</v>
      </c>
      <c r="J73" s="9"/>
      <c r="K73" s="20">
        <f>+A73</f>
        <v>20</v>
      </c>
      <c r="M73" s="36" t="str">
        <f>+B73</f>
        <v>Write-Off Pre 2002 Misc Payroll Exp</v>
      </c>
      <c r="N73" s="23"/>
      <c r="O73" s="23"/>
      <c r="P73" s="32">
        <v>-1333073</v>
      </c>
      <c r="Q73" s="23"/>
      <c r="R73" s="24">
        <v>1</v>
      </c>
      <c r="T73" s="13">
        <f>+P73*R73</f>
        <v>-1333073</v>
      </c>
    </row>
    <row r="74" spans="1:28" ht="12.75">
      <c r="A74" s="45"/>
      <c r="B74" s="29"/>
      <c r="C74" s="29"/>
      <c r="D74" s="30"/>
      <c r="E74" s="20"/>
      <c r="F74" s="23"/>
      <c r="G74" s="95"/>
      <c r="H74" s="23"/>
      <c r="I74" s="32"/>
      <c r="J74" s="20"/>
      <c r="K74" s="20"/>
      <c r="L74" s="23"/>
      <c r="M74" s="36"/>
      <c r="N74" s="23"/>
      <c r="O74" s="23"/>
      <c r="P74" s="20"/>
      <c r="Q74" s="23"/>
      <c r="R74" s="24"/>
      <c r="S74" s="23"/>
      <c r="T74" s="32"/>
      <c r="U74" s="23"/>
      <c r="V74" s="23"/>
      <c r="W74" s="23"/>
      <c r="X74" s="23"/>
      <c r="Y74" s="23"/>
      <c r="Z74" s="23"/>
      <c r="AA74" s="23"/>
      <c r="AB74" s="23"/>
    </row>
    <row r="75" spans="1:28" ht="12.75">
      <c r="A75" s="45">
        <f>+A73+1</f>
        <v>21</v>
      </c>
      <c r="B75" s="29" t="s">
        <v>358</v>
      </c>
      <c r="C75" s="23"/>
      <c r="D75" s="30" t="s">
        <v>747</v>
      </c>
      <c r="E75" s="20">
        <v>-3913819</v>
      </c>
      <c r="F75" s="23"/>
      <c r="G75" s="95">
        <v>0.9869</v>
      </c>
      <c r="H75" s="23"/>
      <c r="I75" s="32">
        <f>+E75*G75</f>
        <v>-3862547.9711</v>
      </c>
      <c r="J75" s="20"/>
      <c r="K75" s="20">
        <f>+A75</f>
        <v>21</v>
      </c>
      <c r="L75" s="23"/>
      <c r="M75" s="36" t="str">
        <f>+B75</f>
        <v>Elimination of Greenwood Lease Costs</v>
      </c>
      <c r="N75" s="23"/>
      <c r="O75" s="23"/>
      <c r="P75" s="20">
        <v>-3862548</v>
      </c>
      <c r="Q75" s="23"/>
      <c r="R75" s="24">
        <v>1</v>
      </c>
      <c r="S75" s="23"/>
      <c r="T75" s="61">
        <f>+P75*R75</f>
        <v>-3862548</v>
      </c>
      <c r="U75" s="23"/>
      <c r="V75" s="23"/>
      <c r="W75" s="23"/>
      <c r="X75" s="23"/>
      <c r="Y75" s="23"/>
      <c r="Z75" s="23"/>
      <c r="AA75" s="23"/>
      <c r="AB75" s="23"/>
    </row>
    <row r="76" spans="1:28" ht="12.75">
      <c r="A76" s="45"/>
      <c r="B76" s="29"/>
      <c r="C76" s="29"/>
      <c r="D76" s="30"/>
      <c r="E76" s="20"/>
      <c r="F76" s="23"/>
      <c r="G76" s="95"/>
      <c r="H76" s="23"/>
      <c r="I76" s="32"/>
      <c r="J76" s="20"/>
      <c r="K76" s="9"/>
      <c r="L76" s="23"/>
      <c r="M76" s="36"/>
      <c r="N76" s="23"/>
      <c r="O76" s="23"/>
      <c r="P76" s="20"/>
      <c r="Q76" s="23"/>
      <c r="R76" s="24"/>
      <c r="S76" s="23"/>
      <c r="T76" s="32"/>
      <c r="U76" s="23"/>
      <c r="V76" s="23"/>
      <c r="W76" s="23"/>
      <c r="X76" s="23"/>
      <c r="Y76" s="23"/>
      <c r="Z76" s="23"/>
      <c r="AA76" s="23"/>
      <c r="AB76" s="23"/>
    </row>
    <row r="77" spans="1:28" ht="12.75">
      <c r="A77" s="45">
        <f>+A75+1</f>
        <v>22</v>
      </c>
      <c r="B77" s="48"/>
      <c r="C77" s="29"/>
      <c r="D77" s="30"/>
      <c r="E77" s="20"/>
      <c r="F77" s="23"/>
      <c r="G77" s="95">
        <v>0.91373</v>
      </c>
      <c r="H77" s="23"/>
      <c r="I77" s="32">
        <f>+E77*G77</f>
        <v>0</v>
      </c>
      <c r="J77" s="20"/>
      <c r="K77" s="20">
        <f>+A77</f>
        <v>22</v>
      </c>
      <c r="L77" s="23"/>
      <c r="M77" s="36">
        <f>+B77</f>
        <v>0</v>
      </c>
      <c r="N77" s="23"/>
      <c r="O77" s="23"/>
      <c r="P77" s="20"/>
      <c r="Q77" s="23"/>
      <c r="R77" s="24">
        <v>1</v>
      </c>
      <c r="S77" s="23"/>
      <c r="T77" s="32">
        <f>+P77*R77</f>
        <v>0</v>
      </c>
      <c r="U77" s="23"/>
      <c r="V77" s="23"/>
      <c r="W77" s="23"/>
      <c r="X77" s="23"/>
      <c r="Y77" s="23"/>
      <c r="Z77" s="23"/>
      <c r="AA77" s="23"/>
      <c r="AB77" s="23"/>
    </row>
    <row r="78" spans="1:28" ht="12.75">
      <c r="A78" s="45"/>
      <c r="B78" s="29"/>
      <c r="C78" s="201"/>
      <c r="D78" s="30"/>
      <c r="E78" s="20"/>
      <c r="F78" s="23"/>
      <c r="G78" s="95"/>
      <c r="H78" s="23"/>
      <c r="I78" s="32"/>
      <c r="J78" s="20"/>
      <c r="K78" s="9"/>
      <c r="L78" s="23"/>
      <c r="M78" s="35"/>
      <c r="N78" s="29"/>
      <c r="O78" s="23"/>
      <c r="P78" s="20"/>
      <c r="Q78" s="23"/>
      <c r="R78" s="24"/>
      <c r="S78" s="23"/>
      <c r="T78" s="32"/>
      <c r="U78" s="23"/>
      <c r="V78" s="23"/>
      <c r="W78" s="23"/>
      <c r="X78" s="23"/>
      <c r="Y78" s="23"/>
      <c r="Z78" s="23"/>
      <c r="AA78" s="23"/>
      <c r="AB78" s="23"/>
    </row>
    <row r="79" spans="1:28" ht="12.75">
      <c r="A79" s="45">
        <f>+A77+1</f>
        <v>23</v>
      </c>
      <c r="B79" s="48" t="s">
        <v>780</v>
      </c>
      <c r="C79" s="29"/>
      <c r="D79" s="30" t="s">
        <v>781</v>
      </c>
      <c r="E79" s="20">
        <v>-465151</v>
      </c>
      <c r="F79" s="23"/>
      <c r="G79" s="95">
        <v>0.86327</v>
      </c>
      <c r="H79" s="23"/>
      <c r="I79" s="32">
        <f>+E79*G79</f>
        <v>-401550.90377</v>
      </c>
      <c r="J79" s="20"/>
      <c r="K79" s="20">
        <f>+A79</f>
        <v>23</v>
      </c>
      <c r="L79" s="23"/>
      <c r="M79" s="36" t="str">
        <f>+B79</f>
        <v>Eliminate Supplemental Retirement Plan</v>
      </c>
      <c r="N79" s="23"/>
      <c r="O79" s="23"/>
      <c r="P79" s="20"/>
      <c r="Q79" s="23"/>
      <c r="R79" s="24">
        <v>1</v>
      </c>
      <c r="S79" s="23"/>
      <c r="T79" s="32">
        <f>+P79*R79</f>
        <v>0</v>
      </c>
      <c r="U79" s="23"/>
      <c r="V79" s="23"/>
      <c r="W79" s="23"/>
      <c r="X79" s="23"/>
      <c r="Y79" s="23"/>
      <c r="Z79" s="23"/>
      <c r="AA79" s="23"/>
      <c r="AB79" s="23"/>
    </row>
    <row r="80" spans="1:28" ht="12.75">
      <c r="A80" s="45"/>
      <c r="B80" s="48"/>
      <c r="C80" s="29"/>
      <c r="D80" s="30"/>
      <c r="E80" s="20"/>
      <c r="F80" s="23"/>
      <c r="G80" s="95"/>
      <c r="H80" s="23"/>
      <c r="I80" s="32"/>
      <c r="J80" s="20"/>
      <c r="K80" s="20"/>
      <c r="L80" s="23"/>
      <c r="M80" s="36"/>
      <c r="N80" s="23"/>
      <c r="O80" s="23"/>
      <c r="P80" s="20"/>
      <c r="Q80" s="23"/>
      <c r="R80" s="24"/>
      <c r="S80" s="23"/>
      <c r="T80" s="32"/>
      <c r="U80" s="23"/>
      <c r="V80" s="23"/>
      <c r="W80" s="23"/>
      <c r="X80" s="23"/>
      <c r="Y80" s="23"/>
      <c r="Z80" s="23"/>
      <c r="AA80" s="23"/>
      <c r="AB80" s="23"/>
    </row>
    <row r="81" spans="1:28" ht="12.75">
      <c r="A81" s="45">
        <f>+A79+1</f>
        <v>24</v>
      </c>
      <c r="B81" s="29" t="s">
        <v>359</v>
      </c>
      <c r="C81" s="29"/>
      <c r="D81" s="30" t="s">
        <v>740</v>
      </c>
      <c r="E81" s="20">
        <v>138032</v>
      </c>
      <c r="F81" s="23"/>
      <c r="G81" s="95">
        <v>1</v>
      </c>
      <c r="H81" s="23"/>
      <c r="I81" s="32">
        <f>+E81*G81</f>
        <v>138032</v>
      </c>
      <c r="J81" s="20"/>
      <c r="K81" s="20">
        <f>+A81</f>
        <v>24</v>
      </c>
      <c r="L81" s="23"/>
      <c r="M81" s="36" t="str">
        <f>+B81</f>
        <v>Annualize Interest on Customer Deposits</v>
      </c>
      <c r="N81" s="23"/>
      <c r="O81" s="23"/>
      <c r="P81" s="20">
        <v>138032</v>
      </c>
      <c r="Q81" s="23"/>
      <c r="R81" s="24">
        <v>1</v>
      </c>
      <c r="S81" s="23"/>
      <c r="T81" s="61">
        <f>+P81*R81</f>
        <v>138032</v>
      </c>
      <c r="U81" s="23"/>
      <c r="V81" s="23"/>
      <c r="W81" s="23"/>
      <c r="X81" s="23"/>
      <c r="Y81" s="23"/>
      <c r="Z81" s="23"/>
      <c r="AA81" s="23"/>
      <c r="AB81" s="23"/>
    </row>
    <row r="82" spans="1:28" ht="12.75">
      <c r="A82" s="45"/>
      <c r="B82" s="48"/>
      <c r="C82" s="29"/>
      <c r="D82" s="30"/>
      <c r="E82" s="20"/>
      <c r="F82" s="23"/>
      <c r="G82" s="95"/>
      <c r="H82" s="23"/>
      <c r="I82" s="32"/>
      <c r="J82" s="20"/>
      <c r="K82" s="20"/>
      <c r="L82" s="23"/>
      <c r="M82" s="36"/>
      <c r="N82" s="23"/>
      <c r="O82" s="23"/>
      <c r="P82" s="20"/>
      <c r="Q82" s="23"/>
      <c r="R82" s="24"/>
      <c r="S82" s="23"/>
      <c r="T82" s="32"/>
      <c r="U82" s="23"/>
      <c r="V82" s="23"/>
      <c r="W82" s="23"/>
      <c r="X82" s="23"/>
      <c r="Y82" s="23"/>
      <c r="Z82" s="23"/>
      <c r="AA82" s="23"/>
      <c r="AB82" s="23"/>
    </row>
    <row r="83" spans="1:28" ht="12.75">
      <c r="A83" s="45">
        <f>+A81+1</f>
        <v>25</v>
      </c>
      <c r="B83" t="s">
        <v>54</v>
      </c>
      <c r="D83" s="30" t="s">
        <v>795</v>
      </c>
      <c r="E83" s="20">
        <v>1480444</v>
      </c>
      <c r="F83" s="23"/>
      <c r="G83" s="95">
        <v>0.99385</v>
      </c>
      <c r="H83" s="23"/>
      <c r="I83" s="32">
        <f>+E83*G83</f>
        <v>1471339.2694</v>
      </c>
      <c r="J83" s="20"/>
      <c r="K83" s="20">
        <f>+A83</f>
        <v>25</v>
      </c>
      <c r="L83" s="23"/>
      <c r="M83" s="36" t="str">
        <f>+B83</f>
        <v>Cost of Removal</v>
      </c>
      <c r="N83" s="23"/>
      <c r="O83" s="23"/>
      <c r="P83" s="20"/>
      <c r="Q83" s="23"/>
      <c r="R83" s="24">
        <v>1</v>
      </c>
      <c r="S83" s="23"/>
      <c r="T83" s="32">
        <f>+P83*R83</f>
        <v>0</v>
      </c>
      <c r="U83" s="23"/>
      <c r="V83" s="23"/>
      <c r="W83" s="23"/>
      <c r="X83" s="23"/>
      <c r="Y83" s="23"/>
      <c r="Z83" s="23"/>
      <c r="AA83" s="23"/>
      <c r="AB83" s="23"/>
    </row>
    <row r="84" spans="1:28" ht="12.75">
      <c r="A84" s="45"/>
      <c r="B84" s="48"/>
      <c r="C84" s="29"/>
      <c r="D84" s="30"/>
      <c r="E84" s="20"/>
      <c r="F84" s="23"/>
      <c r="G84" s="95"/>
      <c r="H84" s="23"/>
      <c r="I84" s="32"/>
      <c r="J84" s="20"/>
      <c r="K84" s="20"/>
      <c r="L84" s="23"/>
      <c r="M84" s="36"/>
      <c r="N84" s="23"/>
      <c r="O84" s="23"/>
      <c r="P84" s="20"/>
      <c r="Q84" s="23"/>
      <c r="R84" s="24"/>
      <c r="S84" s="23"/>
      <c r="T84" s="32"/>
      <c r="U84" s="23"/>
      <c r="V84" s="23"/>
      <c r="W84" s="23"/>
      <c r="X84" s="23"/>
      <c r="Y84" s="23"/>
      <c r="Z84" s="23"/>
      <c r="AA84" s="23"/>
      <c r="AB84" s="23"/>
    </row>
    <row r="85" spans="1:28" ht="12.75">
      <c r="A85" s="45">
        <f>+A83+1</f>
        <v>26</v>
      </c>
      <c r="B85" s="48" t="s">
        <v>856</v>
      </c>
      <c r="C85" s="29"/>
      <c r="D85" s="30" t="s">
        <v>794</v>
      </c>
      <c r="E85" s="20">
        <v>138701</v>
      </c>
      <c r="F85" s="23"/>
      <c r="G85" s="95">
        <v>1</v>
      </c>
      <c r="H85" s="23"/>
      <c r="I85" s="32">
        <f>+E85*G85</f>
        <v>138701</v>
      </c>
      <c r="J85" s="20"/>
      <c r="K85" s="20">
        <f>+A85</f>
        <v>26</v>
      </c>
      <c r="L85" s="23"/>
      <c r="M85" s="35" t="str">
        <f>+B85</f>
        <v>Amortization of AAO Ice Storm</v>
      </c>
      <c r="N85" s="23"/>
      <c r="O85" s="23"/>
      <c r="P85" s="20">
        <v>138701</v>
      </c>
      <c r="Q85" s="23"/>
      <c r="R85" s="24">
        <v>1</v>
      </c>
      <c r="S85" s="23"/>
      <c r="T85" s="61">
        <f>+P85*R85</f>
        <v>138701</v>
      </c>
      <c r="U85" s="23"/>
      <c r="V85" s="23"/>
      <c r="W85" s="23"/>
      <c r="X85" s="23"/>
      <c r="Y85" s="23"/>
      <c r="Z85" s="23"/>
      <c r="AA85" s="23"/>
      <c r="AB85" s="23"/>
    </row>
    <row r="86" spans="1:28" ht="12.75">
      <c r="A86" s="45"/>
      <c r="B86" s="48"/>
      <c r="C86" s="29"/>
      <c r="D86" s="30"/>
      <c r="E86" s="20"/>
      <c r="F86" s="23"/>
      <c r="G86" s="95"/>
      <c r="H86" s="23"/>
      <c r="I86" s="32"/>
      <c r="J86" s="20"/>
      <c r="K86" s="20"/>
      <c r="L86" s="23"/>
      <c r="M86" s="36"/>
      <c r="N86" s="23"/>
      <c r="O86" s="23"/>
      <c r="P86" s="20"/>
      <c r="Q86" s="23"/>
      <c r="R86" s="24"/>
      <c r="S86" s="23"/>
      <c r="T86" s="32"/>
      <c r="U86" s="23"/>
      <c r="V86" s="23"/>
      <c r="W86" s="23"/>
      <c r="X86" s="23"/>
      <c r="Y86" s="23"/>
      <c r="Z86" s="23"/>
      <c r="AA86" s="23"/>
      <c r="AB86" s="23"/>
    </row>
    <row r="87" spans="1:28" ht="12.75">
      <c r="A87" s="45">
        <f>+A85+1</f>
        <v>27</v>
      </c>
      <c r="B87" s="48" t="s">
        <v>858</v>
      </c>
      <c r="C87" s="29"/>
      <c r="D87" s="30"/>
      <c r="E87" s="20"/>
      <c r="F87" s="23"/>
      <c r="G87" s="95"/>
      <c r="H87" s="23"/>
      <c r="I87" s="32">
        <f>+E87*G87</f>
        <v>0</v>
      </c>
      <c r="J87" s="20"/>
      <c r="K87" s="20">
        <f>+A87</f>
        <v>27</v>
      </c>
      <c r="L87" s="23"/>
      <c r="M87" s="36" t="str">
        <f>+B87</f>
        <v>Amortization Expense-Merger Synergies</v>
      </c>
      <c r="N87" s="23"/>
      <c r="O87" s="23"/>
      <c r="P87" s="20">
        <v>9301</v>
      </c>
      <c r="Q87" s="23"/>
      <c r="R87" s="24">
        <v>1</v>
      </c>
      <c r="S87" s="23"/>
      <c r="T87" s="32">
        <f>+P87*R87</f>
        <v>9301</v>
      </c>
      <c r="U87" s="23"/>
      <c r="V87" s="23"/>
      <c r="W87" s="23"/>
      <c r="X87" s="23"/>
      <c r="Y87" s="23"/>
      <c r="Z87" s="23"/>
      <c r="AA87" s="23"/>
      <c r="AB87" s="23"/>
    </row>
    <row r="88" spans="1:28" ht="12.75">
      <c r="A88" s="45"/>
      <c r="B88" s="48"/>
      <c r="C88" s="29"/>
      <c r="D88" s="30"/>
      <c r="E88" s="20"/>
      <c r="F88" s="23"/>
      <c r="G88" s="95"/>
      <c r="H88" s="23"/>
      <c r="I88" s="32"/>
      <c r="J88" s="20"/>
      <c r="K88" s="20"/>
      <c r="L88" s="23"/>
      <c r="M88" s="36"/>
      <c r="N88" s="23"/>
      <c r="O88" s="23"/>
      <c r="P88" s="20"/>
      <c r="Q88" s="23"/>
      <c r="R88" s="24"/>
      <c r="S88" s="23"/>
      <c r="T88" s="32"/>
      <c r="U88" s="23"/>
      <c r="V88" s="23"/>
      <c r="W88" s="23"/>
      <c r="X88" s="23"/>
      <c r="Y88" s="23"/>
      <c r="Z88" s="23"/>
      <c r="AA88" s="23"/>
      <c r="AB88" s="23"/>
    </row>
    <row r="89" spans="1:28" ht="12.75">
      <c r="A89" s="45">
        <f>+A87+1</f>
        <v>28</v>
      </c>
      <c r="B89" s="48"/>
      <c r="C89" s="29"/>
      <c r="D89" s="30"/>
      <c r="E89" s="20"/>
      <c r="F89" s="23"/>
      <c r="G89" s="95"/>
      <c r="H89" s="23"/>
      <c r="I89" s="32">
        <f>+E89*G89</f>
        <v>0</v>
      </c>
      <c r="J89" s="20"/>
      <c r="K89" s="20">
        <f>+A89</f>
        <v>28</v>
      </c>
      <c r="L89" s="23"/>
      <c r="M89" s="36">
        <f>+B89</f>
        <v>0</v>
      </c>
      <c r="N89" s="23"/>
      <c r="O89" s="23"/>
      <c r="P89" s="20"/>
      <c r="Q89" s="23"/>
      <c r="R89" s="24">
        <v>1</v>
      </c>
      <c r="S89" s="23"/>
      <c r="T89" s="32">
        <f>+P89*R89</f>
        <v>0</v>
      </c>
      <c r="U89" s="23"/>
      <c r="V89" s="23"/>
      <c r="W89" s="23"/>
      <c r="X89" s="23"/>
      <c r="Y89" s="23"/>
      <c r="Z89" s="23"/>
      <c r="AA89" s="23"/>
      <c r="AB89" s="23"/>
    </row>
    <row r="90" spans="1:28" ht="12.75">
      <c r="A90" s="45"/>
      <c r="B90" s="48"/>
      <c r="C90" s="29"/>
      <c r="D90" s="30"/>
      <c r="E90" s="20"/>
      <c r="F90" s="23"/>
      <c r="G90" s="95"/>
      <c r="H90" s="23"/>
      <c r="I90" s="32"/>
      <c r="J90" s="20"/>
      <c r="K90" s="20"/>
      <c r="L90" s="23"/>
      <c r="M90" s="36"/>
      <c r="N90" s="23"/>
      <c r="O90" s="23"/>
      <c r="P90" s="20"/>
      <c r="Q90" s="23"/>
      <c r="R90" s="24"/>
      <c r="S90" s="23"/>
      <c r="T90" s="32"/>
      <c r="U90" s="23"/>
      <c r="V90" s="23"/>
      <c r="W90" s="23"/>
      <c r="X90" s="23"/>
      <c r="Y90" s="23"/>
      <c r="Z90" s="23"/>
      <c r="AA90" s="23"/>
      <c r="AB90" s="23"/>
    </row>
    <row r="91" spans="1:28" ht="12.75">
      <c r="A91" s="45">
        <f>+A89+1</f>
        <v>29</v>
      </c>
      <c r="B91" s="48"/>
      <c r="C91" s="29"/>
      <c r="D91" s="30"/>
      <c r="E91" s="20"/>
      <c r="F91" s="23"/>
      <c r="G91" s="95"/>
      <c r="H91" s="23"/>
      <c r="I91" s="32">
        <f>+E91*G91</f>
        <v>0</v>
      </c>
      <c r="J91" s="20"/>
      <c r="K91" s="20">
        <f>+A91</f>
        <v>29</v>
      </c>
      <c r="L91" s="23"/>
      <c r="M91" s="36">
        <f>+B91</f>
        <v>0</v>
      </c>
      <c r="N91" s="23"/>
      <c r="O91" s="23"/>
      <c r="P91" s="20"/>
      <c r="Q91" s="23"/>
      <c r="R91" s="24">
        <v>1</v>
      </c>
      <c r="S91" s="23"/>
      <c r="T91" s="32">
        <f>+P91*R91</f>
        <v>0</v>
      </c>
      <c r="U91" s="23"/>
      <c r="V91" s="23"/>
      <c r="W91" s="23"/>
      <c r="X91" s="23"/>
      <c r="Y91" s="23"/>
      <c r="Z91" s="23"/>
      <c r="AA91" s="23"/>
      <c r="AB91" s="23"/>
    </row>
    <row r="92" spans="1:28" ht="12.75">
      <c r="A92" s="45"/>
      <c r="B92" s="48"/>
      <c r="C92" s="29"/>
      <c r="D92" s="30"/>
      <c r="E92" s="20"/>
      <c r="F92" s="23"/>
      <c r="G92" s="95"/>
      <c r="H92" s="23"/>
      <c r="I92" s="32"/>
      <c r="J92" s="20"/>
      <c r="K92" s="20"/>
      <c r="L92" s="23"/>
      <c r="M92" s="36"/>
      <c r="N92" s="23"/>
      <c r="O92" s="23"/>
      <c r="P92" s="20"/>
      <c r="Q92" s="23"/>
      <c r="R92" s="24"/>
      <c r="S92" s="23"/>
      <c r="T92" s="32"/>
      <c r="U92" s="23"/>
      <c r="V92" s="23"/>
      <c r="W92" s="23"/>
      <c r="X92" s="23"/>
      <c r="Y92" s="23"/>
      <c r="Z92" s="23"/>
      <c r="AA92" s="23"/>
      <c r="AB92" s="23"/>
    </row>
    <row r="93" spans="1:28" ht="12.75">
      <c r="A93" s="45">
        <f>+A91+1</f>
        <v>30</v>
      </c>
      <c r="B93" s="48"/>
      <c r="C93" s="29"/>
      <c r="D93" s="30"/>
      <c r="E93" s="20"/>
      <c r="F93" s="23"/>
      <c r="G93" s="95"/>
      <c r="H93" s="23"/>
      <c r="I93" s="32">
        <f>+E93*G93</f>
        <v>0</v>
      </c>
      <c r="J93" s="20"/>
      <c r="K93" s="20">
        <f>+A93</f>
        <v>30</v>
      </c>
      <c r="L93" s="23"/>
      <c r="M93" s="36">
        <f>+B93</f>
        <v>0</v>
      </c>
      <c r="N93" s="23"/>
      <c r="O93" s="23"/>
      <c r="P93" s="20"/>
      <c r="Q93" s="23"/>
      <c r="R93" s="24">
        <v>1</v>
      </c>
      <c r="S93" s="23"/>
      <c r="T93" s="32">
        <f>+P93*R93</f>
        <v>0</v>
      </c>
      <c r="U93" s="23"/>
      <c r="V93" s="23"/>
      <c r="W93" s="23"/>
      <c r="X93" s="23"/>
      <c r="Y93" s="23"/>
      <c r="Z93" s="23"/>
      <c r="AA93" s="23"/>
      <c r="AB93" s="23"/>
    </row>
    <row r="94" spans="1:28" ht="12.75">
      <c r="A94" s="45"/>
      <c r="B94" s="48"/>
      <c r="C94" s="29"/>
      <c r="D94" s="30"/>
      <c r="E94" s="20"/>
      <c r="F94" s="23"/>
      <c r="G94" s="95"/>
      <c r="H94" s="23"/>
      <c r="I94" s="32"/>
      <c r="J94" s="20"/>
      <c r="K94" s="20"/>
      <c r="L94" s="23"/>
      <c r="M94" s="36"/>
      <c r="N94" s="23"/>
      <c r="O94" s="23"/>
      <c r="P94" s="20"/>
      <c r="Q94" s="23"/>
      <c r="R94" s="24"/>
      <c r="S94" s="23"/>
      <c r="T94" s="32"/>
      <c r="U94" s="23"/>
      <c r="V94" s="23"/>
      <c r="W94" s="23"/>
      <c r="X94" s="23"/>
      <c r="Y94" s="23"/>
      <c r="Z94" s="23"/>
      <c r="AA94" s="23"/>
      <c r="AB94" s="23"/>
    </row>
    <row r="95" spans="1:28" ht="12.75">
      <c r="A95" s="45">
        <f>+A93+1</f>
        <v>31</v>
      </c>
      <c r="B95" s="48"/>
      <c r="C95" s="29"/>
      <c r="D95" s="30"/>
      <c r="E95" s="20"/>
      <c r="F95" s="23"/>
      <c r="G95" s="95"/>
      <c r="H95" s="23"/>
      <c r="I95" s="32">
        <f>+E95*G95</f>
        <v>0</v>
      </c>
      <c r="J95" s="20"/>
      <c r="K95" s="20">
        <f>+A95</f>
        <v>31</v>
      </c>
      <c r="L95" s="23"/>
      <c r="M95" s="36">
        <f>+B95</f>
        <v>0</v>
      </c>
      <c r="N95" s="23"/>
      <c r="O95" s="23"/>
      <c r="P95" s="20"/>
      <c r="Q95" s="23"/>
      <c r="R95" s="24">
        <v>1</v>
      </c>
      <c r="S95" s="23"/>
      <c r="T95" s="32">
        <f>+P95*R95</f>
        <v>0</v>
      </c>
      <c r="U95" s="23"/>
      <c r="V95" s="23"/>
      <c r="W95" s="23"/>
      <c r="X95" s="23"/>
      <c r="Y95" s="23"/>
      <c r="Z95" s="23"/>
      <c r="AA95" s="23"/>
      <c r="AB95" s="23"/>
    </row>
    <row r="96" spans="1:28" ht="12.75">
      <c r="A96" s="45"/>
      <c r="B96" s="48"/>
      <c r="C96" s="29"/>
      <c r="D96" s="30"/>
      <c r="E96" s="20"/>
      <c r="F96" s="23"/>
      <c r="G96" s="95"/>
      <c r="H96" s="23"/>
      <c r="I96" s="32"/>
      <c r="J96" s="20"/>
      <c r="K96" s="20"/>
      <c r="L96" s="23"/>
      <c r="M96" s="36"/>
      <c r="N96" s="23"/>
      <c r="O96" s="23"/>
      <c r="P96" s="20"/>
      <c r="Q96" s="23"/>
      <c r="R96" s="24"/>
      <c r="S96" s="23"/>
      <c r="T96" s="32"/>
      <c r="U96" s="23"/>
      <c r="V96" s="23"/>
      <c r="W96" s="23"/>
      <c r="X96" s="23"/>
      <c r="Y96" s="23"/>
      <c r="Z96" s="23"/>
      <c r="AA96" s="23"/>
      <c r="AB96" s="23"/>
    </row>
    <row r="97" spans="1:28" ht="12.75">
      <c r="A97" s="45">
        <f>+A95+1</f>
        <v>32</v>
      </c>
      <c r="B97" s="29" t="s">
        <v>354</v>
      </c>
      <c r="C97" s="29"/>
      <c r="D97" s="30"/>
      <c r="E97" s="20"/>
      <c r="F97" s="23"/>
      <c r="G97" s="95"/>
      <c r="H97" s="23"/>
      <c r="I97" s="32"/>
      <c r="J97" s="20"/>
      <c r="K97" s="20"/>
      <c r="L97" s="23"/>
      <c r="M97" s="35" t="str">
        <f>+B97</f>
        <v>Annualize Payroll Taxes</v>
      </c>
      <c r="N97" s="23"/>
      <c r="O97" s="23"/>
      <c r="P97" s="20"/>
      <c r="Q97" s="23"/>
      <c r="R97" s="24"/>
      <c r="S97" s="23"/>
      <c r="T97" s="32"/>
      <c r="U97" s="23"/>
      <c r="V97" s="23"/>
      <c r="W97" s="23"/>
      <c r="X97" s="23"/>
      <c r="Y97" s="23"/>
      <c r="Z97" s="23"/>
      <c r="AA97" s="23"/>
      <c r="AB97" s="23"/>
    </row>
    <row r="98" spans="1:28" ht="12.75">
      <c r="A98" s="45"/>
      <c r="B98" s="48" t="s">
        <v>785</v>
      </c>
      <c r="C98" s="29"/>
      <c r="D98" s="30" t="s">
        <v>784</v>
      </c>
      <c r="E98" s="20">
        <v>-26888</v>
      </c>
      <c r="F98" s="23"/>
      <c r="G98" s="95">
        <v>0.93106</v>
      </c>
      <c r="H98" s="23"/>
      <c r="I98" s="32">
        <f>+E98*G98</f>
        <v>-25034.34128</v>
      </c>
      <c r="J98" s="20"/>
      <c r="K98" s="20">
        <f>+A98</f>
        <v>0</v>
      </c>
      <c r="L98" s="23"/>
      <c r="M98" s="36"/>
      <c r="N98" s="23"/>
      <c r="O98" s="23"/>
      <c r="P98" s="20">
        <v>91826</v>
      </c>
      <c r="Q98" s="23"/>
      <c r="R98" s="24">
        <v>1</v>
      </c>
      <c r="S98" s="23"/>
      <c r="T98" s="32">
        <f>+P98*R98</f>
        <v>91826</v>
      </c>
      <c r="U98" s="23"/>
      <c r="V98" s="23"/>
      <c r="W98" s="23"/>
      <c r="X98" s="23"/>
      <c r="Y98" s="23"/>
      <c r="Z98" s="23"/>
      <c r="AA98" s="23"/>
      <c r="AB98" s="23"/>
    </row>
    <row r="99" spans="1:28" ht="12.75">
      <c r="A99" s="45"/>
      <c r="B99" s="48" t="s">
        <v>785</v>
      </c>
      <c r="C99" s="29"/>
      <c r="D99" s="30" t="s">
        <v>786</v>
      </c>
      <c r="E99" s="20">
        <v>-106993</v>
      </c>
      <c r="F99" s="23"/>
      <c r="G99" s="95">
        <v>0.93106</v>
      </c>
      <c r="H99" s="23"/>
      <c r="I99" s="32">
        <f>+E99*G99</f>
        <v>-99616.90258</v>
      </c>
      <c r="J99" s="20"/>
      <c r="K99" s="20"/>
      <c r="L99" s="23"/>
      <c r="M99" s="36"/>
      <c r="N99" s="23"/>
      <c r="O99" s="23"/>
      <c r="P99" s="20"/>
      <c r="Q99" s="23"/>
      <c r="R99" s="24"/>
      <c r="S99" s="23"/>
      <c r="T99" s="32">
        <f>+P99*R99</f>
        <v>0</v>
      </c>
      <c r="U99" s="23"/>
      <c r="V99" s="23"/>
      <c r="W99" s="23"/>
      <c r="X99" s="23"/>
      <c r="Y99" s="23"/>
      <c r="Z99" s="23"/>
      <c r="AA99" s="23"/>
      <c r="AB99" s="23"/>
    </row>
    <row r="100" spans="1:28" ht="12.75">
      <c r="A100" s="45"/>
      <c r="B100" s="48" t="s">
        <v>788</v>
      </c>
      <c r="C100" s="29"/>
      <c r="D100" s="30" t="s">
        <v>787</v>
      </c>
      <c r="E100" s="20">
        <v>-3833</v>
      </c>
      <c r="F100" s="23"/>
      <c r="G100" s="95">
        <v>0.93106</v>
      </c>
      <c r="H100" s="23"/>
      <c r="I100" s="32">
        <f>+E100*G100</f>
        <v>-3568.75298</v>
      </c>
      <c r="J100" s="20"/>
      <c r="K100" s="20">
        <f>+A100</f>
        <v>0</v>
      </c>
      <c r="L100" s="23"/>
      <c r="M100" s="36"/>
      <c r="N100" s="23"/>
      <c r="O100" s="23"/>
      <c r="P100" s="20"/>
      <c r="Q100" s="23"/>
      <c r="R100" s="24"/>
      <c r="S100" s="23"/>
      <c r="T100" s="32">
        <f>+P100*R100</f>
        <v>0</v>
      </c>
      <c r="U100" s="23"/>
      <c r="V100" s="23"/>
      <c r="W100" s="23"/>
      <c r="X100" s="23"/>
      <c r="Y100" s="23"/>
      <c r="Z100" s="23"/>
      <c r="AA100" s="23"/>
      <c r="AB100" s="23"/>
    </row>
    <row r="101" spans="1:28" ht="12.75">
      <c r="A101" s="45"/>
      <c r="B101" s="48" t="s">
        <v>789</v>
      </c>
      <c r="C101" s="29"/>
      <c r="D101" s="30" t="s">
        <v>790</v>
      </c>
      <c r="E101" s="20">
        <v>8858</v>
      </c>
      <c r="F101" s="23"/>
      <c r="G101" s="95">
        <v>0.93106</v>
      </c>
      <c r="H101" s="23"/>
      <c r="I101" s="32">
        <f>+E101*G101</f>
        <v>8247.32948</v>
      </c>
      <c r="J101" s="20"/>
      <c r="K101" s="20"/>
      <c r="L101" s="23"/>
      <c r="M101" s="36"/>
      <c r="N101" s="23"/>
      <c r="O101" s="23"/>
      <c r="P101" s="20"/>
      <c r="Q101" s="23"/>
      <c r="R101" s="24"/>
      <c r="S101" s="23"/>
      <c r="T101" s="32">
        <f>+P101*R101</f>
        <v>0</v>
      </c>
      <c r="U101" s="23"/>
      <c r="V101" s="23"/>
      <c r="W101" s="23"/>
      <c r="X101" s="23"/>
      <c r="Y101" s="23"/>
      <c r="Z101" s="23"/>
      <c r="AA101" s="23"/>
      <c r="AB101" s="23"/>
    </row>
    <row r="102" spans="1:28" ht="12.75">
      <c r="A102" s="45"/>
      <c r="B102" s="48"/>
      <c r="C102" s="29"/>
      <c r="D102" s="62"/>
      <c r="E102" s="62" t="s">
        <v>31</v>
      </c>
      <c r="F102" s="23"/>
      <c r="G102" s="95"/>
      <c r="H102" s="23"/>
      <c r="I102" s="32" t="s">
        <v>31</v>
      </c>
      <c r="J102" s="20"/>
      <c r="K102" s="20"/>
      <c r="L102" s="23"/>
      <c r="M102" s="36"/>
      <c r="N102" s="23"/>
      <c r="O102" s="23"/>
      <c r="P102" s="62" t="s">
        <v>31</v>
      </c>
      <c r="Q102" s="23"/>
      <c r="R102" s="95"/>
      <c r="S102" s="23"/>
      <c r="T102" s="32" t="s">
        <v>31</v>
      </c>
      <c r="U102" s="23"/>
      <c r="V102" s="23"/>
      <c r="W102" s="23"/>
      <c r="X102" s="23"/>
      <c r="Y102" s="23"/>
      <c r="Z102" s="23"/>
      <c r="AA102" s="23"/>
      <c r="AB102" s="23"/>
    </row>
    <row r="103" spans="1:28" ht="12.75">
      <c r="A103" s="45"/>
      <c r="B103" s="48" t="s">
        <v>425</v>
      </c>
      <c r="C103" s="29"/>
      <c r="D103" s="30"/>
      <c r="E103" s="20">
        <f>SUM(E98:E102)</f>
        <v>-128856</v>
      </c>
      <c r="F103" s="23"/>
      <c r="G103" s="95"/>
      <c r="H103" s="23"/>
      <c r="I103" s="32">
        <f>SUM(I98:I102)</f>
        <v>-119972.66735999999</v>
      </c>
      <c r="J103" s="20"/>
      <c r="K103" s="20"/>
      <c r="L103" s="23"/>
      <c r="M103" s="36"/>
      <c r="N103" s="23"/>
      <c r="O103" s="23"/>
      <c r="P103" s="20">
        <f>SUM(P98:P102)</f>
        <v>91826</v>
      </c>
      <c r="Q103" s="23"/>
      <c r="R103" s="95"/>
      <c r="S103" s="23"/>
      <c r="T103" s="32">
        <f>SUM(T98:T102)</f>
        <v>91826</v>
      </c>
      <c r="U103" s="23"/>
      <c r="V103" s="23"/>
      <c r="W103" s="23"/>
      <c r="X103" s="23"/>
      <c r="Y103" s="23"/>
      <c r="Z103" s="23"/>
      <c r="AA103" s="23"/>
      <c r="AB103" s="23"/>
    </row>
    <row r="104" spans="1:28" ht="12.75">
      <c r="A104" s="45"/>
      <c r="B104" s="48"/>
      <c r="C104" s="29"/>
      <c r="D104" s="30"/>
      <c r="E104" s="20"/>
      <c r="F104" s="23"/>
      <c r="G104" s="95"/>
      <c r="H104" s="23"/>
      <c r="I104" s="32"/>
      <c r="J104" s="20"/>
      <c r="K104" s="20"/>
      <c r="L104" s="23"/>
      <c r="M104" s="36"/>
      <c r="N104" s="23"/>
      <c r="O104" s="23"/>
      <c r="P104" s="20"/>
      <c r="Q104" s="23"/>
      <c r="R104" s="24"/>
      <c r="S104" s="23"/>
      <c r="T104" s="32"/>
      <c r="U104" s="23"/>
      <c r="V104" s="23"/>
      <c r="W104" s="23"/>
      <c r="X104" s="23"/>
      <c r="Y104" s="23"/>
      <c r="Z104" s="23"/>
      <c r="AA104" s="23"/>
      <c r="AB104" s="23"/>
    </row>
    <row r="105" spans="1:28" ht="12.75">
      <c r="A105" s="45">
        <f>+A97+1</f>
        <v>33</v>
      </c>
      <c r="B105" s="29" t="s">
        <v>764</v>
      </c>
      <c r="C105" s="29"/>
      <c r="D105" s="30" t="s">
        <v>763</v>
      </c>
      <c r="E105" s="20">
        <v>0</v>
      </c>
      <c r="F105" s="23"/>
      <c r="G105" s="95">
        <v>0.86327</v>
      </c>
      <c r="H105" s="23"/>
      <c r="I105" s="32">
        <f>+E105*G105</f>
        <v>0</v>
      </c>
      <c r="J105" s="20"/>
      <c r="K105" s="20"/>
      <c r="L105" s="23"/>
      <c r="M105" s="35" t="str">
        <f>+B105</f>
        <v> Employee Medical / Dental Benefits</v>
      </c>
      <c r="N105" s="23"/>
      <c r="O105" s="23"/>
      <c r="P105" s="20">
        <v>-101652</v>
      </c>
      <c r="Q105" s="23"/>
      <c r="R105" s="95">
        <v>1</v>
      </c>
      <c r="S105" s="23"/>
      <c r="T105" s="32">
        <f>+P105*R105</f>
        <v>-101652</v>
      </c>
      <c r="U105" s="20"/>
      <c r="V105" s="23"/>
      <c r="W105" s="23"/>
      <c r="X105" s="23"/>
      <c r="Y105" s="23"/>
      <c r="Z105" s="23"/>
      <c r="AA105" s="23"/>
      <c r="AB105" s="23"/>
    </row>
    <row r="106" spans="1:28" ht="12.75">
      <c r="A106" s="45"/>
      <c r="B106" s="48"/>
      <c r="C106" s="29"/>
      <c r="D106" s="30" t="s">
        <v>862</v>
      </c>
      <c r="E106" s="20">
        <v>-117758</v>
      </c>
      <c r="F106" s="23"/>
      <c r="G106" s="95">
        <v>0.86327</v>
      </c>
      <c r="H106" s="23"/>
      <c r="I106" s="32">
        <f>+E106*G106</f>
        <v>-101656.94866</v>
      </c>
      <c r="J106" s="20"/>
      <c r="K106" s="20"/>
      <c r="L106" s="23"/>
      <c r="M106" s="36"/>
      <c r="N106" s="23"/>
      <c r="O106" s="23"/>
      <c r="P106" s="20"/>
      <c r="Q106" s="23"/>
      <c r="R106" s="95">
        <v>1</v>
      </c>
      <c r="S106" s="23"/>
      <c r="T106" s="32">
        <f>+P106*R106</f>
        <v>0</v>
      </c>
      <c r="U106" s="20"/>
      <c r="V106" s="23"/>
      <c r="W106" s="23"/>
      <c r="X106" s="23"/>
      <c r="Y106" s="23"/>
      <c r="Z106" s="23"/>
      <c r="AA106" s="23"/>
      <c r="AB106" s="23"/>
    </row>
    <row r="107" spans="1:28" ht="12.75">
      <c r="A107" s="45"/>
      <c r="B107" s="48" t="s">
        <v>766</v>
      </c>
      <c r="C107" s="29"/>
      <c r="D107" s="30" t="s">
        <v>765</v>
      </c>
      <c r="E107" s="20">
        <v>-267750</v>
      </c>
      <c r="F107" s="23"/>
      <c r="G107" s="95">
        <v>0.86327</v>
      </c>
      <c r="H107" s="23"/>
      <c r="I107" s="32">
        <f>+E107*G107</f>
        <v>-231140.54249999998</v>
      </c>
      <c r="J107" s="20"/>
      <c r="K107" s="20"/>
      <c r="L107" s="23"/>
      <c r="M107" s="36"/>
      <c r="N107" s="23"/>
      <c r="O107" s="23"/>
      <c r="P107" s="20"/>
      <c r="Q107" s="23"/>
      <c r="R107" s="95">
        <v>1</v>
      </c>
      <c r="S107" s="23"/>
      <c r="T107" s="32">
        <f>+P107*R107</f>
        <v>0</v>
      </c>
      <c r="U107" s="20"/>
      <c r="V107" s="23"/>
      <c r="W107" s="23"/>
      <c r="X107" s="23"/>
      <c r="Y107" s="23"/>
      <c r="Z107" s="23"/>
      <c r="AA107" s="23"/>
      <c r="AB107" s="23"/>
    </row>
    <row r="108" spans="1:28" ht="12.75">
      <c r="A108" s="45"/>
      <c r="B108" s="29" t="s">
        <v>864</v>
      </c>
      <c r="C108" s="29"/>
      <c r="D108" s="30"/>
      <c r="E108" s="21">
        <v>115573</v>
      </c>
      <c r="F108" s="23"/>
      <c r="G108" s="95">
        <v>1</v>
      </c>
      <c r="H108" s="23"/>
      <c r="I108" s="61">
        <f>+E108*G108</f>
        <v>115573</v>
      </c>
      <c r="J108" s="20"/>
      <c r="K108" s="20"/>
      <c r="L108" s="23"/>
      <c r="M108" s="35" t="str">
        <f>+B108</f>
        <v>Settlement Agreement</v>
      </c>
      <c r="N108" s="23"/>
      <c r="O108" s="23"/>
      <c r="P108" s="20">
        <v>-115572</v>
      </c>
      <c r="Q108" s="23"/>
      <c r="R108" s="95">
        <v>1</v>
      </c>
      <c r="S108" s="23"/>
      <c r="T108" s="61">
        <f>+P108*R108</f>
        <v>-115572</v>
      </c>
      <c r="U108" s="20"/>
      <c r="V108" s="23"/>
      <c r="W108" s="23"/>
      <c r="X108" s="23"/>
      <c r="Y108" s="23"/>
      <c r="Z108" s="23"/>
      <c r="AA108" s="23"/>
      <c r="AB108" s="23"/>
    </row>
    <row r="109" spans="1:28" ht="12.75">
      <c r="A109" s="45"/>
      <c r="B109" s="48"/>
      <c r="C109" s="29"/>
      <c r="D109" s="30"/>
      <c r="E109" s="32" t="s">
        <v>134</v>
      </c>
      <c r="F109" s="23"/>
      <c r="G109" s="95"/>
      <c r="H109" s="23"/>
      <c r="I109" s="32" t="s">
        <v>134</v>
      </c>
      <c r="J109" s="20"/>
      <c r="K109" s="20"/>
      <c r="L109" s="23"/>
      <c r="M109" s="36"/>
      <c r="N109" s="23"/>
      <c r="O109" s="23"/>
      <c r="P109" s="32" t="s">
        <v>134</v>
      </c>
      <c r="Q109" s="23"/>
      <c r="R109" s="95"/>
      <c r="S109" s="23"/>
      <c r="T109" s="32" t="s">
        <v>134</v>
      </c>
      <c r="U109" s="20"/>
      <c r="V109" s="23"/>
      <c r="W109" s="23"/>
      <c r="X109" s="23"/>
      <c r="Y109" s="23"/>
      <c r="Z109" s="23"/>
      <c r="AA109" s="23"/>
      <c r="AB109" s="23"/>
    </row>
    <row r="110" spans="1:28" ht="12.75">
      <c r="A110" s="45"/>
      <c r="B110" s="48"/>
      <c r="C110" s="29"/>
      <c r="D110" s="30"/>
      <c r="E110" s="20">
        <f>SUM(E105:E109)</f>
        <v>-269935</v>
      </c>
      <c r="F110" s="23"/>
      <c r="G110" s="95"/>
      <c r="H110" s="23"/>
      <c r="I110" s="21">
        <f>SUM(I105:I109)</f>
        <v>-217224.49115999998</v>
      </c>
      <c r="J110" s="20"/>
      <c r="K110" s="20"/>
      <c r="L110" s="23"/>
      <c r="M110" s="36"/>
      <c r="N110" s="23"/>
      <c r="O110" s="23"/>
      <c r="P110" s="20">
        <f>SUM(P105:P109)</f>
        <v>-217224</v>
      </c>
      <c r="Q110" s="23"/>
      <c r="R110" s="95"/>
      <c r="S110" s="23"/>
      <c r="T110" s="21">
        <f>SUM(T105:T109)</f>
        <v>-217224</v>
      </c>
      <c r="U110" s="20"/>
      <c r="V110" s="23"/>
      <c r="W110" s="23"/>
      <c r="X110" s="23"/>
      <c r="Y110" s="23"/>
      <c r="Z110" s="23"/>
      <c r="AA110" s="23"/>
      <c r="AB110" s="23"/>
    </row>
    <row r="111" spans="1:28" ht="12.75">
      <c r="A111" s="45">
        <f>+A105+1</f>
        <v>34</v>
      </c>
      <c r="B111" s="29" t="s">
        <v>757</v>
      </c>
      <c r="C111" s="29"/>
      <c r="D111" s="30"/>
      <c r="E111" s="20"/>
      <c r="F111" s="23"/>
      <c r="G111" s="95"/>
      <c r="H111" s="23"/>
      <c r="I111" s="32"/>
      <c r="J111" s="20"/>
      <c r="K111" s="20">
        <f>+A111</f>
        <v>34</v>
      </c>
      <c r="L111" s="23"/>
      <c r="M111" s="35" t="str">
        <f>+B111</f>
        <v>Annualize Insurance Expense</v>
      </c>
      <c r="N111" s="23"/>
      <c r="O111" s="23"/>
      <c r="P111" s="20"/>
      <c r="Q111" s="23"/>
      <c r="R111" s="24"/>
      <c r="S111" s="23"/>
      <c r="T111" s="32"/>
      <c r="U111" s="23"/>
      <c r="V111" s="23"/>
      <c r="W111" s="23"/>
      <c r="X111" s="23"/>
      <c r="Y111" s="23"/>
      <c r="Z111" s="23"/>
      <c r="AA111" s="23"/>
      <c r="AB111" s="23"/>
    </row>
    <row r="112" spans="1:28" ht="12.75">
      <c r="A112" s="45"/>
      <c r="B112" s="48" t="s">
        <v>205</v>
      </c>
      <c r="C112" s="29"/>
      <c r="D112" s="30" t="s">
        <v>758</v>
      </c>
      <c r="E112" s="20">
        <v>-6755</v>
      </c>
      <c r="F112" s="23"/>
      <c r="G112" s="95">
        <v>0.99451</v>
      </c>
      <c r="H112" s="23"/>
      <c r="I112" s="32">
        <f>+E112*G112</f>
        <v>-6717.91505</v>
      </c>
      <c r="J112" s="20"/>
      <c r="K112" s="20"/>
      <c r="L112" s="23"/>
      <c r="M112" s="36"/>
      <c r="N112" s="23"/>
      <c r="O112" s="23"/>
      <c r="P112" s="20">
        <v>1675487</v>
      </c>
      <c r="Q112" s="23"/>
      <c r="R112" s="95">
        <v>1</v>
      </c>
      <c r="S112" s="23"/>
      <c r="T112" s="32">
        <f>+P112*R112</f>
        <v>1675487</v>
      </c>
      <c r="U112" s="23"/>
      <c r="V112" s="23"/>
      <c r="W112" s="23"/>
      <c r="X112" s="23"/>
      <c r="Y112" s="23"/>
      <c r="Z112" s="23"/>
      <c r="AA112" s="23"/>
      <c r="AB112" s="23"/>
    </row>
    <row r="113" spans="1:28" ht="12.75">
      <c r="A113" s="45"/>
      <c r="B113" s="48" t="s">
        <v>759</v>
      </c>
      <c r="C113" s="29"/>
      <c r="D113" s="30" t="s">
        <v>760</v>
      </c>
      <c r="E113" s="20">
        <v>2652793</v>
      </c>
      <c r="F113" s="23"/>
      <c r="G113" s="95">
        <v>0.64556</v>
      </c>
      <c r="H113" s="23"/>
      <c r="I113" s="32">
        <f>+E113*G113</f>
        <v>1712537.04908</v>
      </c>
      <c r="J113" s="20"/>
      <c r="K113" s="20"/>
      <c r="L113" s="23"/>
      <c r="M113" s="36"/>
      <c r="N113" s="23"/>
      <c r="O113" s="23"/>
      <c r="P113" s="20"/>
      <c r="Q113" s="23"/>
      <c r="R113" s="95"/>
      <c r="S113" s="23"/>
      <c r="T113" s="32">
        <f>+P113*R113</f>
        <v>0</v>
      </c>
      <c r="U113" s="23"/>
      <c r="V113" s="23"/>
      <c r="W113" s="23"/>
      <c r="X113" s="23"/>
      <c r="Y113" s="23"/>
      <c r="Z113" s="23"/>
      <c r="AA113" s="23"/>
      <c r="AB113" s="23"/>
    </row>
    <row r="114" spans="1:28" ht="12.75">
      <c r="A114" s="45"/>
      <c r="B114" s="48" t="s">
        <v>762</v>
      </c>
      <c r="C114" s="29"/>
      <c r="D114" s="30" t="s">
        <v>761</v>
      </c>
      <c r="E114" s="20">
        <v>-608447</v>
      </c>
      <c r="F114" s="23"/>
      <c r="G114" s="95">
        <v>0.64556</v>
      </c>
      <c r="H114" s="23"/>
      <c r="I114" s="32">
        <f>+E114*G114</f>
        <v>-392789.04532000003</v>
      </c>
      <c r="J114" s="20"/>
      <c r="K114" s="20"/>
      <c r="L114" s="23"/>
      <c r="M114" s="36"/>
      <c r="N114" s="23"/>
      <c r="O114" s="23"/>
      <c r="P114" s="20"/>
      <c r="Q114" s="23"/>
      <c r="R114" s="95"/>
      <c r="S114" s="23"/>
      <c r="T114" s="32">
        <f>+P114*R114</f>
        <v>0</v>
      </c>
      <c r="U114" s="23"/>
      <c r="V114" s="23"/>
      <c r="W114" s="23"/>
      <c r="X114" s="23"/>
      <c r="Y114" s="23"/>
      <c r="Z114" s="23"/>
      <c r="AA114" s="23"/>
      <c r="AB114" s="23"/>
    </row>
    <row r="115" spans="1:28" ht="12.75">
      <c r="A115" s="45"/>
      <c r="B115" s="29" t="s">
        <v>864</v>
      </c>
      <c r="C115" s="29"/>
      <c r="D115" s="30"/>
      <c r="E115" s="21">
        <v>181229</v>
      </c>
      <c r="F115" s="23"/>
      <c r="G115" s="95">
        <v>1</v>
      </c>
      <c r="H115" s="23"/>
      <c r="I115" s="61">
        <f>+E115*G115</f>
        <v>181229</v>
      </c>
      <c r="J115" s="20"/>
      <c r="K115" s="20"/>
      <c r="L115" s="23"/>
      <c r="M115" s="35" t="str">
        <f>+B115</f>
        <v>Settlement Agreement</v>
      </c>
      <c r="N115" s="23"/>
      <c r="O115" s="23"/>
      <c r="P115" s="20">
        <v>-181228</v>
      </c>
      <c r="Q115" s="23"/>
      <c r="R115" s="95">
        <v>1</v>
      </c>
      <c r="S115" s="23"/>
      <c r="T115" s="61">
        <f>+P115*R115</f>
        <v>-181228</v>
      </c>
      <c r="U115" s="23"/>
      <c r="V115" s="23"/>
      <c r="W115" s="23"/>
      <c r="X115" s="23"/>
      <c r="Y115" s="23"/>
      <c r="Z115" s="23"/>
      <c r="AA115" s="23"/>
      <c r="AB115" s="23"/>
    </row>
    <row r="116" spans="1:28" ht="12.75">
      <c r="A116" s="45"/>
      <c r="B116" s="48"/>
      <c r="C116" s="29"/>
      <c r="D116" s="30"/>
      <c r="E116" s="32" t="s">
        <v>134</v>
      </c>
      <c r="F116" s="23"/>
      <c r="G116" s="95"/>
      <c r="H116" s="23"/>
      <c r="I116" s="32" t="s">
        <v>134</v>
      </c>
      <c r="J116" s="20"/>
      <c r="K116" s="20"/>
      <c r="L116" s="23"/>
      <c r="M116" s="36"/>
      <c r="N116" s="23"/>
      <c r="O116" s="23"/>
      <c r="P116" s="32" t="s">
        <v>134</v>
      </c>
      <c r="Q116" s="23"/>
      <c r="R116" s="95"/>
      <c r="S116" s="23"/>
      <c r="T116" s="32" t="s">
        <v>134</v>
      </c>
      <c r="U116" s="23"/>
      <c r="V116" s="23"/>
      <c r="W116" s="23"/>
      <c r="X116" s="23"/>
      <c r="Y116" s="23"/>
      <c r="Z116" s="23"/>
      <c r="AA116" s="23"/>
      <c r="AB116" s="23"/>
    </row>
    <row r="117" spans="1:28" ht="12.75">
      <c r="A117" s="45"/>
      <c r="B117" s="48" t="s">
        <v>425</v>
      </c>
      <c r="C117" s="29"/>
      <c r="D117" s="30"/>
      <c r="E117" s="32">
        <f>SUM(E112:E116)</f>
        <v>2218820</v>
      </c>
      <c r="F117" s="23"/>
      <c r="G117" s="95"/>
      <c r="H117" s="23"/>
      <c r="I117" s="61">
        <f>SUM(I112:I116)</f>
        <v>1494259.08871</v>
      </c>
      <c r="J117" s="20"/>
      <c r="K117" s="20"/>
      <c r="L117" s="23"/>
      <c r="M117" s="36"/>
      <c r="N117" s="23"/>
      <c r="O117" s="23"/>
      <c r="P117" s="32">
        <f>SUM(P112:P116)</f>
        <v>1494259</v>
      </c>
      <c r="Q117" s="23"/>
      <c r="R117" s="95"/>
      <c r="S117" s="23"/>
      <c r="T117" s="61">
        <f>SUM(T112:T116)</f>
        <v>1494259</v>
      </c>
      <c r="U117" s="23"/>
      <c r="V117" s="23"/>
      <c r="W117" s="23"/>
      <c r="X117" s="23"/>
      <c r="Y117" s="23"/>
      <c r="Z117" s="23"/>
      <c r="AA117" s="23"/>
      <c r="AB117" s="23"/>
    </row>
    <row r="118" spans="1:28" ht="12.75">
      <c r="A118" s="45"/>
      <c r="B118" s="48"/>
      <c r="C118" s="29"/>
      <c r="D118" s="30"/>
      <c r="E118" s="20"/>
      <c r="F118" s="23"/>
      <c r="G118" s="95"/>
      <c r="H118" s="23"/>
      <c r="I118" s="32"/>
      <c r="J118" s="20"/>
      <c r="K118" s="20"/>
      <c r="L118" s="23"/>
      <c r="M118" s="36"/>
      <c r="N118" s="23"/>
      <c r="O118" s="23"/>
      <c r="P118" s="20"/>
      <c r="Q118" s="23"/>
      <c r="R118" s="24"/>
      <c r="S118" s="23"/>
      <c r="T118" s="32"/>
      <c r="U118" s="23"/>
      <c r="V118" s="23"/>
      <c r="W118" s="23"/>
      <c r="X118" s="23"/>
      <c r="Y118" s="23"/>
      <c r="Z118" s="23"/>
      <c r="AA118" s="23"/>
      <c r="AB118" s="23"/>
    </row>
    <row r="119" spans="1:28" ht="12.75">
      <c r="A119" s="45">
        <f>+A111+1</f>
        <v>35</v>
      </c>
      <c r="B119" s="29" t="s">
        <v>737</v>
      </c>
      <c r="C119" s="29"/>
      <c r="D119" s="30" t="s">
        <v>751</v>
      </c>
      <c r="E119" s="20">
        <v>-17306</v>
      </c>
      <c r="F119" s="23"/>
      <c r="G119" s="95">
        <v>0.9847</v>
      </c>
      <c r="H119" s="23"/>
      <c r="I119" s="32">
        <f>+E119*G119</f>
        <v>-17041.2182</v>
      </c>
      <c r="J119" s="20"/>
      <c r="K119" s="20"/>
      <c r="L119" s="23"/>
      <c r="M119" s="35" t="str">
        <f>+B119</f>
        <v>Eliminate Interest charged to Corporate</v>
      </c>
      <c r="N119" s="23"/>
      <c r="O119" s="23"/>
      <c r="P119" s="20"/>
      <c r="Q119" s="23"/>
      <c r="R119" s="24">
        <v>1</v>
      </c>
      <c r="S119" s="23"/>
      <c r="T119" s="32">
        <f>+P119*R119</f>
        <v>0</v>
      </c>
      <c r="U119" s="23"/>
      <c r="V119" s="23"/>
      <c r="W119" s="23"/>
      <c r="X119" s="23"/>
      <c r="Y119" s="23"/>
      <c r="Z119" s="23"/>
      <c r="AA119" s="23"/>
      <c r="AB119" s="23"/>
    </row>
    <row r="120" spans="1:28" ht="12.75">
      <c r="A120" s="45"/>
      <c r="B120" s="48"/>
      <c r="C120" s="29"/>
      <c r="D120" s="30" t="s">
        <v>750</v>
      </c>
      <c r="E120" s="20">
        <v>-56110</v>
      </c>
      <c r="F120" s="23"/>
      <c r="G120" s="95">
        <v>0.86397</v>
      </c>
      <c r="H120" s="23"/>
      <c r="I120" s="32">
        <f>+E120*G120</f>
        <v>-48477.356700000004</v>
      </c>
      <c r="J120" s="20"/>
      <c r="K120" s="20"/>
      <c r="L120" s="23"/>
      <c r="M120" s="36"/>
      <c r="N120" s="23"/>
      <c r="O120" s="23"/>
      <c r="P120" s="20"/>
      <c r="Q120" s="23"/>
      <c r="R120" s="24">
        <v>1</v>
      </c>
      <c r="S120" s="23"/>
      <c r="T120" s="32">
        <f>+P120*R120</f>
        <v>0</v>
      </c>
      <c r="U120" s="23"/>
      <c r="V120" s="23"/>
      <c r="W120" s="23"/>
      <c r="X120" s="23"/>
      <c r="Y120" s="23"/>
      <c r="Z120" s="23"/>
      <c r="AA120" s="23"/>
      <c r="AB120" s="23"/>
    </row>
    <row r="121" spans="1:28" ht="12.75">
      <c r="A121" s="45"/>
      <c r="B121" s="29" t="s">
        <v>864</v>
      </c>
      <c r="C121" s="29"/>
      <c r="D121" s="30"/>
      <c r="E121" s="20">
        <v>65519</v>
      </c>
      <c r="F121" s="23"/>
      <c r="G121" s="95">
        <v>1</v>
      </c>
      <c r="H121" s="23"/>
      <c r="I121" s="61">
        <f>+E121*G121</f>
        <v>65519</v>
      </c>
      <c r="J121" s="20"/>
      <c r="K121" s="20"/>
      <c r="L121" s="23"/>
      <c r="M121" s="36"/>
      <c r="N121" s="23"/>
      <c r="O121" s="23"/>
      <c r="P121" s="20"/>
      <c r="Q121" s="23"/>
      <c r="R121" s="24"/>
      <c r="S121" s="23"/>
      <c r="T121" s="32"/>
      <c r="U121" s="23"/>
      <c r="V121" s="23"/>
      <c r="W121" s="23"/>
      <c r="X121" s="23"/>
      <c r="Y121" s="23"/>
      <c r="Z121" s="23"/>
      <c r="AA121" s="23"/>
      <c r="AB121" s="23"/>
    </row>
    <row r="122" spans="1:28" ht="12.75">
      <c r="A122" s="45"/>
      <c r="B122" s="48"/>
      <c r="C122" s="29"/>
      <c r="D122" s="30"/>
      <c r="E122" s="32" t="s">
        <v>135</v>
      </c>
      <c r="F122" s="23"/>
      <c r="G122" s="95"/>
      <c r="H122" s="23"/>
      <c r="I122" s="32" t="s">
        <v>135</v>
      </c>
      <c r="J122" s="20"/>
      <c r="K122" s="20"/>
      <c r="L122" s="23"/>
      <c r="M122" s="36"/>
      <c r="N122" s="23"/>
      <c r="O122" s="23"/>
      <c r="P122" s="32" t="s">
        <v>135</v>
      </c>
      <c r="Q122" s="23"/>
      <c r="R122" s="95"/>
      <c r="S122" s="23"/>
      <c r="T122" s="32" t="s">
        <v>135</v>
      </c>
      <c r="U122" s="23"/>
      <c r="V122" s="23"/>
      <c r="W122" s="23"/>
      <c r="X122" s="23"/>
      <c r="Y122" s="23"/>
      <c r="Z122" s="23"/>
      <c r="AA122" s="23"/>
      <c r="AB122" s="23"/>
    </row>
    <row r="123" spans="1:28" ht="12.75">
      <c r="A123" s="45"/>
      <c r="B123" s="48"/>
      <c r="C123" s="29"/>
      <c r="D123" s="30"/>
      <c r="E123" s="20">
        <f>SUM(E119:E122)</f>
        <v>-7897</v>
      </c>
      <c r="F123" s="23"/>
      <c r="G123" s="95"/>
      <c r="H123" s="23"/>
      <c r="I123" s="20">
        <f>SUM(I119:I122)</f>
        <v>0.4250999999931082</v>
      </c>
      <c r="J123" s="20"/>
      <c r="K123" s="20"/>
      <c r="L123" s="23"/>
      <c r="M123" s="36"/>
      <c r="N123" s="23"/>
      <c r="O123" s="23"/>
      <c r="P123" s="20">
        <f>SUM(P119:P122)</f>
        <v>0</v>
      </c>
      <c r="Q123" s="23"/>
      <c r="R123" s="95"/>
      <c r="S123" s="23"/>
      <c r="T123" s="20">
        <f>SUM(T119:T122)</f>
        <v>0</v>
      </c>
      <c r="U123" s="23"/>
      <c r="V123" s="23"/>
      <c r="W123" s="23"/>
      <c r="X123" s="23"/>
      <c r="Y123" s="23"/>
      <c r="Z123" s="23"/>
      <c r="AA123" s="23"/>
      <c r="AB123" s="23"/>
    </row>
    <row r="124" spans="1:28" ht="12.75">
      <c r="A124" s="45"/>
      <c r="B124" s="48"/>
      <c r="C124" s="29"/>
      <c r="D124" s="30"/>
      <c r="E124" s="20"/>
      <c r="F124" s="23"/>
      <c r="G124" s="95"/>
      <c r="H124" s="23"/>
      <c r="I124" s="20"/>
      <c r="J124" s="20"/>
      <c r="K124" s="20"/>
      <c r="L124" s="23"/>
      <c r="M124" s="36"/>
      <c r="N124" s="23"/>
      <c r="O124" s="23"/>
      <c r="P124" s="20"/>
      <c r="Q124" s="23"/>
      <c r="R124" s="95"/>
      <c r="S124" s="23"/>
      <c r="T124" s="20"/>
      <c r="U124" s="23"/>
      <c r="V124" s="23"/>
      <c r="W124" s="23"/>
      <c r="X124" s="23"/>
      <c r="Y124" s="23"/>
      <c r="Z124" s="23"/>
      <c r="AA124" s="23"/>
      <c r="AB124" s="23"/>
    </row>
    <row r="125" spans="1:28" ht="12.75">
      <c r="A125" s="45">
        <f>+A119+1</f>
        <v>36</v>
      </c>
      <c r="B125" s="29" t="s">
        <v>402</v>
      </c>
      <c r="C125" s="29"/>
      <c r="D125" s="30" t="s">
        <v>752</v>
      </c>
      <c r="E125" s="20">
        <v>31129</v>
      </c>
      <c r="F125" s="23"/>
      <c r="G125" s="95">
        <v>0.81323</v>
      </c>
      <c r="H125" s="23"/>
      <c r="I125" s="20">
        <f>+E125*G125</f>
        <v>25315.03667</v>
      </c>
      <c r="J125" s="20"/>
      <c r="K125" s="20"/>
      <c r="L125" s="23"/>
      <c r="M125" s="35" t="str">
        <f>+B125</f>
        <v>Annualize Postage Expense</v>
      </c>
      <c r="N125" s="23"/>
      <c r="O125" s="23"/>
      <c r="P125" s="20"/>
      <c r="Q125" s="23"/>
      <c r="R125" s="95"/>
      <c r="S125" s="23"/>
      <c r="T125" s="20">
        <f>+P125*R125</f>
        <v>0</v>
      </c>
      <c r="U125" s="23"/>
      <c r="V125" s="23"/>
      <c r="W125" s="23"/>
      <c r="X125" s="23"/>
      <c r="Y125" s="23"/>
      <c r="Z125" s="23"/>
      <c r="AA125" s="23"/>
      <c r="AB125" s="23"/>
    </row>
    <row r="126" spans="1:28" ht="12.75">
      <c r="A126" s="45"/>
      <c r="B126" s="48"/>
      <c r="C126" s="29"/>
      <c r="D126" s="30" t="s">
        <v>753</v>
      </c>
      <c r="E126" s="20">
        <v>5791</v>
      </c>
      <c r="F126" s="23"/>
      <c r="G126" s="95">
        <v>0.86397</v>
      </c>
      <c r="H126" s="23"/>
      <c r="I126" s="20">
        <f>+E126*G126</f>
        <v>5003.2502700000005</v>
      </c>
      <c r="J126" s="20"/>
      <c r="K126" s="20"/>
      <c r="L126" s="23"/>
      <c r="M126" s="36"/>
      <c r="N126" s="23"/>
      <c r="O126" s="23"/>
      <c r="P126" s="20"/>
      <c r="Q126" s="23"/>
      <c r="R126" s="95"/>
      <c r="S126" s="23"/>
      <c r="T126" s="20">
        <f>+P126*R126</f>
        <v>0</v>
      </c>
      <c r="U126" s="23"/>
      <c r="V126" s="23"/>
      <c r="W126" s="23"/>
      <c r="X126" s="23"/>
      <c r="Y126" s="23"/>
      <c r="Z126" s="23"/>
      <c r="AA126" s="23"/>
      <c r="AB126" s="23"/>
    </row>
    <row r="127" spans="1:28" ht="12.75">
      <c r="A127" s="45"/>
      <c r="B127" s="48"/>
      <c r="C127" s="29"/>
      <c r="D127" s="30"/>
      <c r="E127" s="20"/>
      <c r="F127" s="23"/>
      <c r="G127" s="95"/>
      <c r="H127" s="23"/>
      <c r="I127" s="20">
        <f>+E127*G127</f>
        <v>0</v>
      </c>
      <c r="J127" s="20"/>
      <c r="K127" s="20"/>
      <c r="L127" s="23"/>
      <c r="M127" s="35" t="s">
        <v>870</v>
      </c>
      <c r="N127" s="23"/>
      <c r="O127" s="23"/>
      <c r="P127" s="20">
        <v>30318</v>
      </c>
      <c r="Q127" s="23"/>
      <c r="R127" s="95">
        <v>1</v>
      </c>
      <c r="S127" s="23"/>
      <c r="T127" s="20">
        <f>+P127*R127</f>
        <v>30318</v>
      </c>
      <c r="U127" s="23"/>
      <c r="V127" s="23"/>
      <c r="W127" s="23"/>
      <c r="X127" s="23"/>
      <c r="Y127" s="23"/>
      <c r="Z127" s="23"/>
      <c r="AA127" s="23"/>
      <c r="AB127" s="23"/>
    </row>
    <row r="128" spans="1:28" ht="12.75">
      <c r="A128" s="45"/>
      <c r="B128" s="48"/>
      <c r="C128" s="29"/>
      <c r="D128" s="30"/>
      <c r="E128" s="32" t="s">
        <v>135</v>
      </c>
      <c r="F128" s="23"/>
      <c r="G128" s="95"/>
      <c r="H128" s="23"/>
      <c r="I128" s="32" t="s">
        <v>135</v>
      </c>
      <c r="J128" s="20"/>
      <c r="K128" s="20"/>
      <c r="L128" s="23"/>
      <c r="M128" s="36"/>
      <c r="N128" s="23"/>
      <c r="O128" s="23"/>
      <c r="P128" s="32" t="s">
        <v>135</v>
      </c>
      <c r="Q128" s="23"/>
      <c r="R128" s="95"/>
      <c r="S128" s="23"/>
      <c r="T128" s="32" t="s">
        <v>135</v>
      </c>
      <c r="U128" s="23"/>
      <c r="V128" s="23"/>
      <c r="W128" s="23"/>
      <c r="X128" s="23"/>
      <c r="Y128" s="23"/>
      <c r="Z128" s="23"/>
      <c r="AA128" s="23"/>
      <c r="AB128" s="23"/>
    </row>
    <row r="129" spans="1:28" ht="12.75">
      <c r="A129" s="45"/>
      <c r="B129" s="48"/>
      <c r="C129" s="29"/>
      <c r="D129" s="30"/>
      <c r="E129" s="20">
        <f>SUM(E125:E128)</f>
        <v>36920</v>
      </c>
      <c r="F129" s="23"/>
      <c r="G129" s="95"/>
      <c r="H129" s="23"/>
      <c r="I129" s="20">
        <f>SUM(I125:I128)</f>
        <v>30318.28694</v>
      </c>
      <c r="J129" s="20"/>
      <c r="K129" s="20"/>
      <c r="L129" s="23"/>
      <c r="M129" s="36"/>
      <c r="N129" s="23"/>
      <c r="O129" s="23"/>
      <c r="P129" s="20">
        <f>SUM(P125:P128)</f>
        <v>30318</v>
      </c>
      <c r="Q129" s="23"/>
      <c r="R129" s="95"/>
      <c r="S129" s="23"/>
      <c r="T129" s="21">
        <f>SUM(T125:T128)</f>
        <v>30318</v>
      </c>
      <c r="U129" s="23"/>
      <c r="V129" s="23"/>
      <c r="W129" s="23"/>
      <c r="X129" s="23"/>
      <c r="Y129" s="23"/>
      <c r="Z129" s="23"/>
      <c r="AA129" s="23"/>
      <c r="AB129" s="23"/>
    </row>
    <row r="130" spans="1:28" ht="12.75">
      <c r="A130" s="45">
        <f>+A125+1</f>
        <v>37</v>
      </c>
      <c r="B130" s="29" t="s">
        <v>730</v>
      </c>
      <c r="C130" s="29"/>
      <c r="D130" s="30"/>
      <c r="E130" s="20"/>
      <c r="F130" s="23"/>
      <c r="G130" s="95"/>
      <c r="H130" s="23"/>
      <c r="I130" s="32"/>
      <c r="J130" s="20"/>
      <c r="K130" s="20">
        <f>+A130</f>
        <v>37</v>
      </c>
      <c r="L130" s="23"/>
      <c r="M130" s="35" t="str">
        <f>+B130</f>
        <v>Fuel &amp; Purchase Power - Interchange</v>
      </c>
      <c r="N130" s="23"/>
      <c r="O130" s="23"/>
      <c r="P130" s="20"/>
      <c r="Q130" s="23"/>
      <c r="R130" s="24"/>
      <c r="S130" s="23"/>
      <c r="T130" s="32"/>
      <c r="U130" s="23"/>
      <c r="V130" s="23"/>
      <c r="W130" s="23"/>
      <c r="X130" s="23"/>
      <c r="Y130" s="23"/>
      <c r="Z130" s="23"/>
      <c r="AA130" s="23"/>
      <c r="AB130" s="23"/>
    </row>
    <row r="131" spans="1:28" ht="12.75">
      <c r="A131" s="45"/>
      <c r="B131" s="48"/>
      <c r="C131" s="29"/>
      <c r="D131" s="30" t="s">
        <v>731</v>
      </c>
      <c r="E131" s="20">
        <v>-1979868</v>
      </c>
      <c r="F131" s="23"/>
      <c r="G131" s="95">
        <v>0.9847</v>
      </c>
      <c r="H131" s="23"/>
      <c r="I131" s="32">
        <f aca="true" t="shared" si="6" ref="I131:I136">+E131*G131</f>
        <v>-1949576.0196</v>
      </c>
      <c r="J131" s="20"/>
      <c r="K131" s="20"/>
      <c r="L131" s="23"/>
      <c r="M131" s="36"/>
      <c r="N131" s="23"/>
      <c r="O131" s="23"/>
      <c r="P131" s="20">
        <v>8277143</v>
      </c>
      <c r="Q131" s="23"/>
      <c r="R131" s="24">
        <v>1</v>
      </c>
      <c r="S131" s="23"/>
      <c r="T131" s="32">
        <f>+P131*R131</f>
        <v>8277143</v>
      </c>
      <c r="U131" s="23"/>
      <c r="V131" s="23"/>
      <c r="W131" s="23"/>
      <c r="X131" s="23"/>
      <c r="Y131" s="23"/>
      <c r="Z131" s="23"/>
      <c r="AA131" s="23"/>
      <c r="AB131" s="23"/>
    </row>
    <row r="132" spans="1:28" ht="12.75">
      <c r="A132" s="45"/>
      <c r="B132" s="48"/>
      <c r="C132" s="29"/>
      <c r="D132" s="30" t="s">
        <v>732</v>
      </c>
      <c r="E132" s="20">
        <v>-1044177</v>
      </c>
      <c r="F132" s="23"/>
      <c r="G132" s="95">
        <v>0.9847</v>
      </c>
      <c r="H132" s="23"/>
      <c r="I132" s="32">
        <f t="shared" si="6"/>
        <v>-1028201.0919</v>
      </c>
      <c r="J132" s="20"/>
      <c r="K132" s="20"/>
      <c r="L132" s="23"/>
      <c r="M132" s="36"/>
      <c r="N132" s="23"/>
      <c r="O132" s="23"/>
      <c r="P132" s="20"/>
      <c r="Q132" s="23"/>
      <c r="R132" s="24"/>
      <c r="S132" s="23"/>
      <c r="T132" s="32"/>
      <c r="U132" s="23"/>
      <c r="V132" s="23"/>
      <c r="W132" s="23"/>
      <c r="X132" s="23"/>
      <c r="Y132" s="23"/>
      <c r="Z132" s="23"/>
      <c r="AA132" s="23"/>
      <c r="AB132" s="23"/>
    </row>
    <row r="133" spans="1:28" ht="12.75">
      <c r="A133" s="45"/>
      <c r="B133" s="48"/>
      <c r="C133" s="29"/>
      <c r="D133" s="30" t="s">
        <v>733</v>
      </c>
      <c r="E133" s="20">
        <v>6170129</v>
      </c>
      <c r="F133" s="23"/>
      <c r="G133" s="95">
        <v>0.9847</v>
      </c>
      <c r="H133" s="23"/>
      <c r="I133" s="32">
        <f t="shared" si="6"/>
        <v>6075726.0263</v>
      </c>
      <c r="J133" s="20"/>
      <c r="K133" s="20"/>
      <c r="L133" s="23"/>
      <c r="M133" s="36"/>
      <c r="N133" s="23"/>
      <c r="O133" s="23"/>
      <c r="P133" s="20"/>
      <c r="Q133" s="23"/>
      <c r="R133" s="24"/>
      <c r="S133" s="23"/>
      <c r="T133" s="32"/>
      <c r="U133" s="23"/>
      <c r="V133" s="23"/>
      <c r="W133" s="23"/>
      <c r="X133" s="23"/>
      <c r="Y133" s="23"/>
      <c r="Z133" s="23"/>
      <c r="AA133" s="23"/>
      <c r="AB133" s="23"/>
    </row>
    <row r="134" spans="1:28" ht="12.75">
      <c r="A134" s="45"/>
      <c r="B134" s="48"/>
      <c r="C134" s="29"/>
      <c r="D134" s="30" t="s">
        <v>734</v>
      </c>
      <c r="E134" s="20">
        <v>-10536697</v>
      </c>
      <c r="F134" s="23"/>
      <c r="G134" s="95">
        <v>0.9847</v>
      </c>
      <c r="H134" s="23"/>
      <c r="I134" s="32">
        <f t="shared" si="6"/>
        <v>-10375485.5359</v>
      </c>
      <c r="J134" s="20"/>
      <c r="K134" s="20"/>
      <c r="L134" s="23"/>
      <c r="M134" s="36"/>
      <c r="N134" s="23"/>
      <c r="O134" s="23"/>
      <c r="P134" s="20"/>
      <c r="Q134" s="23"/>
      <c r="R134" s="24"/>
      <c r="S134" s="23"/>
      <c r="T134" s="32"/>
      <c r="U134" s="23"/>
      <c r="V134" s="23"/>
      <c r="W134" s="23"/>
      <c r="X134" s="23"/>
      <c r="Y134" s="23"/>
      <c r="Z134" s="23"/>
      <c r="AA134" s="23"/>
      <c r="AB134" s="23"/>
    </row>
    <row r="135" spans="1:28" ht="12.75">
      <c r="A135" s="45"/>
      <c r="B135" s="48"/>
      <c r="C135" s="29"/>
      <c r="D135" s="30" t="s">
        <v>735</v>
      </c>
      <c r="E135" s="20">
        <v>317681</v>
      </c>
      <c r="F135" s="23"/>
      <c r="G135" s="95">
        <v>0.9847</v>
      </c>
      <c r="H135" s="23"/>
      <c r="I135" s="32">
        <f t="shared" si="6"/>
        <v>312820.4807</v>
      </c>
      <c r="J135" s="20"/>
      <c r="K135" s="20"/>
      <c r="L135" s="23"/>
      <c r="M135" s="36"/>
      <c r="N135" s="23"/>
      <c r="O135" s="23"/>
      <c r="P135" s="20"/>
      <c r="Q135" s="23"/>
      <c r="R135" s="24"/>
      <c r="S135" s="23"/>
      <c r="T135" s="32"/>
      <c r="U135" s="23"/>
      <c r="V135" s="23"/>
      <c r="W135" s="23"/>
      <c r="X135" s="23"/>
      <c r="Y135" s="23"/>
      <c r="Z135" s="23"/>
      <c r="AA135" s="23"/>
      <c r="AB135" s="23"/>
    </row>
    <row r="136" spans="1:28" ht="12.75">
      <c r="A136" s="45"/>
      <c r="B136" s="48"/>
      <c r="C136" s="29"/>
      <c r="D136" s="30" t="s">
        <v>736</v>
      </c>
      <c r="E136" s="20">
        <v>889943</v>
      </c>
      <c r="F136" s="23"/>
      <c r="G136" s="95">
        <v>0.9847</v>
      </c>
      <c r="H136" s="23"/>
      <c r="I136" s="32">
        <f t="shared" si="6"/>
        <v>876326.8721</v>
      </c>
      <c r="J136" s="20"/>
      <c r="K136" s="20"/>
      <c r="L136" s="23"/>
      <c r="M136" s="35" t="s">
        <v>864</v>
      </c>
      <c r="N136" s="23"/>
      <c r="O136" s="23"/>
      <c r="P136" s="20">
        <v>-14365532</v>
      </c>
      <c r="Q136" s="23"/>
      <c r="R136" s="24">
        <v>1</v>
      </c>
      <c r="S136" s="23"/>
      <c r="T136" s="61">
        <f>+P136*R136</f>
        <v>-14365532</v>
      </c>
      <c r="U136" s="23"/>
      <c r="V136" s="23"/>
      <c r="W136" s="23"/>
      <c r="X136" s="23"/>
      <c r="Y136" s="23"/>
      <c r="Z136" s="23"/>
      <c r="AA136" s="23"/>
      <c r="AB136" s="23"/>
    </row>
    <row r="137" spans="1:28" ht="12.75">
      <c r="A137" s="45"/>
      <c r="B137" s="48"/>
      <c r="C137" s="29"/>
      <c r="D137" s="30"/>
      <c r="E137" s="32" t="s">
        <v>135</v>
      </c>
      <c r="F137" s="23"/>
      <c r="G137" s="95"/>
      <c r="H137" s="23"/>
      <c r="I137" s="32" t="s">
        <v>135</v>
      </c>
      <c r="J137" s="20"/>
      <c r="K137" s="20"/>
      <c r="L137" s="23"/>
      <c r="M137" s="36"/>
      <c r="N137" s="23"/>
      <c r="O137" s="23"/>
      <c r="P137" s="32" t="s">
        <v>135</v>
      </c>
      <c r="Q137" s="23"/>
      <c r="R137" s="95"/>
      <c r="S137" s="23"/>
      <c r="T137" s="32" t="s">
        <v>135</v>
      </c>
      <c r="U137" s="20"/>
      <c r="V137" s="23"/>
      <c r="W137" s="23"/>
      <c r="X137" s="23"/>
      <c r="Y137" s="23"/>
      <c r="Z137" s="23"/>
      <c r="AA137" s="23"/>
      <c r="AB137" s="23"/>
    </row>
    <row r="138" spans="1:28" ht="12.75">
      <c r="A138" s="45"/>
      <c r="B138" s="48"/>
      <c r="C138" s="29"/>
      <c r="D138" s="30"/>
      <c r="E138" s="20">
        <f>SUM(E131:E137)</f>
        <v>-6182989</v>
      </c>
      <c r="F138" s="23"/>
      <c r="G138" s="95"/>
      <c r="H138" s="23"/>
      <c r="I138" s="20">
        <f>SUM(I131:I137)</f>
        <v>-6088389.268300001</v>
      </c>
      <c r="J138" s="20"/>
      <c r="K138" s="20"/>
      <c r="L138" s="23"/>
      <c r="M138" s="36"/>
      <c r="N138" s="23"/>
      <c r="O138" s="23"/>
      <c r="P138" s="20">
        <f>SUM(P131:P137)</f>
        <v>-6088389</v>
      </c>
      <c r="Q138" s="23"/>
      <c r="R138" s="95"/>
      <c r="S138" s="23"/>
      <c r="T138" s="20">
        <f>SUM(T131:T137)</f>
        <v>-6088389</v>
      </c>
      <c r="U138" s="20"/>
      <c r="V138" s="23"/>
      <c r="W138" s="23"/>
      <c r="X138" s="23"/>
      <c r="Y138" s="23"/>
      <c r="Z138" s="23"/>
      <c r="AA138" s="23"/>
      <c r="AB138" s="23"/>
    </row>
    <row r="139" spans="1:28" ht="12.75">
      <c r="A139" s="45"/>
      <c r="B139" s="48"/>
      <c r="C139" s="29"/>
      <c r="D139" s="30"/>
      <c r="E139" s="20"/>
      <c r="F139" s="23"/>
      <c r="G139" s="95"/>
      <c r="H139" s="23"/>
      <c r="I139" s="32"/>
      <c r="J139" s="20"/>
      <c r="K139" s="20"/>
      <c r="L139" s="23"/>
      <c r="M139" s="36"/>
      <c r="N139" s="23"/>
      <c r="O139" s="23"/>
      <c r="P139" s="20"/>
      <c r="Q139" s="23"/>
      <c r="R139" s="24"/>
      <c r="S139" s="23"/>
      <c r="T139" s="32"/>
      <c r="U139" s="23"/>
      <c r="V139" s="23"/>
      <c r="W139" s="23"/>
      <c r="X139" s="23"/>
      <c r="Y139" s="23"/>
      <c r="Z139" s="23"/>
      <c r="AA139" s="23"/>
      <c r="AB139" s="23"/>
    </row>
    <row r="140" spans="1:28" ht="12.75">
      <c r="A140" s="45"/>
      <c r="B140" s="29"/>
      <c r="C140" s="29"/>
      <c r="D140" s="30"/>
      <c r="E140" s="20"/>
      <c r="F140" s="23"/>
      <c r="G140" s="95"/>
      <c r="H140" s="23"/>
      <c r="I140" s="32"/>
      <c r="J140" s="20"/>
      <c r="K140" s="18"/>
      <c r="L140" s="23"/>
      <c r="M140" s="35"/>
      <c r="N140" s="29"/>
      <c r="O140" s="23"/>
      <c r="P140" s="20"/>
      <c r="Q140" s="23"/>
      <c r="R140" s="24"/>
      <c r="S140" s="23"/>
      <c r="T140" s="32"/>
      <c r="U140" s="23"/>
      <c r="V140" s="23"/>
      <c r="W140" s="23"/>
      <c r="X140" s="23"/>
      <c r="Y140" s="23"/>
      <c r="Z140" s="23"/>
      <c r="AA140" s="23"/>
      <c r="AB140" s="23"/>
    </row>
    <row r="141" spans="1:28" ht="12.75">
      <c r="A141" s="45">
        <f>+A130+1</f>
        <v>38</v>
      </c>
      <c r="B141" s="29" t="s">
        <v>200</v>
      </c>
      <c r="C141" s="29"/>
      <c r="D141" s="30" t="s">
        <v>631</v>
      </c>
      <c r="E141" s="20">
        <v>0</v>
      </c>
      <c r="F141" s="23"/>
      <c r="G141" s="95">
        <v>0.9869</v>
      </c>
      <c r="H141" s="23"/>
      <c r="I141" s="32">
        <f>+E141*G141</f>
        <v>0</v>
      </c>
      <c r="J141" s="20"/>
      <c r="K141" s="20">
        <f>+A141</f>
        <v>38</v>
      </c>
      <c r="L141" s="23"/>
      <c r="M141" s="35" t="str">
        <f>+B141</f>
        <v>Advertising Expense</v>
      </c>
      <c r="N141" s="23"/>
      <c r="O141" s="23"/>
      <c r="P141" s="20">
        <v>-783</v>
      </c>
      <c r="Q141" s="23"/>
      <c r="R141" s="24">
        <v>1</v>
      </c>
      <c r="S141" s="23"/>
      <c r="T141" s="32">
        <f>+P141*R141</f>
        <v>-783</v>
      </c>
      <c r="U141" s="23"/>
      <c r="V141" s="23"/>
      <c r="W141" s="23"/>
      <c r="X141" s="23"/>
      <c r="Y141" s="23"/>
      <c r="Z141" s="23"/>
      <c r="AA141" s="23"/>
      <c r="AB141" s="23"/>
    </row>
    <row r="142" spans="1:28" ht="12.75">
      <c r="A142" s="45"/>
      <c r="B142" s="48"/>
      <c r="C142" s="29"/>
      <c r="D142" s="30" t="s">
        <v>632</v>
      </c>
      <c r="E142" s="20">
        <v>-792</v>
      </c>
      <c r="F142" s="23"/>
      <c r="G142" s="95">
        <v>0.9869</v>
      </c>
      <c r="H142" s="23"/>
      <c r="I142" s="32">
        <f aca="true" t="shared" si="7" ref="I142:I149">+E142*G142</f>
        <v>-781.6248</v>
      </c>
      <c r="J142" s="20"/>
      <c r="K142" s="9"/>
      <c r="L142" s="23"/>
      <c r="M142" s="36">
        <f>+B142</f>
        <v>0</v>
      </c>
      <c r="N142" s="23"/>
      <c r="O142" s="23"/>
      <c r="P142" s="20">
        <v>-600</v>
      </c>
      <c r="Q142" s="23"/>
      <c r="R142" s="24">
        <v>1</v>
      </c>
      <c r="S142" s="23"/>
      <c r="T142" s="32">
        <f aca="true" t="shared" si="8" ref="T142:T149">+P142*R142</f>
        <v>-600</v>
      </c>
      <c r="U142" s="23"/>
      <c r="V142" s="23"/>
      <c r="W142" s="23"/>
      <c r="X142" s="23"/>
      <c r="Y142" s="23"/>
      <c r="Z142" s="23"/>
      <c r="AA142" s="23"/>
      <c r="AB142" s="23"/>
    </row>
    <row r="143" spans="1:28" ht="12.75">
      <c r="A143" s="45"/>
      <c r="B143" s="55"/>
      <c r="C143" s="29"/>
      <c r="D143" s="30" t="s">
        <v>633</v>
      </c>
      <c r="E143" s="20">
        <v>-603</v>
      </c>
      <c r="F143" s="23"/>
      <c r="G143" s="95">
        <v>0.9847</v>
      </c>
      <c r="H143" s="23"/>
      <c r="I143" s="32">
        <f t="shared" si="7"/>
        <v>-593.7741</v>
      </c>
      <c r="J143" s="20"/>
      <c r="K143" s="20"/>
      <c r="L143" s="23"/>
      <c r="M143" s="36">
        <f aca="true" t="shared" si="9" ref="M143:M148">+B143</f>
        <v>0</v>
      </c>
      <c r="N143" s="23"/>
      <c r="O143" s="23"/>
      <c r="P143" s="20">
        <v>-229</v>
      </c>
      <c r="Q143" s="23"/>
      <c r="R143" s="24">
        <v>1</v>
      </c>
      <c r="S143" s="23"/>
      <c r="T143" s="32">
        <f t="shared" si="8"/>
        <v>-229</v>
      </c>
      <c r="U143" s="23"/>
      <c r="V143" s="23"/>
      <c r="W143" s="23"/>
      <c r="X143" s="23"/>
      <c r="Y143" s="23"/>
      <c r="Z143" s="23"/>
      <c r="AA143" s="23"/>
      <c r="AB143" s="23"/>
    </row>
    <row r="144" spans="1:28" ht="12.75">
      <c r="A144" s="45"/>
      <c r="B144" s="48"/>
      <c r="C144" s="29"/>
      <c r="D144" s="30" t="s">
        <v>634</v>
      </c>
      <c r="E144" s="20">
        <v>-230</v>
      </c>
      <c r="F144" s="23"/>
      <c r="G144" s="95">
        <v>0.99833</v>
      </c>
      <c r="H144" s="23"/>
      <c r="I144" s="32">
        <f t="shared" si="7"/>
        <v>-229.6159</v>
      </c>
      <c r="J144" s="20"/>
      <c r="K144" s="20"/>
      <c r="L144" s="23"/>
      <c r="M144" s="36">
        <f t="shared" si="9"/>
        <v>0</v>
      </c>
      <c r="N144" s="23"/>
      <c r="O144" s="23"/>
      <c r="P144" s="20">
        <v>-290</v>
      </c>
      <c r="Q144" s="23"/>
      <c r="R144" s="24">
        <v>1</v>
      </c>
      <c r="S144" s="23"/>
      <c r="T144" s="32">
        <f t="shared" si="8"/>
        <v>-290</v>
      </c>
      <c r="U144" s="23"/>
      <c r="V144" s="23"/>
      <c r="W144" s="23"/>
      <c r="X144" s="23"/>
      <c r="Y144" s="23"/>
      <c r="Z144" s="23"/>
      <c r="AA144" s="23"/>
      <c r="AB144" s="23"/>
    </row>
    <row r="145" spans="1:28" ht="12.75">
      <c r="A145" s="45"/>
      <c r="B145" s="48"/>
      <c r="C145" s="29"/>
      <c r="D145" s="30" t="s">
        <v>861</v>
      </c>
      <c r="E145" s="20">
        <v>-291</v>
      </c>
      <c r="F145" s="23"/>
      <c r="G145" s="95">
        <v>0.99833</v>
      </c>
      <c r="H145" s="23"/>
      <c r="I145" s="32">
        <f t="shared" si="7"/>
        <v>-290.51403</v>
      </c>
      <c r="J145" s="20"/>
      <c r="K145" s="20"/>
      <c r="L145" s="23"/>
      <c r="M145" s="36">
        <f t="shared" si="9"/>
        <v>0</v>
      </c>
      <c r="N145" s="23"/>
      <c r="O145" s="23"/>
      <c r="P145" s="20"/>
      <c r="Q145" s="23"/>
      <c r="R145" s="24">
        <v>1</v>
      </c>
      <c r="S145" s="23"/>
      <c r="T145" s="32">
        <f t="shared" si="8"/>
        <v>0</v>
      </c>
      <c r="U145" s="23"/>
      <c r="V145" s="23"/>
      <c r="W145" s="23"/>
      <c r="X145" s="23"/>
      <c r="Y145" s="23"/>
      <c r="Z145" s="23"/>
      <c r="AA145" s="23"/>
      <c r="AB145" s="23"/>
    </row>
    <row r="146" spans="1:28" ht="12.75">
      <c r="A146" s="45"/>
      <c r="B146" s="48"/>
      <c r="C146" s="29"/>
      <c r="D146" s="30" t="s">
        <v>635</v>
      </c>
      <c r="E146" s="20">
        <v>-752</v>
      </c>
      <c r="F146" s="23"/>
      <c r="G146" s="95">
        <v>0.81025</v>
      </c>
      <c r="H146" s="23"/>
      <c r="I146" s="32">
        <f t="shared" si="7"/>
        <v>-609.308</v>
      </c>
      <c r="J146" s="20"/>
      <c r="K146" s="20"/>
      <c r="L146" s="23"/>
      <c r="M146" s="36">
        <f t="shared" si="9"/>
        <v>0</v>
      </c>
      <c r="N146" s="23"/>
      <c r="O146" s="23"/>
      <c r="P146" s="20">
        <v>-700</v>
      </c>
      <c r="Q146" s="23"/>
      <c r="R146" s="24">
        <v>1</v>
      </c>
      <c r="S146" s="23"/>
      <c r="T146" s="32">
        <f t="shared" si="8"/>
        <v>-700</v>
      </c>
      <c r="U146" s="23"/>
      <c r="V146" s="23"/>
      <c r="W146" s="23"/>
      <c r="X146" s="23"/>
      <c r="Y146" s="23"/>
      <c r="Z146" s="23"/>
      <c r="AA146" s="23"/>
      <c r="AB146" s="23"/>
    </row>
    <row r="147" spans="1:28" ht="12.75">
      <c r="A147" s="45"/>
      <c r="B147" s="48"/>
      <c r="C147" s="29"/>
      <c r="D147" s="30" t="s">
        <v>636</v>
      </c>
      <c r="E147" s="20">
        <v>-124029</v>
      </c>
      <c r="F147" s="23"/>
      <c r="G147" s="95">
        <v>0.81752</v>
      </c>
      <c r="H147" s="23"/>
      <c r="I147" s="32">
        <f t="shared" si="7"/>
        <v>-101396.18808</v>
      </c>
      <c r="J147" s="20"/>
      <c r="K147" s="20"/>
      <c r="L147" s="23"/>
      <c r="M147" s="36">
        <f t="shared" si="9"/>
        <v>0</v>
      </c>
      <c r="N147" s="23"/>
      <c r="O147" s="23"/>
      <c r="P147" s="20">
        <v>-95956</v>
      </c>
      <c r="Q147" s="23"/>
      <c r="R147" s="24">
        <v>1</v>
      </c>
      <c r="S147" s="23"/>
      <c r="T147" s="32">
        <f t="shared" si="8"/>
        <v>-95956</v>
      </c>
      <c r="U147" s="23"/>
      <c r="V147" s="23"/>
      <c r="W147" s="23"/>
      <c r="X147" s="23"/>
      <c r="Y147" s="23"/>
      <c r="Z147" s="23"/>
      <c r="AA147" s="23"/>
      <c r="AB147" s="23"/>
    </row>
    <row r="148" spans="1:28" ht="12.75">
      <c r="A148" s="45"/>
      <c r="B148" s="48"/>
      <c r="C148" s="29"/>
      <c r="D148" s="30" t="s">
        <v>637</v>
      </c>
      <c r="E148" s="20">
        <v>-270911</v>
      </c>
      <c r="F148" s="23"/>
      <c r="G148" s="95">
        <v>0.90241</v>
      </c>
      <c r="H148" s="23"/>
      <c r="I148" s="32">
        <f t="shared" si="7"/>
        <v>-244472.79551000003</v>
      </c>
      <c r="J148" s="20"/>
      <c r="K148" s="20"/>
      <c r="L148" s="23"/>
      <c r="M148" s="36">
        <f t="shared" si="9"/>
        <v>0</v>
      </c>
      <c r="N148" s="23"/>
      <c r="O148" s="23"/>
      <c r="P148" s="20">
        <v>-249317</v>
      </c>
      <c r="Q148" s="23"/>
      <c r="R148" s="24">
        <v>1</v>
      </c>
      <c r="S148" s="23"/>
      <c r="T148" s="32">
        <f t="shared" si="8"/>
        <v>-249317</v>
      </c>
      <c r="U148" s="23"/>
      <c r="V148" s="23"/>
      <c r="W148" s="23"/>
      <c r="X148" s="23"/>
      <c r="Y148" s="23"/>
      <c r="Z148" s="23"/>
      <c r="AA148" s="23"/>
      <c r="AB148" s="23"/>
    </row>
    <row r="149" spans="1:28" ht="12.75">
      <c r="A149" s="45"/>
      <c r="B149" s="48"/>
      <c r="C149" s="29"/>
      <c r="D149" s="30" t="s">
        <v>638</v>
      </c>
      <c r="E149" s="20">
        <v>-349</v>
      </c>
      <c r="F149" s="23"/>
      <c r="G149" s="95">
        <v>0.86714</v>
      </c>
      <c r="H149" s="23"/>
      <c r="I149" s="32">
        <f t="shared" si="7"/>
        <v>-302.63186</v>
      </c>
      <c r="J149" s="20"/>
      <c r="K149" s="9"/>
      <c r="L149" s="23"/>
      <c r="N149" s="23"/>
      <c r="O149" s="23"/>
      <c r="P149" s="20">
        <v>-311</v>
      </c>
      <c r="Q149" s="23"/>
      <c r="R149" s="24">
        <v>1</v>
      </c>
      <c r="S149" s="23"/>
      <c r="T149" s="32">
        <f t="shared" si="8"/>
        <v>-311</v>
      </c>
      <c r="U149" s="23"/>
      <c r="V149" s="23"/>
      <c r="W149" s="23"/>
      <c r="X149" s="23"/>
      <c r="Y149" s="23"/>
      <c r="Z149" s="23"/>
      <c r="AA149" s="23"/>
      <c r="AB149" s="23"/>
    </row>
    <row r="150" spans="1:28" ht="12.75">
      <c r="A150" s="45"/>
      <c r="B150" s="48"/>
      <c r="C150" s="29"/>
      <c r="D150" s="30"/>
      <c r="E150" s="20"/>
      <c r="F150" s="23"/>
      <c r="G150" s="95"/>
      <c r="H150" s="23"/>
      <c r="I150" s="32"/>
      <c r="J150" s="20"/>
      <c r="K150" s="9"/>
      <c r="L150" s="23"/>
      <c r="M150" s="35" t="s">
        <v>871</v>
      </c>
      <c r="N150" s="23"/>
      <c r="O150" s="23"/>
      <c r="P150" s="20">
        <v>-490</v>
      </c>
      <c r="Q150" s="23"/>
      <c r="R150" s="24">
        <v>1</v>
      </c>
      <c r="S150" s="23"/>
      <c r="T150" s="61">
        <f>+P150*R150</f>
        <v>-490</v>
      </c>
      <c r="U150" s="23"/>
      <c r="V150" s="23"/>
      <c r="W150" s="23"/>
      <c r="X150" s="23"/>
      <c r="Y150" s="23"/>
      <c r="Z150" s="23"/>
      <c r="AA150" s="23"/>
      <c r="AB150" s="23"/>
    </row>
    <row r="151" spans="1:28" ht="12.75">
      <c r="A151" s="45"/>
      <c r="B151" s="48"/>
      <c r="C151" s="29"/>
      <c r="D151" s="30"/>
      <c r="E151" s="32" t="s">
        <v>135</v>
      </c>
      <c r="F151" s="23"/>
      <c r="G151" s="95"/>
      <c r="H151" s="23"/>
      <c r="I151" s="32" t="s">
        <v>31</v>
      </c>
      <c r="J151" s="20"/>
      <c r="K151" s="20"/>
      <c r="L151" s="23"/>
      <c r="M151" s="36"/>
      <c r="N151" s="23"/>
      <c r="O151" s="23"/>
      <c r="P151" s="32" t="s">
        <v>135</v>
      </c>
      <c r="Q151" s="23"/>
      <c r="R151" s="95"/>
      <c r="S151" s="23"/>
      <c r="T151" s="32" t="s">
        <v>31</v>
      </c>
      <c r="U151" s="23"/>
      <c r="V151" s="23"/>
      <c r="W151" s="23"/>
      <c r="X151" s="23"/>
      <c r="Y151" s="23"/>
      <c r="Z151" s="23"/>
      <c r="AA151" s="23"/>
      <c r="AB151" s="23"/>
    </row>
    <row r="152" spans="1:28" ht="12.75">
      <c r="A152" s="45">
        <f>+A141</f>
        <v>38</v>
      </c>
      <c r="B152" s="54" t="s">
        <v>425</v>
      </c>
      <c r="C152" s="48"/>
      <c r="D152" s="30"/>
      <c r="E152" s="20">
        <f>SUM(E141:E151)</f>
        <v>-397957</v>
      </c>
      <c r="F152" s="23"/>
      <c r="G152" s="95"/>
      <c r="H152" s="23"/>
      <c r="I152" s="32">
        <f>SUM(I141:I151)</f>
        <v>-348676.45228</v>
      </c>
      <c r="J152" s="20"/>
      <c r="K152" s="20">
        <f>+A152</f>
        <v>38</v>
      </c>
      <c r="L152" s="23"/>
      <c r="M152" s="37" t="str">
        <f>+B152</f>
        <v>Total Adjustment</v>
      </c>
      <c r="N152" s="29"/>
      <c r="O152" s="23"/>
      <c r="P152" s="20">
        <f>SUM(P141:P151)</f>
        <v>-348676</v>
      </c>
      <c r="Q152" s="23"/>
      <c r="R152" s="95"/>
      <c r="S152" s="23"/>
      <c r="T152" s="32">
        <f>SUM(T141:T151)</f>
        <v>-348676</v>
      </c>
      <c r="U152" s="23"/>
      <c r="V152" s="23"/>
      <c r="W152" s="23"/>
      <c r="X152" s="23"/>
      <c r="Y152" s="23"/>
      <c r="Z152" s="23"/>
      <c r="AA152" s="23"/>
      <c r="AB152" s="23"/>
    </row>
    <row r="153" spans="1:28" ht="12.75">
      <c r="A153" s="45"/>
      <c r="B153" s="48"/>
      <c r="C153" s="29"/>
      <c r="D153" s="30"/>
      <c r="E153" s="20"/>
      <c r="F153" s="23"/>
      <c r="G153" s="95"/>
      <c r="H153" s="23"/>
      <c r="I153" s="32"/>
      <c r="J153" s="20"/>
      <c r="K153" s="20"/>
      <c r="L153" s="23"/>
      <c r="M153" s="36"/>
      <c r="N153" s="23"/>
      <c r="O153" s="23"/>
      <c r="P153" s="20"/>
      <c r="Q153" s="23"/>
      <c r="R153" s="24"/>
      <c r="S153" s="23"/>
      <c r="T153" s="32"/>
      <c r="U153" s="23"/>
      <c r="V153" s="23"/>
      <c r="W153" s="23"/>
      <c r="X153" s="23"/>
      <c r="Y153" s="23"/>
      <c r="Z153" s="23"/>
      <c r="AA153" s="23"/>
      <c r="AB153" s="23"/>
    </row>
    <row r="154" spans="1:28" ht="12.75">
      <c r="A154" s="45"/>
      <c r="B154" s="48"/>
      <c r="C154" s="29"/>
      <c r="D154" s="30"/>
      <c r="E154" s="20"/>
      <c r="F154" s="23"/>
      <c r="G154" s="95"/>
      <c r="H154" s="23"/>
      <c r="I154" s="32"/>
      <c r="J154" s="20"/>
      <c r="K154" s="20"/>
      <c r="L154" s="23"/>
      <c r="M154" s="36"/>
      <c r="N154" s="23"/>
      <c r="O154" s="23"/>
      <c r="P154" s="20"/>
      <c r="Q154" s="23"/>
      <c r="R154" s="24"/>
      <c r="S154" s="23"/>
      <c r="T154" s="32"/>
      <c r="U154" s="23"/>
      <c r="V154" s="23"/>
      <c r="W154" s="23"/>
      <c r="X154" s="23"/>
      <c r="Y154" s="23"/>
      <c r="Z154" s="23"/>
      <c r="AA154" s="23"/>
      <c r="AB154" s="23"/>
    </row>
    <row r="155" spans="1:28" ht="12.75">
      <c r="A155" s="45">
        <f>+A141+1</f>
        <v>39</v>
      </c>
      <c r="B155" s="29" t="s">
        <v>343</v>
      </c>
      <c r="C155" s="48"/>
      <c r="D155" s="30"/>
      <c r="E155" s="20"/>
      <c r="F155" s="23"/>
      <c r="G155" s="95"/>
      <c r="H155" s="23"/>
      <c r="I155" s="32"/>
      <c r="J155" s="20"/>
      <c r="K155" s="18"/>
      <c r="L155" s="23"/>
      <c r="M155" s="35" t="str">
        <f aca="true" t="shared" si="10" ref="M155:M179">+B155</f>
        <v>Maintenance Expense Normalization</v>
      </c>
      <c r="N155" s="29"/>
      <c r="O155" s="23"/>
      <c r="P155" s="20"/>
      <c r="Q155" s="23"/>
      <c r="R155" s="24"/>
      <c r="S155" s="23"/>
      <c r="T155" s="32"/>
      <c r="U155" s="23"/>
      <c r="V155" s="23"/>
      <c r="W155" s="23"/>
      <c r="X155" s="23"/>
      <c r="Y155" s="23"/>
      <c r="Z155" s="23"/>
      <c r="AA155" s="23"/>
      <c r="AB155" s="23"/>
    </row>
    <row r="156" spans="1:28" ht="12.75">
      <c r="A156" s="45"/>
      <c r="B156" s="48"/>
      <c r="C156" s="29"/>
      <c r="D156" s="30" t="s">
        <v>691</v>
      </c>
      <c r="E156" s="20">
        <v>433</v>
      </c>
      <c r="F156" s="23"/>
      <c r="G156" s="95">
        <v>0.9869</v>
      </c>
      <c r="H156" s="23"/>
      <c r="I156" s="32">
        <f aca="true" t="shared" si="11" ref="I156:I180">+E156*G156</f>
        <v>427.3277</v>
      </c>
      <c r="J156" s="20"/>
      <c r="K156" s="20">
        <f>+A155</f>
        <v>39</v>
      </c>
      <c r="L156" s="23"/>
      <c r="M156" s="36">
        <f t="shared" si="10"/>
        <v>0</v>
      </c>
      <c r="N156" s="23"/>
      <c r="O156" s="23"/>
      <c r="P156" s="20"/>
      <c r="Q156" s="23"/>
      <c r="R156" s="24"/>
      <c r="S156" s="23"/>
      <c r="T156" s="32">
        <f aca="true" t="shared" si="12" ref="T156:T179">+P156*R156</f>
        <v>0</v>
      </c>
      <c r="U156" s="23"/>
      <c r="V156" s="23"/>
      <c r="W156" s="23"/>
      <c r="X156" s="23"/>
      <c r="Y156" s="23"/>
      <c r="Z156" s="23"/>
      <c r="AA156" s="23"/>
      <c r="AB156" s="23"/>
    </row>
    <row r="157" spans="1:28" ht="12.75">
      <c r="A157" s="45"/>
      <c r="B157" s="55"/>
      <c r="C157" s="23"/>
      <c r="D157" s="30" t="s">
        <v>692</v>
      </c>
      <c r="E157" s="20">
        <v>28290</v>
      </c>
      <c r="F157" s="23"/>
      <c r="G157" s="95">
        <v>0.9869</v>
      </c>
      <c r="H157" s="23"/>
      <c r="I157" s="32">
        <f t="shared" si="11"/>
        <v>27919.401</v>
      </c>
      <c r="J157" s="20"/>
      <c r="K157" s="9"/>
      <c r="L157" s="23"/>
      <c r="M157" s="36">
        <f t="shared" si="10"/>
        <v>0</v>
      </c>
      <c r="N157" s="29"/>
      <c r="O157" s="23"/>
      <c r="P157" s="20"/>
      <c r="Q157" s="23"/>
      <c r="R157" s="24"/>
      <c r="S157" s="23"/>
      <c r="T157" s="32">
        <f t="shared" si="12"/>
        <v>0</v>
      </c>
      <c r="U157" s="23"/>
      <c r="V157" s="23"/>
      <c r="W157" s="23"/>
      <c r="X157" s="23"/>
      <c r="Y157" s="23"/>
      <c r="Z157" s="23"/>
      <c r="AA157" s="23"/>
      <c r="AB157" s="23"/>
    </row>
    <row r="158" spans="1:28" ht="12.75">
      <c r="A158" s="45"/>
      <c r="B158" s="55"/>
      <c r="C158" s="23"/>
      <c r="D158" s="30" t="s">
        <v>693</v>
      </c>
      <c r="E158" s="20">
        <v>133871</v>
      </c>
      <c r="F158" s="23"/>
      <c r="G158" s="95">
        <v>0.9869</v>
      </c>
      <c r="H158" s="23"/>
      <c r="I158" s="32">
        <f t="shared" si="11"/>
        <v>132117.2899</v>
      </c>
      <c r="J158" s="20"/>
      <c r="K158" s="9"/>
      <c r="L158" s="23"/>
      <c r="M158" s="36">
        <f t="shared" si="10"/>
        <v>0</v>
      </c>
      <c r="N158" s="29"/>
      <c r="O158" s="23"/>
      <c r="P158" s="20"/>
      <c r="Q158" s="23"/>
      <c r="R158" s="24"/>
      <c r="S158" s="23"/>
      <c r="T158" s="32">
        <f t="shared" si="12"/>
        <v>0</v>
      </c>
      <c r="U158" s="23"/>
      <c r="V158" s="23"/>
      <c r="W158" s="23"/>
      <c r="X158" s="23"/>
      <c r="Y158" s="23"/>
      <c r="Z158" s="23"/>
      <c r="AA158" s="23"/>
      <c r="AB158" s="23"/>
    </row>
    <row r="159" spans="1:28" ht="12.75">
      <c r="A159" s="45"/>
      <c r="B159" s="55"/>
      <c r="C159" s="23"/>
      <c r="D159" s="30" t="s">
        <v>694</v>
      </c>
      <c r="E159" s="20">
        <v>52234</v>
      </c>
      <c r="F159" s="23"/>
      <c r="G159" s="95">
        <v>0.9869</v>
      </c>
      <c r="H159" s="23"/>
      <c r="I159" s="32">
        <f t="shared" si="11"/>
        <v>51549.7346</v>
      </c>
      <c r="J159" s="20"/>
      <c r="K159" s="9"/>
      <c r="L159" s="23"/>
      <c r="M159" s="36">
        <f t="shared" si="10"/>
        <v>0</v>
      </c>
      <c r="N159" s="29"/>
      <c r="O159" s="23"/>
      <c r="P159" s="20"/>
      <c r="Q159" s="23"/>
      <c r="R159" s="24"/>
      <c r="S159" s="23"/>
      <c r="T159" s="32">
        <f t="shared" si="12"/>
        <v>0</v>
      </c>
      <c r="U159" s="23"/>
      <c r="V159" s="23"/>
      <c r="W159" s="23"/>
      <c r="X159" s="23"/>
      <c r="Y159" s="23"/>
      <c r="Z159" s="23"/>
      <c r="AA159" s="23"/>
      <c r="AB159" s="23"/>
    </row>
    <row r="160" spans="1:28" ht="12.75">
      <c r="A160" s="45"/>
      <c r="B160" s="55"/>
      <c r="C160" s="23"/>
      <c r="D160" s="30" t="s">
        <v>695</v>
      </c>
      <c r="E160" s="20">
        <v>3157</v>
      </c>
      <c r="F160" s="23"/>
      <c r="G160" s="95">
        <v>0.9869</v>
      </c>
      <c r="H160" s="23"/>
      <c r="I160" s="32">
        <f t="shared" si="11"/>
        <v>3115.6433</v>
      </c>
      <c r="J160" s="20"/>
      <c r="K160" s="9"/>
      <c r="L160" s="23"/>
      <c r="M160" s="36">
        <f t="shared" si="10"/>
        <v>0</v>
      </c>
      <c r="N160" s="29"/>
      <c r="O160" s="23"/>
      <c r="P160" s="20"/>
      <c r="Q160" s="23"/>
      <c r="R160" s="24"/>
      <c r="S160" s="23"/>
      <c r="T160" s="32">
        <f t="shared" si="12"/>
        <v>0</v>
      </c>
      <c r="U160" s="23"/>
      <c r="V160" s="23"/>
      <c r="W160" s="23"/>
      <c r="X160" s="23"/>
      <c r="Y160" s="23"/>
      <c r="Z160" s="23"/>
      <c r="AA160" s="23"/>
      <c r="AB160" s="23"/>
    </row>
    <row r="161" spans="1:28" ht="12.75">
      <c r="A161" s="45"/>
      <c r="B161" s="48"/>
      <c r="C161" s="23"/>
      <c r="D161" s="30" t="s">
        <v>696</v>
      </c>
      <c r="E161" s="20">
        <v>136</v>
      </c>
      <c r="F161" s="23"/>
      <c r="G161" s="95">
        <v>0.9869</v>
      </c>
      <c r="H161" s="23"/>
      <c r="I161" s="32">
        <f t="shared" si="11"/>
        <v>134.2184</v>
      </c>
      <c r="J161" s="20"/>
      <c r="K161" s="9"/>
      <c r="L161" s="23"/>
      <c r="M161" s="36">
        <f t="shared" si="10"/>
        <v>0</v>
      </c>
      <c r="N161" s="29"/>
      <c r="O161" s="23"/>
      <c r="P161" s="20"/>
      <c r="Q161" s="23"/>
      <c r="R161" s="24"/>
      <c r="S161" s="23"/>
      <c r="T161" s="32">
        <f t="shared" si="12"/>
        <v>0</v>
      </c>
      <c r="U161" s="23"/>
      <c r="V161" s="23"/>
      <c r="W161" s="23"/>
      <c r="X161" s="23"/>
      <c r="Y161" s="23"/>
      <c r="Z161" s="23"/>
      <c r="AA161" s="23"/>
      <c r="AB161" s="23"/>
    </row>
    <row r="162" spans="1:28" ht="12.75">
      <c r="A162" s="45"/>
      <c r="B162" s="48"/>
      <c r="C162" s="23"/>
      <c r="D162" s="30" t="s">
        <v>697</v>
      </c>
      <c r="E162" s="20">
        <v>924</v>
      </c>
      <c r="F162" s="23"/>
      <c r="G162" s="95">
        <v>0.9869</v>
      </c>
      <c r="H162" s="23"/>
      <c r="I162" s="32">
        <f t="shared" si="11"/>
        <v>911.8956</v>
      </c>
      <c r="J162" s="20"/>
      <c r="K162" s="9"/>
      <c r="L162" s="23"/>
      <c r="M162" s="36">
        <f t="shared" si="10"/>
        <v>0</v>
      </c>
      <c r="N162" s="29"/>
      <c r="O162" s="23"/>
      <c r="P162" s="20"/>
      <c r="Q162" s="23"/>
      <c r="R162" s="24"/>
      <c r="S162" s="23"/>
      <c r="T162" s="32">
        <f t="shared" si="12"/>
        <v>0</v>
      </c>
      <c r="U162" s="23"/>
      <c r="V162" s="23"/>
      <c r="W162" s="23"/>
      <c r="X162" s="23"/>
      <c r="Y162" s="23"/>
      <c r="Z162" s="23"/>
      <c r="AA162" s="23"/>
      <c r="AB162" s="23"/>
    </row>
    <row r="163" spans="1:28" ht="12.75">
      <c r="A163" s="45"/>
      <c r="B163" s="48"/>
      <c r="C163" s="23"/>
      <c r="D163" s="30" t="s">
        <v>698</v>
      </c>
      <c r="E163" s="20">
        <v>32069</v>
      </c>
      <c r="F163" s="23"/>
      <c r="G163" s="95">
        <v>0.9869</v>
      </c>
      <c r="H163" s="23"/>
      <c r="I163" s="32">
        <f t="shared" si="11"/>
        <v>31648.8961</v>
      </c>
      <c r="J163" s="20"/>
      <c r="K163" s="9"/>
      <c r="L163" s="23"/>
      <c r="M163" s="36">
        <f t="shared" si="10"/>
        <v>0</v>
      </c>
      <c r="N163" s="29"/>
      <c r="O163" s="23"/>
      <c r="P163" s="20"/>
      <c r="Q163" s="23"/>
      <c r="R163" s="24"/>
      <c r="S163" s="23"/>
      <c r="T163" s="32">
        <f t="shared" si="12"/>
        <v>0</v>
      </c>
      <c r="U163" s="23"/>
      <c r="V163" s="23"/>
      <c r="W163" s="23"/>
      <c r="X163" s="23"/>
      <c r="Y163" s="23"/>
      <c r="Z163" s="23"/>
      <c r="AA163" s="23"/>
      <c r="AB163" s="23"/>
    </row>
    <row r="164" spans="1:28" ht="12.75">
      <c r="A164" s="45"/>
      <c r="B164" s="48"/>
      <c r="C164" s="23"/>
      <c r="D164" s="30" t="s">
        <v>843</v>
      </c>
      <c r="E164" s="20">
        <v>0</v>
      </c>
      <c r="F164" s="23"/>
      <c r="G164" s="95">
        <v>0.9869</v>
      </c>
      <c r="H164" s="23"/>
      <c r="I164" s="32">
        <f t="shared" si="11"/>
        <v>0</v>
      </c>
      <c r="J164" s="20"/>
      <c r="K164" s="9"/>
      <c r="L164" s="23"/>
      <c r="M164" s="36">
        <f>+B164</f>
        <v>0</v>
      </c>
      <c r="N164" s="29"/>
      <c r="O164" s="23"/>
      <c r="P164" s="20"/>
      <c r="Q164" s="23"/>
      <c r="R164" s="24"/>
      <c r="S164" s="23"/>
      <c r="T164" s="32">
        <f>+P164*R164</f>
        <v>0</v>
      </c>
      <c r="U164" s="23"/>
      <c r="V164" s="23"/>
      <c r="W164" s="23"/>
      <c r="X164" s="23"/>
      <c r="Y164" s="23"/>
      <c r="Z164" s="23"/>
      <c r="AA164" s="23"/>
      <c r="AB164" s="23"/>
    </row>
    <row r="165" spans="1:28" ht="12.75">
      <c r="A165" s="45"/>
      <c r="B165" s="48"/>
      <c r="C165" s="23"/>
      <c r="D165" s="30" t="s">
        <v>699</v>
      </c>
      <c r="E165" s="20">
        <v>17</v>
      </c>
      <c r="F165" s="23"/>
      <c r="G165" s="95">
        <v>0.9869</v>
      </c>
      <c r="H165" s="23"/>
      <c r="I165" s="32">
        <f t="shared" si="11"/>
        <v>16.7773</v>
      </c>
      <c r="J165" s="20"/>
      <c r="K165" s="9"/>
      <c r="L165" s="23"/>
      <c r="M165" s="36">
        <f t="shared" si="10"/>
        <v>0</v>
      </c>
      <c r="N165" s="29"/>
      <c r="O165" s="23"/>
      <c r="P165" s="20"/>
      <c r="Q165" s="23"/>
      <c r="R165" s="24"/>
      <c r="S165" s="23"/>
      <c r="T165" s="32">
        <f t="shared" si="12"/>
        <v>0</v>
      </c>
      <c r="U165" s="23"/>
      <c r="V165" s="23"/>
      <c r="W165" s="23"/>
      <c r="X165" s="23"/>
      <c r="Y165" s="23"/>
      <c r="Z165" s="23"/>
      <c r="AA165" s="23"/>
      <c r="AB165" s="23"/>
    </row>
    <row r="166" spans="1:28" ht="12.75">
      <c r="A166" s="45"/>
      <c r="B166" s="48"/>
      <c r="C166" s="23"/>
      <c r="D166" s="30" t="s">
        <v>700</v>
      </c>
      <c r="E166" s="20">
        <v>189</v>
      </c>
      <c r="F166" s="23"/>
      <c r="G166" s="95">
        <v>0.9869</v>
      </c>
      <c r="H166" s="23"/>
      <c r="I166" s="32">
        <f t="shared" si="11"/>
        <v>186.5241</v>
      </c>
      <c r="J166" s="20"/>
      <c r="K166" s="9"/>
      <c r="L166" s="23"/>
      <c r="M166" s="36">
        <f t="shared" si="10"/>
        <v>0</v>
      </c>
      <c r="N166" s="29"/>
      <c r="O166" s="23"/>
      <c r="P166" s="20"/>
      <c r="Q166" s="23"/>
      <c r="R166" s="24"/>
      <c r="S166" s="23"/>
      <c r="T166" s="32">
        <f t="shared" si="12"/>
        <v>0</v>
      </c>
      <c r="U166" s="23"/>
      <c r="V166" s="23"/>
      <c r="W166" s="23"/>
      <c r="X166" s="23"/>
      <c r="Y166" s="23"/>
      <c r="Z166" s="23"/>
      <c r="AA166" s="23"/>
      <c r="AB166" s="23"/>
    </row>
    <row r="167" spans="1:28" ht="12.75">
      <c r="A167" s="45"/>
      <c r="B167" s="48"/>
      <c r="C167" s="23"/>
      <c r="D167" s="30" t="s">
        <v>701</v>
      </c>
      <c r="E167" s="20">
        <v>16369</v>
      </c>
      <c r="F167" s="23"/>
      <c r="G167" s="95">
        <v>0.9869</v>
      </c>
      <c r="H167" s="23"/>
      <c r="I167" s="32">
        <f t="shared" si="11"/>
        <v>16154.5661</v>
      </c>
      <c r="J167" s="20"/>
      <c r="K167" s="9"/>
      <c r="L167" s="23"/>
      <c r="M167" s="36">
        <f t="shared" si="10"/>
        <v>0</v>
      </c>
      <c r="N167" s="29"/>
      <c r="O167" s="23"/>
      <c r="P167" s="20"/>
      <c r="Q167" s="23"/>
      <c r="R167" s="24"/>
      <c r="S167" s="23"/>
      <c r="T167" s="32">
        <f t="shared" si="12"/>
        <v>0</v>
      </c>
      <c r="U167" s="23"/>
      <c r="V167" s="23"/>
      <c r="W167" s="23"/>
      <c r="X167" s="23"/>
      <c r="Y167" s="23"/>
      <c r="Z167" s="23"/>
      <c r="AA167" s="23"/>
      <c r="AB167" s="23"/>
    </row>
    <row r="168" spans="1:28" ht="12.75">
      <c r="A168" s="45"/>
      <c r="B168" s="48"/>
      <c r="C168" s="23"/>
      <c r="D168" s="30" t="s">
        <v>702</v>
      </c>
      <c r="E168" s="20">
        <v>47383</v>
      </c>
      <c r="F168" s="23"/>
      <c r="G168" s="95">
        <v>0.9869</v>
      </c>
      <c r="H168" s="23"/>
      <c r="I168" s="32">
        <f t="shared" si="11"/>
        <v>46762.2827</v>
      </c>
      <c r="J168" s="20"/>
      <c r="K168" s="9"/>
      <c r="L168" s="23"/>
      <c r="M168" s="36">
        <f t="shared" si="10"/>
        <v>0</v>
      </c>
      <c r="N168" s="29"/>
      <c r="O168" s="23"/>
      <c r="P168" s="20"/>
      <c r="Q168" s="23"/>
      <c r="R168" s="24"/>
      <c r="S168" s="23"/>
      <c r="T168" s="32">
        <f t="shared" si="12"/>
        <v>0</v>
      </c>
      <c r="U168" s="23"/>
      <c r="V168" s="23"/>
      <c r="W168" s="23"/>
      <c r="X168" s="23"/>
      <c r="Y168" s="23"/>
      <c r="Z168" s="23"/>
      <c r="AA168" s="23"/>
      <c r="AB168" s="23"/>
    </row>
    <row r="169" spans="1:28" ht="12.75">
      <c r="A169" s="45"/>
      <c r="B169" s="48"/>
      <c r="C169" s="23"/>
      <c r="D169" s="30" t="s">
        <v>703</v>
      </c>
      <c r="E169" s="20">
        <v>249</v>
      </c>
      <c r="F169" s="23"/>
      <c r="G169" s="95">
        <v>0.9869</v>
      </c>
      <c r="H169" s="23"/>
      <c r="I169" s="32">
        <f t="shared" si="11"/>
        <v>245.7381</v>
      </c>
      <c r="J169" s="20"/>
      <c r="K169" s="9"/>
      <c r="L169" s="23"/>
      <c r="M169" s="36">
        <f t="shared" si="10"/>
        <v>0</v>
      </c>
      <c r="N169" s="29"/>
      <c r="O169" s="23"/>
      <c r="P169" s="20"/>
      <c r="Q169" s="23"/>
      <c r="R169" s="24"/>
      <c r="S169" s="23"/>
      <c r="T169" s="32">
        <f t="shared" si="12"/>
        <v>0</v>
      </c>
      <c r="U169" s="23"/>
      <c r="V169" s="23"/>
      <c r="W169" s="23"/>
      <c r="X169" s="23"/>
      <c r="Y169" s="23"/>
      <c r="Z169" s="23"/>
      <c r="AA169" s="23"/>
      <c r="AB169" s="23"/>
    </row>
    <row r="170" spans="1:28" ht="12.75">
      <c r="A170" s="45"/>
      <c r="B170" s="48"/>
      <c r="C170" s="23"/>
      <c r="D170" s="30" t="s">
        <v>704</v>
      </c>
      <c r="E170" s="20">
        <v>7753</v>
      </c>
      <c r="F170" s="23"/>
      <c r="G170" s="95">
        <v>0.9869</v>
      </c>
      <c r="H170" s="23"/>
      <c r="I170" s="32">
        <f t="shared" si="11"/>
        <v>7651.4357</v>
      </c>
      <c r="J170" s="20"/>
      <c r="K170" s="9"/>
      <c r="L170" s="23"/>
      <c r="M170" s="36">
        <f t="shared" si="10"/>
        <v>0</v>
      </c>
      <c r="N170" s="29"/>
      <c r="O170" s="23"/>
      <c r="P170" s="20"/>
      <c r="Q170" s="23"/>
      <c r="R170" s="24"/>
      <c r="S170" s="23"/>
      <c r="T170" s="32">
        <f t="shared" si="12"/>
        <v>0</v>
      </c>
      <c r="U170" s="23"/>
      <c r="V170" s="23"/>
      <c r="W170" s="23"/>
      <c r="X170" s="23"/>
      <c r="Y170" s="23"/>
      <c r="Z170" s="23"/>
      <c r="AA170" s="23"/>
      <c r="AB170" s="23"/>
    </row>
    <row r="171" spans="1:28" ht="12.75">
      <c r="A171" s="45"/>
      <c r="B171" s="48"/>
      <c r="C171" s="23"/>
      <c r="D171" s="30" t="s">
        <v>705</v>
      </c>
      <c r="E171" s="20">
        <v>-146</v>
      </c>
      <c r="F171" s="23"/>
      <c r="G171" s="95">
        <v>0.99833</v>
      </c>
      <c r="H171" s="23"/>
      <c r="I171" s="32">
        <f t="shared" si="11"/>
        <v>-145.75618</v>
      </c>
      <c r="J171" s="20"/>
      <c r="K171" s="9"/>
      <c r="L171" s="23"/>
      <c r="M171" s="36">
        <f t="shared" si="10"/>
        <v>0</v>
      </c>
      <c r="N171" s="29"/>
      <c r="O171" s="23"/>
      <c r="P171" s="20"/>
      <c r="Q171" s="23"/>
      <c r="R171" s="24"/>
      <c r="S171" s="23"/>
      <c r="T171" s="32">
        <f t="shared" si="12"/>
        <v>0</v>
      </c>
      <c r="U171" s="23"/>
      <c r="V171" s="23"/>
      <c r="W171" s="23"/>
      <c r="X171" s="23"/>
      <c r="Y171" s="23"/>
      <c r="Z171" s="23"/>
      <c r="AA171" s="23"/>
      <c r="AB171" s="23"/>
    </row>
    <row r="172" spans="1:28" ht="12.75">
      <c r="A172" s="45"/>
      <c r="B172" s="48"/>
      <c r="C172" s="23"/>
      <c r="D172" s="30" t="s">
        <v>706</v>
      </c>
      <c r="E172" s="20">
        <v>-316</v>
      </c>
      <c r="F172" s="23"/>
      <c r="G172" s="95">
        <v>0.99833</v>
      </c>
      <c r="H172" s="23"/>
      <c r="I172" s="32">
        <f t="shared" si="11"/>
        <v>-315.47228</v>
      </c>
      <c r="J172" s="20"/>
      <c r="K172" s="9"/>
      <c r="L172" s="23"/>
      <c r="M172" s="36">
        <f t="shared" si="10"/>
        <v>0</v>
      </c>
      <c r="N172" s="29"/>
      <c r="O172" s="23"/>
      <c r="P172" s="20"/>
      <c r="Q172" s="23"/>
      <c r="R172" s="24"/>
      <c r="S172" s="23"/>
      <c r="T172" s="32">
        <f t="shared" si="12"/>
        <v>0</v>
      </c>
      <c r="U172" s="23"/>
      <c r="V172" s="23"/>
      <c r="W172" s="23"/>
      <c r="X172" s="23"/>
      <c r="Y172" s="23"/>
      <c r="Z172" s="23"/>
      <c r="AA172" s="23"/>
      <c r="AB172" s="23"/>
    </row>
    <row r="173" spans="1:28" ht="12.75">
      <c r="A173" s="45"/>
      <c r="B173" s="48"/>
      <c r="C173" s="23"/>
      <c r="D173" s="30" t="s">
        <v>707</v>
      </c>
      <c r="E173" s="20">
        <v>-39512</v>
      </c>
      <c r="F173" s="23"/>
      <c r="G173" s="95">
        <v>0.99833</v>
      </c>
      <c r="H173" s="23"/>
      <c r="I173" s="32">
        <f t="shared" si="11"/>
        <v>-39446.01496</v>
      </c>
      <c r="J173" s="20"/>
      <c r="K173" s="9"/>
      <c r="L173" s="23"/>
      <c r="M173" s="36">
        <f t="shared" si="10"/>
        <v>0</v>
      </c>
      <c r="N173" s="29"/>
      <c r="O173" s="23"/>
      <c r="P173" s="20"/>
      <c r="Q173" s="23"/>
      <c r="R173" s="24"/>
      <c r="S173" s="23"/>
      <c r="T173" s="32">
        <f t="shared" si="12"/>
        <v>0</v>
      </c>
      <c r="U173" s="23"/>
      <c r="V173" s="23"/>
      <c r="W173" s="23"/>
      <c r="X173" s="23"/>
      <c r="Y173" s="23"/>
      <c r="Z173" s="23"/>
      <c r="AA173" s="23"/>
      <c r="AB173" s="23"/>
    </row>
    <row r="174" spans="1:28" ht="12.75">
      <c r="A174" s="45"/>
      <c r="B174" s="48"/>
      <c r="C174" s="23"/>
      <c r="D174" s="30" t="s">
        <v>708</v>
      </c>
      <c r="E174" s="20">
        <v>-407205</v>
      </c>
      <c r="F174" s="23"/>
      <c r="G174" s="95">
        <v>0.99833</v>
      </c>
      <c r="H174" s="23"/>
      <c r="I174" s="32">
        <f t="shared" si="11"/>
        <v>-406524.96765</v>
      </c>
      <c r="J174" s="20"/>
      <c r="K174" s="9"/>
      <c r="L174" s="23"/>
      <c r="M174" s="36">
        <f t="shared" si="10"/>
        <v>0</v>
      </c>
      <c r="N174" s="29"/>
      <c r="O174" s="23"/>
      <c r="P174" s="20"/>
      <c r="Q174" s="23"/>
      <c r="R174" s="24"/>
      <c r="S174" s="23"/>
      <c r="T174" s="32">
        <f t="shared" si="12"/>
        <v>0</v>
      </c>
      <c r="U174" s="23"/>
      <c r="V174" s="23"/>
      <c r="W174" s="23"/>
      <c r="X174" s="23"/>
      <c r="Y174" s="23"/>
      <c r="Z174" s="23"/>
      <c r="AA174" s="23"/>
      <c r="AB174" s="23"/>
    </row>
    <row r="175" spans="1:28" ht="12.75">
      <c r="A175" s="45"/>
      <c r="B175" s="48"/>
      <c r="C175" s="23"/>
      <c r="D175" s="30" t="s">
        <v>709</v>
      </c>
      <c r="E175" s="20">
        <v>-35098</v>
      </c>
      <c r="F175" s="23"/>
      <c r="G175" s="95">
        <v>0.99833</v>
      </c>
      <c r="H175" s="23"/>
      <c r="I175" s="32">
        <f t="shared" si="11"/>
        <v>-35039.386340000005</v>
      </c>
      <c r="J175" s="20"/>
      <c r="K175" s="9"/>
      <c r="L175" s="23"/>
      <c r="M175" s="36">
        <f t="shared" si="10"/>
        <v>0</v>
      </c>
      <c r="N175" s="29"/>
      <c r="O175" s="23"/>
      <c r="P175" s="20"/>
      <c r="Q175" s="23"/>
      <c r="R175" s="24"/>
      <c r="S175" s="23"/>
      <c r="T175" s="32">
        <f t="shared" si="12"/>
        <v>0</v>
      </c>
      <c r="U175" s="23"/>
      <c r="V175" s="23"/>
      <c r="W175" s="23"/>
      <c r="X175" s="23"/>
      <c r="Y175" s="23"/>
      <c r="Z175" s="23"/>
      <c r="AA175" s="23"/>
      <c r="AB175" s="23"/>
    </row>
    <row r="176" spans="1:28" ht="12.75">
      <c r="A176" s="45"/>
      <c r="B176" s="48"/>
      <c r="C176" s="23"/>
      <c r="D176" s="30" t="s">
        <v>710</v>
      </c>
      <c r="E176" s="20">
        <v>-3064</v>
      </c>
      <c r="F176" s="23"/>
      <c r="G176" s="95">
        <v>0.99833</v>
      </c>
      <c r="H176" s="23"/>
      <c r="I176" s="32">
        <f t="shared" si="11"/>
        <v>-3058.88312</v>
      </c>
      <c r="J176" s="20"/>
      <c r="K176" s="9"/>
      <c r="L176" s="23"/>
      <c r="M176" s="36">
        <f t="shared" si="10"/>
        <v>0</v>
      </c>
      <c r="N176" s="29"/>
      <c r="O176" s="23"/>
      <c r="P176" s="20"/>
      <c r="Q176" s="23"/>
      <c r="R176" s="24"/>
      <c r="S176" s="23"/>
      <c r="T176" s="32">
        <f t="shared" si="12"/>
        <v>0</v>
      </c>
      <c r="U176" s="23"/>
      <c r="V176" s="23"/>
      <c r="W176" s="23"/>
      <c r="X176" s="23"/>
      <c r="Y176" s="23"/>
      <c r="Z176" s="23"/>
      <c r="AA176" s="23"/>
      <c r="AB176" s="23"/>
    </row>
    <row r="177" spans="1:28" ht="12.75">
      <c r="A177" s="45"/>
      <c r="B177" s="48"/>
      <c r="C177" s="23"/>
      <c r="D177" s="30" t="s">
        <v>711</v>
      </c>
      <c r="E177" s="20">
        <v>-12121</v>
      </c>
      <c r="F177" s="23"/>
      <c r="G177" s="95">
        <v>0.99833</v>
      </c>
      <c r="H177" s="23"/>
      <c r="I177" s="32">
        <f t="shared" si="11"/>
        <v>-12100.75793</v>
      </c>
      <c r="J177" s="20"/>
      <c r="K177" s="9"/>
      <c r="L177" s="23"/>
      <c r="M177" s="36">
        <f t="shared" si="10"/>
        <v>0</v>
      </c>
      <c r="N177" s="29"/>
      <c r="O177" s="23"/>
      <c r="P177" s="20"/>
      <c r="Q177" s="23"/>
      <c r="R177" s="24"/>
      <c r="S177" s="23"/>
      <c r="T177" s="32">
        <f t="shared" si="12"/>
        <v>0</v>
      </c>
      <c r="U177" s="23"/>
      <c r="V177" s="23"/>
      <c r="W177" s="23"/>
      <c r="X177" s="23"/>
      <c r="Y177" s="23"/>
      <c r="Z177" s="23"/>
      <c r="AA177" s="23"/>
      <c r="AB177" s="23"/>
    </row>
    <row r="178" spans="1:28" ht="12.75">
      <c r="A178" s="45"/>
      <c r="B178" s="48"/>
      <c r="C178" s="23"/>
      <c r="D178" s="30" t="s">
        <v>712</v>
      </c>
      <c r="E178" s="20">
        <v>-1290</v>
      </c>
      <c r="F178" s="23"/>
      <c r="G178" s="95">
        <v>0.99833</v>
      </c>
      <c r="H178" s="23"/>
      <c r="I178" s="32">
        <f t="shared" si="11"/>
        <v>-1287.8457</v>
      </c>
      <c r="J178" s="20"/>
      <c r="K178" s="9"/>
      <c r="L178" s="23"/>
      <c r="M178" s="36">
        <f t="shared" si="10"/>
        <v>0</v>
      </c>
      <c r="N178" s="29"/>
      <c r="O178" s="23"/>
      <c r="P178" s="20"/>
      <c r="Q178" s="23"/>
      <c r="R178" s="24"/>
      <c r="S178" s="23"/>
      <c r="T178" s="32">
        <f t="shared" si="12"/>
        <v>0</v>
      </c>
      <c r="U178" s="23"/>
      <c r="V178" s="23"/>
      <c r="W178" s="23"/>
      <c r="X178" s="23"/>
      <c r="Y178" s="23"/>
      <c r="Z178" s="23"/>
      <c r="AA178" s="23"/>
      <c r="AB178" s="23"/>
    </row>
    <row r="179" spans="1:28" ht="12.75">
      <c r="A179" s="45"/>
      <c r="B179" s="48"/>
      <c r="C179" s="23"/>
      <c r="D179" s="30" t="s">
        <v>713</v>
      </c>
      <c r="E179" s="20">
        <v>-35125</v>
      </c>
      <c r="F179" s="23"/>
      <c r="G179" s="95">
        <v>0.99833</v>
      </c>
      <c r="H179" s="23"/>
      <c r="I179" s="32">
        <f t="shared" si="11"/>
        <v>-35066.341250000005</v>
      </c>
      <c r="J179" s="20"/>
      <c r="K179" s="9"/>
      <c r="L179" s="23"/>
      <c r="M179" s="36">
        <f t="shared" si="10"/>
        <v>0</v>
      </c>
      <c r="N179" s="29"/>
      <c r="O179" s="23"/>
      <c r="P179" s="20"/>
      <c r="Q179" s="23"/>
      <c r="R179" s="24"/>
      <c r="S179" s="23"/>
      <c r="T179" s="32">
        <f t="shared" si="12"/>
        <v>0</v>
      </c>
      <c r="U179" s="23"/>
      <c r="V179" s="23"/>
      <c r="W179" s="23"/>
      <c r="X179" s="23"/>
      <c r="Y179" s="23"/>
      <c r="Z179" s="23"/>
      <c r="AA179" s="23"/>
      <c r="AB179" s="23"/>
    </row>
    <row r="180" spans="1:28" ht="12.75">
      <c r="A180" s="45"/>
      <c r="B180" s="29" t="s">
        <v>864</v>
      </c>
      <c r="C180" s="23"/>
      <c r="D180" s="30"/>
      <c r="E180" s="20">
        <v>214144</v>
      </c>
      <c r="F180" s="23"/>
      <c r="G180" s="95">
        <v>1</v>
      </c>
      <c r="H180" s="23"/>
      <c r="I180" s="61">
        <f t="shared" si="11"/>
        <v>214144</v>
      </c>
      <c r="J180" s="20"/>
      <c r="K180" s="9"/>
      <c r="L180" s="23"/>
      <c r="M180" s="36"/>
      <c r="N180" s="29"/>
      <c r="O180" s="23"/>
      <c r="P180" s="20"/>
      <c r="Q180" s="23"/>
      <c r="R180" s="24"/>
      <c r="S180" s="23"/>
      <c r="T180" s="32"/>
      <c r="U180" s="23"/>
      <c r="V180" s="23"/>
      <c r="W180" s="23"/>
      <c r="X180" s="23"/>
      <c r="Y180" s="23"/>
      <c r="Z180" s="23"/>
      <c r="AA180" s="23"/>
      <c r="AB180" s="23"/>
    </row>
    <row r="181" spans="1:28" ht="12.75">
      <c r="A181" s="45"/>
      <c r="B181" s="25" t="s">
        <v>186</v>
      </c>
      <c r="C181" s="23"/>
      <c r="D181" s="30"/>
      <c r="E181" s="32" t="s">
        <v>134</v>
      </c>
      <c r="F181" s="23"/>
      <c r="G181" s="99" t="s">
        <v>56</v>
      </c>
      <c r="H181" s="23"/>
      <c r="I181" s="32" t="s">
        <v>865</v>
      </c>
      <c r="J181" s="20"/>
      <c r="K181" s="9"/>
      <c r="L181" s="23"/>
      <c r="M181" s="43" t="str">
        <f>+B181</f>
        <v>----------------------------------------------------</v>
      </c>
      <c r="N181" s="29"/>
      <c r="O181" s="23"/>
      <c r="P181" s="32" t="s">
        <v>134</v>
      </c>
      <c r="Q181" s="23"/>
      <c r="R181" s="99" t="s">
        <v>56</v>
      </c>
      <c r="S181" s="23"/>
      <c r="T181" s="32" t="s">
        <v>42</v>
      </c>
      <c r="U181" s="23"/>
      <c r="V181" s="23"/>
      <c r="W181" s="23"/>
      <c r="X181" s="23"/>
      <c r="Y181" s="23"/>
      <c r="Z181" s="23"/>
      <c r="AA181" s="23"/>
      <c r="AB181" s="23"/>
    </row>
    <row r="182" spans="1:28" ht="12.75">
      <c r="A182" s="45">
        <f>+A155</f>
        <v>39</v>
      </c>
      <c r="B182" s="30" t="s">
        <v>425</v>
      </c>
      <c r="C182" s="23"/>
      <c r="D182" s="30"/>
      <c r="E182" s="20">
        <f>SUM(E156:E181)</f>
        <v>3341</v>
      </c>
      <c r="F182" s="23"/>
      <c r="G182" s="95">
        <f>+I182/E182</f>
        <v>9.134690212049605E-05</v>
      </c>
      <c r="H182" s="23"/>
      <c r="I182" s="21">
        <f>SUM(I156:I181)</f>
        <v>0.3051899999845773</v>
      </c>
      <c r="J182" s="20"/>
      <c r="K182" s="9">
        <f>+A182</f>
        <v>39</v>
      </c>
      <c r="L182" s="23"/>
      <c r="M182" s="43" t="str">
        <f>+B182</f>
        <v>Total Adjustment</v>
      </c>
      <c r="N182" s="29"/>
      <c r="O182" s="23"/>
      <c r="P182" s="20">
        <f>SUM(P156:P181)</f>
        <v>0</v>
      </c>
      <c r="Q182" s="23"/>
      <c r="R182" s="95" t="e">
        <f>+T182/P182</f>
        <v>#DIV/0!</v>
      </c>
      <c r="S182" s="23"/>
      <c r="T182" s="20">
        <f>SUM(T156:T181)</f>
        <v>0</v>
      </c>
      <c r="U182" s="23"/>
      <c r="V182" s="23"/>
      <c r="W182" s="23"/>
      <c r="X182" s="23"/>
      <c r="Y182" s="23"/>
      <c r="Z182" s="23"/>
      <c r="AA182" s="23"/>
      <c r="AB182" s="23"/>
    </row>
    <row r="183" spans="1:28" ht="12.75">
      <c r="A183" s="45"/>
      <c r="B183" s="23"/>
      <c r="C183" s="23"/>
      <c r="D183" s="30"/>
      <c r="E183" s="20"/>
      <c r="F183" s="23"/>
      <c r="G183" s="95"/>
      <c r="H183" s="23"/>
      <c r="I183" s="32"/>
      <c r="J183" s="20"/>
      <c r="K183" s="9"/>
      <c r="L183" s="23"/>
      <c r="M183" s="35"/>
      <c r="N183" s="29"/>
      <c r="O183" s="23"/>
      <c r="P183" s="20"/>
      <c r="Q183" s="23"/>
      <c r="R183" s="24"/>
      <c r="S183" s="23"/>
      <c r="T183" s="32"/>
      <c r="U183" s="23"/>
      <c r="V183" s="23"/>
      <c r="W183" s="23"/>
      <c r="X183" s="23"/>
      <c r="Y183" s="23"/>
      <c r="Z183" s="23"/>
      <c r="AA183" s="23"/>
      <c r="AB183" s="23"/>
    </row>
    <row r="184" spans="1:28" ht="12.75">
      <c r="A184" s="45">
        <f>+A155+1</f>
        <v>40</v>
      </c>
      <c r="B184" s="52" t="s">
        <v>349</v>
      </c>
      <c r="C184" s="41"/>
      <c r="D184" s="62"/>
      <c r="E184" s="20"/>
      <c r="F184" s="23"/>
      <c r="G184" s="95"/>
      <c r="H184" s="23"/>
      <c r="I184" s="32">
        <f>+E184*G184</f>
        <v>0</v>
      </c>
      <c r="J184" s="9"/>
      <c r="K184" s="20">
        <f>+A184</f>
        <v>40</v>
      </c>
      <c r="L184" s="23"/>
      <c r="M184" s="35" t="str">
        <f aca="true" t="shared" si="13" ref="M184:M190">+B184</f>
        <v>Dues &amp; Donations</v>
      </c>
      <c r="N184" s="23"/>
      <c r="O184" s="23"/>
      <c r="P184" s="20"/>
      <c r="Q184" s="23"/>
      <c r="R184" s="24"/>
      <c r="S184" s="23"/>
      <c r="T184" s="32"/>
      <c r="U184" s="23"/>
      <c r="V184" s="23"/>
      <c r="W184" s="23"/>
      <c r="X184" s="23"/>
      <c r="Y184" s="23"/>
      <c r="Z184" s="23"/>
      <c r="AA184" s="23"/>
      <c r="AB184" s="23"/>
    </row>
    <row r="185" spans="1:28" ht="12.75">
      <c r="A185" s="45"/>
      <c r="B185" s="48"/>
      <c r="C185" s="29"/>
      <c r="D185" s="30" t="s">
        <v>754</v>
      </c>
      <c r="E185" s="20">
        <v>-86170</v>
      </c>
      <c r="F185" s="23"/>
      <c r="G185" s="95">
        <v>0.86397</v>
      </c>
      <c r="H185" s="23"/>
      <c r="I185" s="32">
        <f>+E185*G185</f>
        <v>-74448.29490000001</v>
      </c>
      <c r="J185" s="9"/>
      <c r="K185" s="20"/>
      <c r="L185" s="23"/>
      <c r="M185" s="36">
        <f t="shared" si="13"/>
        <v>0</v>
      </c>
      <c r="N185" s="23"/>
      <c r="O185" s="23"/>
      <c r="P185" s="20">
        <v>-75943</v>
      </c>
      <c r="Q185" s="23"/>
      <c r="R185" s="24">
        <v>1</v>
      </c>
      <c r="S185" s="23"/>
      <c r="T185" s="32">
        <f>+P185*R185</f>
        <v>-75943</v>
      </c>
      <c r="U185" s="23"/>
      <c r="V185" s="23"/>
      <c r="W185" s="23"/>
      <c r="X185" s="23"/>
      <c r="Y185" s="23"/>
      <c r="Z185" s="23"/>
      <c r="AA185" s="23"/>
      <c r="AB185" s="23"/>
    </row>
    <row r="186" spans="1:28" ht="12.75">
      <c r="A186" s="45"/>
      <c r="B186" s="23"/>
      <c r="C186" s="25"/>
      <c r="D186" s="30" t="s">
        <v>755</v>
      </c>
      <c r="E186" s="20">
        <v>-54</v>
      </c>
      <c r="F186" s="23"/>
      <c r="G186" s="95">
        <v>0.86327</v>
      </c>
      <c r="H186" s="23"/>
      <c r="I186" s="32">
        <f>+E186*G186</f>
        <v>-46.61658</v>
      </c>
      <c r="J186" s="9"/>
      <c r="K186" s="20"/>
      <c r="L186" s="23"/>
      <c r="M186" s="36">
        <f t="shared" si="13"/>
        <v>0</v>
      </c>
      <c r="N186" s="23"/>
      <c r="O186" s="23"/>
      <c r="P186" s="20">
        <v>-47</v>
      </c>
      <c r="Q186" s="23"/>
      <c r="R186" s="24">
        <v>1</v>
      </c>
      <c r="S186" s="23"/>
      <c r="T186" s="32">
        <f>+P186*R186</f>
        <v>-47</v>
      </c>
      <c r="U186" s="23"/>
      <c r="V186" s="23"/>
      <c r="W186" s="23"/>
      <c r="X186" s="23"/>
      <c r="Y186" s="23"/>
      <c r="Z186" s="23"/>
      <c r="AA186" s="23"/>
      <c r="AB186" s="23"/>
    </row>
    <row r="187" spans="1:28" ht="12.75">
      <c r="A187" s="45"/>
      <c r="B187" s="25"/>
      <c r="C187" s="25"/>
      <c r="D187" s="30" t="s">
        <v>756</v>
      </c>
      <c r="E187" s="20">
        <v>-342679</v>
      </c>
      <c r="F187" s="23"/>
      <c r="G187" s="95">
        <v>0.86714</v>
      </c>
      <c r="H187" s="23"/>
      <c r="I187" s="32">
        <f>+E187*G187</f>
        <v>-297150.66806</v>
      </c>
      <c r="J187" s="9"/>
      <c r="K187" s="20"/>
      <c r="L187" s="23"/>
      <c r="M187" s="36">
        <f t="shared" si="13"/>
        <v>0</v>
      </c>
      <c r="N187" s="23"/>
      <c r="O187" s="23"/>
      <c r="P187" s="20">
        <v>-216498</v>
      </c>
      <c r="Q187" s="23"/>
      <c r="R187" s="24">
        <v>1</v>
      </c>
      <c r="S187" s="23"/>
      <c r="T187" s="32">
        <f>+P187*R187</f>
        <v>-216498</v>
      </c>
      <c r="U187" s="23"/>
      <c r="V187" s="23"/>
      <c r="W187" s="23"/>
      <c r="X187" s="23"/>
      <c r="Y187" s="23"/>
      <c r="Z187" s="23"/>
      <c r="AA187" s="23"/>
      <c r="AB187" s="23"/>
    </row>
    <row r="188" spans="1:28" ht="12.75">
      <c r="A188" s="45"/>
      <c r="B188" s="29" t="s">
        <v>866</v>
      </c>
      <c r="C188" s="25"/>
      <c r="D188" s="30"/>
      <c r="E188" s="20">
        <v>39579</v>
      </c>
      <c r="F188" s="23"/>
      <c r="G188" s="95">
        <v>1</v>
      </c>
      <c r="H188" s="23"/>
      <c r="I188" s="61">
        <f>+E188*G188</f>
        <v>39579</v>
      </c>
      <c r="J188" s="9"/>
      <c r="K188" s="20"/>
      <c r="L188" s="23"/>
      <c r="M188" s="35" t="str">
        <f>+B188</f>
        <v>Settlement Agreement - EEI</v>
      </c>
      <c r="N188" s="23"/>
      <c r="O188" s="23"/>
      <c r="P188" s="20">
        <v>-39579</v>
      </c>
      <c r="Q188" s="23"/>
      <c r="R188" s="24">
        <v>1</v>
      </c>
      <c r="S188" s="23"/>
      <c r="T188" s="61">
        <f>+P188*R188</f>
        <v>-39579</v>
      </c>
      <c r="U188" s="23"/>
      <c r="V188" s="23"/>
      <c r="W188" s="23"/>
      <c r="X188" s="23"/>
      <c r="Y188" s="23"/>
      <c r="Z188" s="23"/>
      <c r="AA188" s="23"/>
      <c r="AB188" s="23"/>
    </row>
    <row r="189" spans="1:28" ht="12.75">
      <c r="A189" s="45"/>
      <c r="B189" s="25" t="s">
        <v>121</v>
      </c>
      <c r="C189" s="25"/>
      <c r="D189" s="30"/>
      <c r="E189" s="32" t="s">
        <v>134</v>
      </c>
      <c r="F189" s="23"/>
      <c r="G189" s="95"/>
      <c r="H189" s="23"/>
      <c r="I189" s="32" t="s">
        <v>166</v>
      </c>
      <c r="J189" s="9"/>
      <c r="K189" s="20"/>
      <c r="L189" s="23"/>
      <c r="M189" s="43" t="str">
        <f t="shared" si="13"/>
        <v>---------------------------------------------------</v>
      </c>
      <c r="N189" s="23"/>
      <c r="O189" s="23"/>
      <c r="P189" s="32" t="s">
        <v>134</v>
      </c>
      <c r="Q189" s="23"/>
      <c r="R189" s="95"/>
      <c r="S189" s="23"/>
      <c r="T189" s="32" t="s">
        <v>42</v>
      </c>
      <c r="U189" s="23"/>
      <c r="V189" s="23"/>
      <c r="W189" s="23"/>
      <c r="X189" s="23"/>
      <c r="Y189" s="23"/>
      <c r="Z189" s="23"/>
      <c r="AA189" s="23"/>
      <c r="AB189" s="23"/>
    </row>
    <row r="190" spans="1:28" ht="12.75">
      <c r="A190" s="45">
        <f>+A184</f>
        <v>40</v>
      </c>
      <c r="B190" s="30" t="s">
        <v>425</v>
      </c>
      <c r="C190" s="25"/>
      <c r="D190" s="30"/>
      <c r="E190" s="20">
        <f>SUM(E184:E189)</f>
        <v>-389324</v>
      </c>
      <c r="F190" s="23"/>
      <c r="G190" s="95"/>
      <c r="H190" s="23"/>
      <c r="I190" s="21">
        <f>SUM(I184:I189)</f>
        <v>-332066.57954</v>
      </c>
      <c r="J190" s="9"/>
      <c r="K190" s="20">
        <f>+A190</f>
        <v>40</v>
      </c>
      <c r="L190" s="23"/>
      <c r="M190" s="43" t="str">
        <f t="shared" si="13"/>
        <v>Total Adjustment</v>
      </c>
      <c r="N190" s="23"/>
      <c r="O190" s="23"/>
      <c r="P190" s="20">
        <f>SUM(P184:P189)</f>
        <v>-332067</v>
      </c>
      <c r="Q190" s="23"/>
      <c r="R190" s="95">
        <v>1</v>
      </c>
      <c r="S190" s="23"/>
      <c r="T190" s="21">
        <f>SUM(T184:T189)</f>
        <v>-332067</v>
      </c>
      <c r="U190" s="23"/>
      <c r="V190" s="23"/>
      <c r="W190" s="23"/>
      <c r="X190" s="23"/>
      <c r="Y190" s="23"/>
      <c r="Z190" s="23"/>
      <c r="AA190" s="23"/>
      <c r="AB190" s="23"/>
    </row>
    <row r="191" spans="1:28" ht="12.75">
      <c r="A191" s="45"/>
      <c r="B191" s="25"/>
      <c r="C191" s="25"/>
      <c r="D191" s="30"/>
      <c r="E191" s="20"/>
      <c r="F191" s="23"/>
      <c r="G191" s="95"/>
      <c r="I191" s="32"/>
      <c r="J191" s="9"/>
      <c r="K191" s="20"/>
      <c r="L191" s="23"/>
      <c r="M191" s="36"/>
      <c r="N191" s="23"/>
      <c r="O191" s="23"/>
      <c r="P191" s="20"/>
      <c r="Q191" s="23"/>
      <c r="R191" s="24"/>
      <c r="T191" s="32"/>
      <c r="U191" s="23"/>
      <c r="V191" s="23"/>
      <c r="W191" s="23"/>
      <c r="X191" s="23"/>
      <c r="Y191" s="23"/>
      <c r="Z191" s="23"/>
      <c r="AA191" s="23"/>
      <c r="AB191" s="23"/>
    </row>
    <row r="192" spans="1:20" ht="12.75">
      <c r="A192" s="45"/>
      <c r="B192" s="53"/>
      <c r="C192" s="23"/>
      <c r="D192" s="30"/>
      <c r="E192" s="20"/>
      <c r="F192" s="23"/>
      <c r="G192" s="95"/>
      <c r="I192" s="32"/>
      <c r="J192" s="9"/>
      <c r="K192" s="20"/>
      <c r="M192" s="36"/>
      <c r="N192" s="23"/>
      <c r="O192" s="23"/>
      <c r="P192" s="20"/>
      <c r="Q192" s="23"/>
      <c r="R192" s="24"/>
      <c r="T192" s="32"/>
    </row>
    <row r="193" spans="1:20" ht="12.75">
      <c r="A193" s="45">
        <f>+A184+1</f>
        <v>41</v>
      </c>
      <c r="B193" s="29" t="s">
        <v>578</v>
      </c>
      <c r="C193" s="23"/>
      <c r="D193" s="30"/>
      <c r="E193" s="20"/>
      <c r="F193" s="23"/>
      <c r="G193" s="95"/>
      <c r="I193" s="9"/>
      <c r="J193" s="9"/>
      <c r="K193" s="18">
        <f>+A193</f>
        <v>41</v>
      </c>
      <c r="M193" s="35" t="str">
        <f>+B193</f>
        <v>ESF/IBU Allocations-August Factors</v>
      </c>
      <c r="N193" s="23"/>
      <c r="O193" s="23"/>
      <c r="P193" s="20"/>
      <c r="Q193" s="23"/>
      <c r="R193" s="24"/>
      <c r="T193" s="9"/>
    </row>
    <row r="194" spans="1:20" ht="12.75">
      <c r="A194" s="45"/>
      <c r="B194" s="23"/>
      <c r="C194" s="23"/>
      <c r="D194" s="30" t="s">
        <v>579</v>
      </c>
      <c r="E194" s="20">
        <v>-1716</v>
      </c>
      <c r="F194" s="23"/>
      <c r="G194" s="95">
        <v>0.9869</v>
      </c>
      <c r="I194" s="9">
        <f>+E194*G194</f>
        <v>-1693.5204</v>
      </c>
      <c r="J194" s="9"/>
      <c r="K194" s="20"/>
      <c r="M194" s="36">
        <f aca="true" t="shared" si="14" ref="M194:M203">+B194</f>
        <v>0</v>
      </c>
      <c r="N194" s="23"/>
      <c r="O194" s="23"/>
      <c r="P194" s="20">
        <v>59753</v>
      </c>
      <c r="Q194" s="23"/>
      <c r="R194" s="24">
        <v>1</v>
      </c>
      <c r="T194" s="9">
        <f aca="true" t="shared" si="15" ref="T194:T243">+P194*R194</f>
        <v>59753</v>
      </c>
    </row>
    <row r="195" spans="1:20" ht="12.75">
      <c r="A195" s="45"/>
      <c r="B195" s="23"/>
      <c r="C195" s="23"/>
      <c r="D195" s="30" t="s">
        <v>580</v>
      </c>
      <c r="E195" s="20">
        <v>-1</v>
      </c>
      <c r="F195" s="23"/>
      <c r="G195" s="95">
        <v>0.9869</v>
      </c>
      <c r="I195" s="9">
        <f aca="true" t="shared" si="16" ref="I195:I247">+E195*G195</f>
        <v>-0.9869</v>
      </c>
      <c r="J195" s="9"/>
      <c r="K195" s="18"/>
      <c r="M195" s="36">
        <f t="shared" si="14"/>
        <v>0</v>
      </c>
      <c r="N195" s="23"/>
      <c r="O195" s="23"/>
      <c r="P195" s="20">
        <v>-1694</v>
      </c>
      <c r="Q195" s="23"/>
      <c r="R195" s="24">
        <v>1</v>
      </c>
      <c r="T195" s="9">
        <f t="shared" si="15"/>
        <v>-1694</v>
      </c>
    </row>
    <row r="196" spans="1:20" ht="12.75">
      <c r="A196" s="45"/>
      <c r="B196" s="23"/>
      <c r="C196" s="23"/>
      <c r="D196" s="30" t="s">
        <v>581</v>
      </c>
      <c r="E196" s="20">
        <v>-2</v>
      </c>
      <c r="F196" s="23"/>
      <c r="G196" s="95">
        <v>0.9869</v>
      </c>
      <c r="I196" s="9">
        <f t="shared" si="16"/>
        <v>-1.9738</v>
      </c>
      <c r="J196" s="9"/>
      <c r="K196" s="18"/>
      <c r="M196" s="36">
        <f t="shared" si="14"/>
        <v>0</v>
      </c>
      <c r="N196" s="23"/>
      <c r="O196" s="23"/>
      <c r="P196" s="20">
        <v>-572</v>
      </c>
      <c r="Q196" s="23"/>
      <c r="R196" s="24">
        <v>1</v>
      </c>
      <c r="T196" s="9">
        <f t="shared" si="15"/>
        <v>-572</v>
      </c>
    </row>
    <row r="197" spans="1:20" ht="12.75">
      <c r="A197" s="45"/>
      <c r="B197" s="23"/>
      <c r="C197" s="23"/>
      <c r="D197" s="30" t="s">
        <v>582</v>
      </c>
      <c r="E197" s="20">
        <v>-7</v>
      </c>
      <c r="F197" s="23"/>
      <c r="G197" s="95">
        <v>0.9869</v>
      </c>
      <c r="I197" s="9">
        <f t="shared" si="16"/>
        <v>-6.9083</v>
      </c>
      <c r="J197" s="9"/>
      <c r="K197" s="18"/>
      <c r="M197" s="36">
        <f t="shared" si="14"/>
        <v>0</v>
      </c>
      <c r="N197" s="23"/>
      <c r="O197" s="23"/>
      <c r="P197" s="20">
        <v>-6185</v>
      </c>
      <c r="Q197" s="23"/>
      <c r="R197" s="24">
        <v>1</v>
      </c>
      <c r="T197" s="9">
        <f t="shared" si="15"/>
        <v>-6185</v>
      </c>
    </row>
    <row r="198" spans="1:20" ht="12.75">
      <c r="A198" s="45"/>
      <c r="B198" s="23"/>
      <c r="C198" s="23"/>
      <c r="D198" s="30" t="s">
        <v>583</v>
      </c>
      <c r="E198" s="20">
        <v>-567</v>
      </c>
      <c r="F198" s="23"/>
      <c r="G198" s="95">
        <v>0.9869</v>
      </c>
      <c r="I198" s="9">
        <f t="shared" si="16"/>
        <v>-559.5723</v>
      </c>
      <c r="J198" s="9"/>
      <c r="K198" s="18"/>
      <c r="M198" s="36">
        <f t="shared" si="14"/>
        <v>0</v>
      </c>
      <c r="N198" s="23"/>
      <c r="O198" s="23"/>
      <c r="P198" s="20">
        <v>-9194</v>
      </c>
      <c r="Q198" s="23"/>
      <c r="R198" s="24">
        <v>1</v>
      </c>
      <c r="T198" s="9">
        <f t="shared" si="15"/>
        <v>-9194</v>
      </c>
    </row>
    <row r="199" spans="1:20" ht="12.75">
      <c r="A199" s="45"/>
      <c r="B199" s="48"/>
      <c r="C199" s="23"/>
      <c r="D199" s="30" t="s">
        <v>584</v>
      </c>
      <c r="E199" s="20">
        <v>-6243</v>
      </c>
      <c r="F199" s="23"/>
      <c r="G199" s="95">
        <v>0.9869</v>
      </c>
      <c r="I199" s="9">
        <f t="shared" si="16"/>
        <v>-6161.2167</v>
      </c>
      <c r="J199" s="9"/>
      <c r="K199" s="18"/>
      <c r="M199" s="36">
        <f t="shared" si="14"/>
        <v>0</v>
      </c>
      <c r="N199" s="23"/>
      <c r="O199" s="23"/>
      <c r="P199" s="20">
        <v>-8219</v>
      </c>
      <c r="Q199" s="23"/>
      <c r="R199" s="24">
        <v>1</v>
      </c>
      <c r="T199" s="9">
        <f t="shared" si="15"/>
        <v>-8219</v>
      </c>
    </row>
    <row r="200" spans="1:20" ht="12.75">
      <c r="A200" s="45"/>
      <c r="B200" s="23"/>
      <c r="C200" s="23"/>
      <c r="D200" s="30" t="s">
        <v>585</v>
      </c>
      <c r="E200" s="20">
        <v>-1082</v>
      </c>
      <c r="F200" s="23"/>
      <c r="G200" s="95">
        <v>0.9869</v>
      </c>
      <c r="I200" s="9">
        <f t="shared" si="16"/>
        <v>-1067.8258</v>
      </c>
      <c r="J200" s="9"/>
      <c r="K200" s="18"/>
      <c r="M200" s="36">
        <f t="shared" si="14"/>
        <v>0</v>
      </c>
      <c r="N200" s="23"/>
      <c r="O200" s="23"/>
      <c r="P200" s="20">
        <v>-5025</v>
      </c>
      <c r="Q200" s="23"/>
      <c r="R200" s="24">
        <v>1</v>
      </c>
      <c r="T200" s="9">
        <f t="shared" si="15"/>
        <v>-5025</v>
      </c>
    </row>
    <row r="201" spans="1:20" ht="12.75">
      <c r="A201" s="45"/>
      <c r="B201" s="23"/>
      <c r="C201" s="23"/>
      <c r="D201" s="30" t="s">
        <v>586</v>
      </c>
      <c r="E201" s="20">
        <v>-8263</v>
      </c>
      <c r="F201" s="23"/>
      <c r="G201" s="95">
        <v>0.9847</v>
      </c>
      <c r="I201" s="9">
        <f t="shared" si="16"/>
        <v>-8136.5761</v>
      </c>
      <c r="J201" s="9"/>
      <c r="K201" s="18"/>
      <c r="M201" s="36">
        <f t="shared" si="14"/>
        <v>0</v>
      </c>
      <c r="N201" s="23"/>
      <c r="O201" s="23"/>
      <c r="P201" s="20">
        <v>-85</v>
      </c>
      <c r="Q201" s="23"/>
      <c r="R201" s="24">
        <v>1</v>
      </c>
      <c r="T201" s="9">
        <f t="shared" si="15"/>
        <v>-85</v>
      </c>
    </row>
    <row r="202" spans="1:20" ht="12.75">
      <c r="A202" s="45"/>
      <c r="B202" s="23"/>
      <c r="C202" s="23"/>
      <c r="D202" s="30" t="s">
        <v>587</v>
      </c>
      <c r="E202" s="20">
        <v>-13262</v>
      </c>
      <c r="F202" s="23"/>
      <c r="G202" s="95">
        <v>0.9847</v>
      </c>
      <c r="I202" s="9">
        <f t="shared" si="16"/>
        <v>-13059.091400000001</v>
      </c>
      <c r="J202" s="9"/>
      <c r="K202" s="18"/>
      <c r="M202" s="36">
        <f t="shared" si="14"/>
        <v>0</v>
      </c>
      <c r="N202" s="23"/>
      <c r="O202" s="23"/>
      <c r="P202" s="20">
        <v>-5677</v>
      </c>
      <c r="Q202" s="23"/>
      <c r="R202" s="24">
        <v>1</v>
      </c>
      <c r="T202" s="9">
        <f t="shared" si="15"/>
        <v>-5677</v>
      </c>
    </row>
    <row r="203" spans="1:20" ht="12.75">
      <c r="A203" s="45"/>
      <c r="B203" s="23"/>
      <c r="C203" s="23"/>
      <c r="D203" s="30" t="s">
        <v>588</v>
      </c>
      <c r="E203" s="20">
        <v>-75</v>
      </c>
      <c r="F203" s="23"/>
      <c r="G203" s="95">
        <v>0.9869</v>
      </c>
      <c r="I203" s="9">
        <f t="shared" si="16"/>
        <v>-74.0175</v>
      </c>
      <c r="J203" s="9"/>
      <c r="K203" s="18"/>
      <c r="M203" s="36">
        <f t="shared" si="14"/>
        <v>0</v>
      </c>
      <c r="N203" s="23"/>
      <c r="O203" s="23"/>
      <c r="P203" s="20">
        <v>-1759</v>
      </c>
      <c r="Q203" s="23"/>
      <c r="R203" s="24">
        <v>1</v>
      </c>
      <c r="T203" s="9">
        <f t="shared" si="15"/>
        <v>-1759</v>
      </c>
    </row>
    <row r="204" spans="1:20" ht="12.75">
      <c r="A204" s="45"/>
      <c r="B204" s="23"/>
      <c r="C204" s="23"/>
      <c r="D204" s="30" t="s">
        <v>589</v>
      </c>
      <c r="E204" s="20">
        <v>-1050</v>
      </c>
      <c r="F204" s="23"/>
      <c r="G204" s="95">
        <v>0.9869</v>
      </c>
      <c r="I204" s="9">
        <f t="shared" si="16"/>
        <v>-1036.245</v>
      </c>
      <c r="J204" s="9"/>
      <c r="K204" s="18"/>
      <c r="M204" s="36">
        <f>+B204</f>
        <v>0</v>
      </c>
      <c r="N204" s="23"/>
      <c r="O204" s="23"/>
      <c r="P204" s="20">
        <v>-9024</v>
      </c>
      <c r="Q204" s="23"/>
      <c r="R204" s="24">
        <v>1</v>
      </c>
      <c r="T204" s="9">
        <f t="shared" si="15"/>
        <v>-9024</v>
      </c>
    </row>
    <row r="205" spans="1:20" ht="12.75">
      <c r="A205" s="45"/>
      <c r="B205" s="23"/>
      <c r="C205" s="23"/>
      <c r="D205" s="30" t="s">
        <v>590</v>
      </c>
      <c r="E205" s="20">
        <v>-1777</v>
      </c>
      <c r="F205" s="23"/>
      <c r="G205" s="95">
        <v>0.9869</v>
      </c>
      <c r="I205" s="9">
        <f t="shared" si="16"/>
        <v>-1753.7213</v>
      </c>
      <c r="J205" s="9"/>
      <c r="K205" s="18"/>
      <c r="M205" s="36">
        <f>+B205</f>
        <v>0</v>
      </c>
      <c r="N205" s="23"/>
      <c r="O205" s="23"/>
      <c r="P205" s="20">
        <v>-1271</v>
      </c>
      <c r="Q205" s="23"/>
      <c r="R205" s="24">
        <v>1</v>
      </c>
      <c r="T205" s="9">
        <f t="shared" si="15"/>
        <v>-1271</v>
      </c>
    </row>
    <row r="206" spans="1:20" ht="12.75">
      <c r="A206" s="45"/>
      <c r="B206" s="23"/>
      <c r="C206" s="23"/>
      <c r="D206" s="30" t="s">
        <v>591</v>
      </c>
      <c r="E206" s="20">
        <v>-13814</v>
      </c>
      <c r="F206" s="23"/>
      <c r="G206" s="95">
        <v>0.9869</v>
      </c>
      <c r="I206" s="9">
        <f t="shared" si="16"/>
        <v>-13633.0366</v>
      </c>
      <c r="J206" s="9"/>
      <c r="K206" s="18"/>
      <c r="M206" s="36">
        <f>+B206</f>
        <v>0</v>
      </c>
      <c r="N206" s="23"/>
      <c r="O206" s="23"/>
      <c r="P206" s="20">
        <v>-593</v>
      </c>
      <c r="Q206" s="23"/>
      <c r="R206" s="24">
        <v>1</v>
      </c>
      <c r="T206" s="9">
        <f t="shared" si="15"/>
        <v>-593</v>
      </c>
    </row>
    <row r="207" spans="1:20" ht="12.75">
      <c r="A207" s="45"/>
      <c r="B207" s="23"/>
      <c r="C207" s="23"/>
      <c r="D207" s="30" t="s">
        <v>592</v>
      </c>
      <c r="E207" s="20">
        <v>-1289</v>
      </c>
      <c r="F207" s="23"/>
      <c r="G207" s="95">
        <v>0.9869</v>
      </c>
      <c r="I207" s="9">
        <f t="shared" si="16"/>
        <v>-1272.1141</v>
      </c>
      <c r="J207" s="9"/>
      <c r="K207" s="18"/>
      <c r="M207" s="36">
        <f>+B207</f>
        <v>0</v>
      </c>
      <c r="N207" s="23"/>
      <c r="O207" s="23"/>
      <c r="P207" s="20">
        <v>-63</v>
      </c>
      <c r="Q207" s="23"/>
      <c r="R207" s="24">
        <v>1</v>
      </c>
      <c r="T207" s="9">
        <f t="shared" si="15"/>
        <v>-63</v>
      </c>
    </row>
    <row r="208" spans="1:20" ht="12.75">
      <c r="A208" s="45"/>
      <c r="B208" s="23"/>
      <c r="C208" s="23"/>
      <c r="D208" s="30" t="s">
        <v>593</v>
      </c>
      <c r="E208" s="20">
        <v>-592</v>
      </c>
      <c r="F208" s="23"/>
      <c r="G208" s="95">
        <v>0.9869</v>
      </c>
      <c r="I208" s="9">
        <f t="shared" si="16"/>
        <v>-584.2448</v>
      </c>
      <c r="J208" s="9"/>
      <c r="K208" s="18"/>
      <c r="M208" s="36">
        <f aca="true" t="shared" si="17" ref="M208:M243">+B208</f>
        <v>0</v>
      </c>
      <c r="N208" s="23"/>
      <c r="O208" s="23"/>
      <c r="P208" s="20">
        <v>-4364</v>
      </c>
      <c r="Q208" s="23"/>
      <c r="R208" s="24">
        <v>1</v>
      </c>
      <c r="T208" s="9">
        <f t="shared" si="15"/>
        <v>-4364</v>
      </c>
    </row>
    <row r="209" spans="1:20" ht="12.75">
      <c r="A209" s="45"/>
      <c r="B209" s="23"/>
      <c r="C209" s="23"/>
      <c r="D209" s="30" t="s">
        <v>594</v>
      </c>
      <c r="E209" s="20">
        <v>-69</v>
      </c>
      <c r="F209" s="23"/>
      <c r="G209" s="95">
        <v>0.9869</v>
      </c>
      <c r="I209" s="9">
        <f t="shared" si="16"/>
        <v>-68.0961</v>
      </c>
      <c r="J209" s="9"/>
      <c r="K209" s="18"/>
      <c r="M209" s="36">
        <f t="shared" si="17"/>
        <v>0</v>
      </c>
      <c r="N209" s="23"/>
      <c r="O209" s="23"/>
      <c r="P209" s="20">
        <v>-1795</v>
      </c>
      <c r="Q209" s="23"/>
      <c r="R209" s="24">
        <v>1</v>
      </c>
      <c r="T209" s="9">
        <f t="shared" si="15"/>
        <v>-1795</v>
      </c>
    </row>
    <row r="210" spans="1:20" ht="12.75">
      <c r="A210" s="45"/>
      <c r="B210" s="23"/>
      <c r="C210" s="23"/>
      <c r="D210" s="30" t="s">
        <v>595</v>
      </c>
      <c r="E210" s="20">
        <v>-4416</v>
      </c>
      <c r="F210" s="23"/>
      <c r="G210" s="95">
        <v>0.9869</v>
      </c>
      <c r="I210" s="9">
        <f t="shared" si="16"/>
        <v>-4358.1504</v>
      </c>
      <c r="J210" s="9"/>
      <c r="K210" s="18"/>
      <c r="M210" s="36">
        <f t="shared" si="17"/>
        <v>0</v>
      </c>
      <c r="N210" s="23"/>
      <c r="O210" s="23"/>
      <c r="P210" s="20">
        <v>-1325</v>
      </c>
      <c r="Q210" s="23"/>
      <c r="R210" s="24">
        <v>1</v>
      </c>
      <c r="T210" s="9">
        <f t="shared" si="15"/>
        <v>-1325</v>
      </c>
    </row>
    <row r="211" spans="1:20" ht="12.75">
      <c r="A211" s="45"/>
      <c r="B211" s="23"/>
      <c r="C211" s="23"/>
      <c r="D211" s="30" t="s">
        <v>596</v>
      </c>
      <c r="E211" s="20">
        <v>-1806</v>
      </c>
      <c r="F211" s="23"/>
      <c r="G211" s="95">
        <v>0.99833</v>
      </c>
      <c r="I211" s="9">
        <f t="shared" si="16"/>
        <v>-1802.9839800000002</v>
      </c>
      <c r="J211" s="9"/>
      <c r="K211" s="18"/>
      <c r="M211" s="36">
        <f t="shared" si="17"/>
        <v>0</v>
      </c>
      <c r="N211" s="23"/>
      <c r="O211" s="23"/>
      <c r="P211" s="20">
        <v>-21</v>
      </c>
      <c r="Q211" s="23"/>
      <c r="R211" s="24">
        <v>1</v>
      </c>
      <c r="T211" s="9">
        <f t="shared" si="15"/>
        <v>-21</v>
      </c>
    </row>
    <row r="212" spans="1:20" ht="12.75">
      <c r="A212" s="45"/>
      <c r="B212" s="23"/>
      <c r="C212" s="20"/>
      <c r="D212" s="30" t="s">
        <v>597</v>
      </c>
      <c r="E212" s="20">
        <v>-1334</v>
      </c>
      <c r="F212" s="23"/>
      <c r="G212" s="95">
        <v>0.99833</v>
      </c>
      <c r="I212" s="9">
        <f t="shared" si="16"/>
        <v>-1331.77222</v>
      </c>
      <c r="J212" s="9"/>
      <c r="K212" s="18"/>
      <c r="M212" s="36">
        <f t="shared" si="17"/>
        <v>0</v>
      </c>
      <c r="N212" s="23"/>
      <c r="O212" s="23"/>
      <c r="P212" s="20">
        <v>-21</v>
      </c>
      <c r="Q212" s="23"/>
      <c r="R212" s="24">
        <v>1</v>
      </c>
      <c r="T212" s="9">
        <f t="shared" si="15"/>
        <v>-21</v>
      </c>
    </row>
    <row r="213" spans="1:20" ht="12.75">
      <c r="A213" s="45"/>
      <c r="B213" s="23"/>
      <c r="C213" s="20"/>
      <c r="D213" s="30" t="s">
        <v>598</v>
      </c>
      <c r="E213" s="20">
        <v>-17</v>
      </c>
      <c r="F213" s="23"/>
      <c r="G213" s="95">
        <v>0.99833</v>
      </c>
      <c r="I213" s="9">
        <f t="shared" si="16"/>
        <v>-16.971610000000002</v>
      </c>
      <c r="J213" s="9"/>
      <c r="K213" s="18"/>
      <c r="M213" s="36">
        <f t="shared" si="17"/>
        <v>0</v>
      </c>
      <c r="N213" s="23"/>
      <c r="O213" s="23"/>
      <c r="P213" s="20">
        <v>-6091</v>
      </c>
      <c r="Q213" s="23"/>
      <c r="R213" s="24">
        <v>1</v>
      </c>
      <c r="T213" s="9">
        <f t="shared" si="15"/>
        <v>-6091</v>
      </c>
    </row>
    <row r="214" spans="1:20" ht="12.75">
      <c r="A214" s="45"/>
      <c r="B214" s="23"/>
      <c r="C214" s="20"/>
      <c r="D214" s="30" t="s">
        <v>599</v>
      </c>
      <c r="E214" s="20">
        <v>-24</v>
      </c>
      <c r="F214" s="23"/>
      <c r="G214" s="95">
        <v>0.99833</v>
      </c>
      <c r="I214" s="9">
        <f t="shared" si="16"/>
        <v>-23.95992</v>
      </c>
      <c r="J214" s="9"/>
      <c r="K214" s="18"/>
      <c r="M214" s="36">
        <f t="shared" si="17"/>
        <v>0</v>
      </c>
      <c r="N214" s="23"/>
      <c r="O214" s="23"/>
      <c r="P214" s="20">
        <v>-43</v>
      </c>
      <c r="Q214" s="23"/>
      <c r="R214" s="24">
        <v>1</v>
      </c>
      <c r="T214" s="9">
        <f t="shared" si="15"/>
        <v>-43</v>
      </c>
    </row>
    <row r="215" spans="1:20" ht="12.75">
      <c r="A215" s="45"/>
      <c r="B215" s="23"/>
      <c r="C215" s="20"/>
      <c r="D215" s="30" t="s">
        <v>600</v>
      </c>
      <c r="E215" s="20">
        <v>28677</v>
      </c>
      <c r="F215" s="23"/>
      <c r="G215" s="95">
        <v>0.99833</v>
      </c>
      <c r="I215" s="9">
        <f t="shared" si="16"/>
        <v>28629.10941</v>
      </c>
      <c r="J215" s="9"/>
      <c r="K215" s="18"/>
      <c r="M215" s="36">
        <f t="shared" si="17"/>
        <v>0</v>
      </c>
      <c r="N215" s="23"/>
      <c r="O215" s="23"/>
      <c r="P215" s="20">
        <v>-97127</v>
      </c>
      <c r="Q215" s="23"/>
      <c r="R215" s="24">
        <v>1</v>
      </c>
      <c r="T215" s="9">
        <f t="shared" si="15"/>
        <v>-97127</v>
      </c>
    </row>
    <row r="216" spans="1:20" ht="12.75">
      <c r="A216" s="45"/>
      <c r="B216" s="23"/>
      <c r="C216" s="20"/>
      <c r="D216" s="30" t="s">
        <v>601</v>
      </c>
      <c r="E216" s="20">
        <v>-50</v>
      </c>
      <c r="F216" s="23"/>
      <c r="G216" s="95">
        <v>0.99833</v>
      </c>
      <c r="I216" s="9">
        <f t="shared" si="16"/>
        <v>-49.9165</v>
      </c>
      <c r="J216" s="9"/>
      <c r="K216" s="18"/>
      <c r="M216" s="36">
        <f t="shared" si="17"/>
        <v>0</v>
      </c>
      <c r="N216" s="23"/>
      <c r="O216" s="23"/>
      <c r="P216" s="20">
        <v>-21</v>
      </c>
      <c r="Q216" s="23"/>
      <c r="R216" s="24">
        <v>1</v>
      </c>
      <c r="T216" s="9">
        <f t="shared" si="15"/>
        <v>-21</v>
      </c>
    </row>
    <row r="217" spans="1:20" ht="12.75">
      <c r="A217" s="45"/>
      <c r="B217" s="23"/>
      <c r="C217" s="20"/>
      <c r="D217" s="30" t="s">
        <v>602</v>
      </c>
      <c r="E217" s="20">
        <v>-132051</v>
      </c>
      <c r="F217" s="23"/>
      <c r="G217" s="95">
        <v>0.99833</v>
      </c>
      <c r="I217" s="9">
        <f t="shared" si="16"/>
        <v>-131830.47483000002</v>
      </c>
      <c r="J217" s="9"/>
      <c r="K217" s="18"/>
      <c r="M217" s="36">
        <f t="shared" si="17"/>
        <v>0</v>
      </c>
      <c r="N217" s="23"/>
      <c r="O217" s="23"/>
      <c r="P217" s="20">
        <v>-727</v>
      </c>
      <c r="Q217" s="23"/>
      <c r="R217" s="24">
        <v>1</v>
      </c>
      <c r="T217" s="9">
        <f t="shared" si="15"/>
        <v>-727</v>
      </c>
    </row>
    <row r="218" spans="1:20" ht="12.75">
      <c r="A218" s="45"/>
      <c r="B218" s="23"/>
      <c r="C218" s="20"/>
      <c r="D218" s="30" t="s">
        <v>603</v>
      </c>
      <c r="E218" s="20">
        <v>-20</v>
      </c>
      <c r="F218" s="23"/>
      <c r="G218" s="95">
        <v>0.99833</v>
      </c>
      <c r="I218" s="9">
        <f t="shared" si="16"/>
        <v>-19.9666</v>
      </c>
      <c r="J218" s="9"/>
      <c r="K218" s="18"/>
      <c r="M218" s="36">
        <f t="shared" si="17"/>
        <v>0</v>
      </c>
      <c r="N218" s="23"/>
      <c r="O218" s="23"/>
      <c r="P218" s="20">
        <v>-1624</v>
      </c>
      <c r="Q218" s="23"/>
      <c r="R218" s="24">
        <v>1</v>
      </c>
      <c r="T218" s="9">
        <f t="shared" si="15"/>
        <v>-1624</v>
      </c>
    </row>
    <row r="219" spans="1:20" ht="12.75">
      <c r="A219" s="45"/>
      <c r="B219" s="23"/>
      <c r="C219" s="20"/>
      <c r="D219" s="30" t="s">
        <v>604</v>
      </c>
      <c r="E219" s="20">
        <v>-721</v>
      </c>
      <c r="F219" s="23"/>
      <c r="G219" s="95">
        <v>0.99833</v>
      </c>
      <c r="I219" s="9">
        <f t="shared" si="16"/>
        <v>-719.79593</v>
      </c>
      <c r="J219" s="9"/>
      <c r="K219" s="18"/>
      <c r="M219" s="36">
        <f t="shared" si="17"/>
        <v>0</v>
      </c>
      <c r="N219" s="23"/>
      <c r="O219" s="23"/>
      <c r="P219" s="20">
        <v>-2158</v>
      </c>
      <c r="Q219" s="23"/>
      <c r="R219" s="24">
        <v>1</v>
      </c>
      <c r="T219" s="9">
        <f t="shared" si="15"/>
        <v>-2158</v>
      </c>
    </row>
    <row r="220" spans="1:20" ht="12.75">
      <c r="A220" s="45"/>
      <c r="B220" s="23"/>
      <c r="C220" s="20"/>
      <c r="D220" s="30" t="s">
        <v>605</v>
      </c>
      <c r="E220" s="20">
        <v>-1631</v>
      </c>
      <c r="F220" s="23"/>
      <c r="G220" s="95">
        <v>0.99833</v>
      </c>
      <c r="I220" s="9">
        <f t="shared" si="16"/>
        <v>-1628.2762300000002</v>
      </c>
      <c r="J220" s="9"/>
      <c r="K220" s="18"/>
      <c r="M220" s="36">
        <f t="shared" si="17"/>
        <v>0</v>
      </c>
      <c r="N220" s="23"/>
      <c r="O220" s="23"/>
      <c r="P220" s="20">
        <v>-4787</v>
      </c>
      <c r="Q220" s="23"/>
      <c r="R220" s="24">
        <v>1</v>
      </c>
      <c r="T220" s="9">
        <f t="shared" si="15"/>
        <v>-4787</v>
      </c>
    </row>
    <row r="221" spans="1:20" ht="12.75">
      <c r="A221" s="45"/>
      <c r="B221" s="23"/>
      <c r="C221" s="20"/>
      <c r="D221" s="30" t="s">
        <v>606</v>
      </c>
      <c r="E221" s="20">
        <v>-1</v>
      </c>
      <c r="F221" s="23"/>
      <c r="G221" s="95">
        <v>0.99833</v>
      </c>
      <c r="I221" s="9">
        <f t="shared" si="16"/>
        <v>-0.99833</v>
      </c>
      <c r="J221" s="9"/>
      <c r="K221" s="18"/>
      <c r="M221" s="36">
        <f t="shared" si="17"/>
        <v>0</v>
      </c>
      <c r="N221" s="23"/>
      <c r="O221" s="23"/>
      <c r="P221" s="20">
        <v>-11829</v>
      </c>
      <c r="Q221" s="23"/>
      <c r="R221" s="24">
        <v>1</v>
      </c>
      <c r="T221" s="9">
        <f t="shared" si="15"/>
        <v>-11829</v>
      </c>
    </row>
    <row r="222" spans="1:20" ht="12.75">
      <c r="A222" s="45"/>
      <c r="B222" s="23"/>
      <c r="C222" s="20"/>
      <c r="D222" s="30" t="s">
        <v>607</v>
      </c>
      <c r="E222" s="20">
        <v>-2164</v>
      </c>
      <c r="F222" s="23"/>
      <c r="G222" s="95">
        <v>0.99833</v>
      </c>
      <c r="I222" s="9">
        <f t="shared" si="16"/>
        <v>-2160.38612</v>
      </c>
      <c r="J222" s="9"/>
      <c r="K222" s="18"/>
      <c r="M222" s="36">
        <f t="shared" si="17"/>
        <v>0</v>
      </c>
      <c r="N222" s="23"/>
      <c r="O222" s="23"/>
      <c r="P222" s="20">
        <v>-241</v>
      </c>
      <c r="Q222" s="23"/>
      <c r="R222" s="24">
        <v>1</v>
      </c>
      <c r="T222" s="9">
        <f t="shared" si="15"/>
        <v>-241</v>
      </c>
    </row>
    <row r="223" spans="1:20" ht="12.75">
      <c r="A223" s="45"/>
      <c r="B223" s="23"/>
      <c r="C223" s="20"/>
      <c r="D223" s="30" t="s">
        <v>608</v>
      </c>
      <c r="E223" s="20">
        <v>-4795</v>
      </c>
      <c r="F223" s="23"/>
      <c r="G223" s="95">
        <v>0.99833</v>
      </c>
      <c r="I223" s="9">
        <f t="shared" si="16"/>
        <v>-4786.99235</v>
      </c>
      <c r="J223" s="9"/>
      <c r="K223" s="18"/>
      <c r="M223" s="36">
        <f t="shared" si="17"/>
        <v>0</v>
      </c>
      <c r="N223" s="23"/>
      <c r="O223" s="23"/>
      <c r="P223" s="20">
        <v>-141439</v>
      </c>
      <c r="Q223" s="23"/>
      <c r="R223" s="24">
        <v>1</v>
      </c>
      <c r="T223" s="9">
        <f t="shared" si="15"/>
        <v>-141439</v>
      </c>
    </row>
    <row r="224" spans="1:20" ht="12.75">
      <c r="A224" s="45"/>
      <c r="B224" s="23"/>
      <c r="C224" s="20"/>
      <c r="D224" s="30" t="s">
        <v>609</v>
      </c>
      <c r="E224" s="20">
        <v>-14599</v>
      </c>
      <c r="F224" s="23"/>
      <c r="G224" s="95">
        <v>0.81025</v>
      </c>
      <c r="I224" s="9">
        <f t="shared" si="16"/>
        <v>-11828.839750000001</v>
      </c>
      <c r="J224" s="9"/>
      <c r="K224" s="18"/>
      <c r="M224" s="36">
        <f t="shared" si="17"/>
        <v>0</v>
      </c>
      <c r="N224" s="23"/>
      <c r="O224" s="23"/>
      <c r="P224" s="20">
        <v>29</v>
      </c>
      <c r="Q224" s="23"/>
      <c r="R224" s="24">
        <v>1</v>
      </c>
      <c r="T224" s="9">
        <f t="shared" si="15"/>
        <v>29</v>
      </c>
    </row>
    <row r="225" spans="1:20" ht="12.75">
      <c r="A225" s="45"/>
      <c r="B225" s="23"/>
      <c r="C225" s="20"/>
      <c r="D225" s="30" t="s">
        <v>610</v>
      </c>
      <c r="E225" s="20">
        <v>-281</v>
      </c>
      <c r="F225" s="23"/>
      <c r="G225" s="95">
        <v>0.86549</v>
      </c>
      <c r="I225" s="9">
        <f t="shared" si="16"/>
        <v>-243.20269</v>
      </c>
      <c r="J225" s="9"/>
      <c r="K225" s="18"/>
      <c r="M225" s="36">
        <f t="shared" si="17"/>
        <v>0</v>
      </c>
      <c r="N225" s="23"/>
      <c r="O225" s="23"/>
      <c r="P225" s="20">
        <v>-3119</v>
      </c>
      <c r="Q225" s="23"/>
      <c r="R225" s="24">
        <v>1</v>
      </c>
      <c r="T225" s="9">
        <f t="shared" si="15"/>
        <v>-3119</v>
      </c>
    </row>
    <row r="226" spans="1:20" ht="12.75">
      <c r="A226" s="45"/>
      <c r="B226" s="23"/>
      <c r="C226" s="20"/>
      <c r="D226" s="30" t="s">
        <v>611</v>
      </c>
      <c r="E226" s="20">
        <v>-173929</v>
      </c>
      <c r="F226" s="23"/>
      <c r="G226" s="95">
        <v>0.81323</v>
      </c>
      <c r="I226" s="9">
        <f t="shared" si="16"/>
        <v>-141444.28067</v>
      </c>
      <c r="J226" s="9"/>
      <c r="K226" s="18"/>
      <c r="M226" s="36">
        <f t="shared" si="17"/>
        <v>0</v>
      </c>
      <c r="N226" s="23"/>
      <c r="O226" s="23"/>
      <c r="P226" s="20">
        <v>-14497</v>
      </c>
      <c r="Q226" s="23"/>
      <c r="R226" s="24">
        <v>1</v>
      </c>
      <c r="T226" s="9">
        <f t="shared" si="15"/>
        <v>-14497</v>
      </c>
    </row>
    <row r="227" spans="1:20" ht="12.75">
      <c r="A227" s="45"/>
      <c r="B227" s="23"/>
      <c r="C227" s="20"/>
      <c r="D227" s="30" t="s">
        <v>612</v>
      </c>
      <c r="E227" s="20">
        <v>49</v>
      </c>
      <c r="F227" s="23"/>
      <c r="G227" s="95">
        <v>0.66974</v>
      </c>
      <c r="I227" s="9">
        <f t="shared" si="16"/>
        <v>32.81726</v>
      </c>
      <c r="J227" s="9"/>
      <c r="K227" s="18"/>
      <c r="M227" s="36">
        <f t="shared" si="17"/>
        <v>0</v>
      </c>
      <c r="N227" s="23"/>
      <c r="O227" s="23"/>
      <c r="P227" s="20">
        <v>-692</v>
      </c>
      <c r="Q227" s="23"/>
      <c r="R227" s="24">
        <v>1</v>
      </c>
      <c r="T227" s="9">
        <f t="shared" si="15"/>
        <v>-692</v>
      </c>
    </row>
    <row r="228" spans="1:20" ht="12.75">
      <c r="A228" s="45"/>
      <c r="B228" s="23"/>
      <c r="C228" s="20"/>
      <c r="D228" s="30" t="s">
        <v>613</v>
      </c>
      <c r="E228" s="20">
        <v>-2</v>
      </c>
      <c r="F228" s="23"/>
      <c r="G228" s="95">
        <v>0.84694</v>
      </c>
      <c r="I228" s="9">
        <f t="shared" si="16"/>
        <v>-1.69388</v>
      </c>
      <c r="J228" s="9"/>
      <c r="K228" s="18"/>
      <c r="M228" s="36">
        <f t="shared" si="17"/>
        <v>0</v>
      </c>
      <c r="N228" s="23"/>
      <c r="O228" s="23"/>
      <c r="P228" s="20">
        <v>2109</v>
      </c>
      <c r="Q228" s="23"/>
      <c r="R228" s="24">
        <v>1</v>
      </c>
      <c r="T228" s="9">
        <f t="shared" si="15"/>
        <v>2109</v>
      </c>
    </row>
    <row r="229" spans="1:20" ht="12.75">
      <c r="A229" s="45"/>
      <c r="B229" s="23"/>
      <c r="C229" s="20"/>
      <c r="D229" s="30" t="s">
        <v>614</v>
      </c>
      <c r="E229" s="20">
        <v>-3598</v>
      </c>
      <c r="F229" s="23"/>
      <c r="G229" s="95">
        <v>0.86271</v>
      </c>
      <c r="I229" s="9">
        <f t="shared" si="16"/>
        <v>-3104.03058</v>
      </c>
      <c r="J229" s="9"/>
      <c r="K229" s="18"/>
      <c r="M229" s="36">
        <f t="shared" si="17"/>
        <v>0</v>
      </c>
      <c r="N229" s="23"/>
      <c r="O229" s="23"/>
      <c r="P229" s="20">
        <v>-5437</v>
      </c>
      <c r="Q229" s="23"/>
      <c r="R229" s="24">
        <v>1</v>
      </c>
      <c r="T229" s="9">
        <f t="shared" si="15"/>
        <v>-5437</v>
      </c>
    </row>
    <row r="230" spans="1:20" ht="12.75">
      <c r="A230" s="45"/>
      <c r="B230" s="23"/>
      <c r="C230" s="20"/>
      <c r="D230" s="30" t="s">
        <v>615</v>
      </c>
      <c r="E230" s="20">
        <v>-17640</v>
      </c>
      <c r="F230" s="23"/>
      <c r="G230" s="95">
        <v>0.81752</v>
      </c>
      <c r="I230" s="9">
        <f t="shared" si="16"/>
        <v>-14421.052800000001</v>
      </c>
      <c r="J230" s="9"/>
      <c r="K230" s="18"/>
      <c r="M230" s="36">
        <f t="shared" si="17"/>
        <v>0</v>
      </c>
      <c r="N230" s="23"/>
      <c r="O230" s="23"/>
      <c r="P230" s="20">
        <v>-4791</v>
      </c>
      <c r="Q230" s="23"/>
      <c r="R230" s="24">
        <v>1</v>
      </c>
      <c r="T230" s="9">
        <f t="shared" si="15"/>
        <v>-4791</v>
      </c>
    </row>
    <row r="231" spans="1:20" ht="12.75">
      <c r="A231" s="45"/>
      <c r="B231" s="23"/>
      <c r="C231" s="20"/>
      <c r="D231" s="30" t="s">
        <v>616</v>
      </c>
      <c r="E231" s="20">
        <v>-854</v>
      </c>
      <c r="F231" s="23"/>
      <c r="G231" s="95">
        <v>0.80421</v>
      </c>
      <c r="I231" s="9">
        <f t="shared" si="16"/>
        <v>-686.79534</v>
      </c>
      <c r="J231" s="9"/>
      <c r="K231" s="18"/>
      <c r="M231" s="36">
        <f t="shared" si="17"/>
        <v>0</v>
      </c>
      <c r="N231" s="23"/>
      <c r="O231" s="23"/>
      <c r="P231" s="20">
        <v>-9519</v>
      </c>
      <c r="Q231" s="23"/>
      <c r="R231" s="24">
        <v>1</v>
      </c>
      <c r="T231" s="9">
        <f t="shared" si="15"/>
        <v>-9519</v>
      </c>
    </row>
    <row r="232" spans="1:20" ht="12.75">
      <c r="A232" s="45"/>
      <c r="B232" s="23"/>
      <c r="C232" s="20"/>
      <c r="D232" s="30" t="s">
        <v>617</v>
      </c>
      <c r="E232" s="20">
        <v>2512</v>
      </c>
      <c r="F232" s="23"/>
      <c r="G232" s="95">
        <v>0.84214</v>
      </c>
      <c r="I232" s="9">
        <f t="shared" si="16"/>
        <v>2115.45568</v>
      </c>
      <c r="J232" s="9"/>
      <c r="K232" s="18"/>
      <c r="M232" s="36">
        <f t="shared" si="17"/>
        <v>0</v>
      </c>
      <c r="N232" s="23"/>
      <c r="O232" s="23"/>
      <c r="P232" s="20">
        <v>-27819</v>
      </c>
      <c r="Q232" s="23"/>
      <c r="R232" s="24">
        <v>1</v>
      </c>
      <c r="T232" s="9">
        <f t="shared" si="15"/>
        <v>-27819</v>
      </c>
    </row>
    <row r="233" spans="1:20" ht="12.75">
      <c r="A233" s="45"/>
      <c r="B233" s="23"/>
      <c r="C233" s="20"/>
      <c r="D233" s="30" t="s">
        <v>618</v>
      </c>
      <c r="E233" s="20">
        <v>-5428</v>
      </c>
      <c r="F233" s="23"/>
      <c r="G233" s="95">
        <v>1</v>
      </c>
      <c r="I233" s="9">
        <f t="shared" si="16"/>
        <v>-5428</v>
      </c>
      <c r="J233" s="9"/>
      <c r="K233" s="18"/>
      <c r="M233" s="36">
        <f t="shared" si="17"/>
        <v>0</v>
      </c>
      <c r="N233" s="23"/>
      <c r="O233" s="23"/>
      <c r="P233" s="20">
        <v>-788899</v>
      </c>
      <c r="Q233" s="23"/>
      <c r="R233" s="24">
        <v>1</v>
      </c>
      <c r="T233" s="9">
        <f t="shared" si="15"/>
        <v>-788899</v>
      </c>
    </row>
    <row r="234" spans="1:20" ht="12.75">
      <c r="A234" s="45"/>
      <c r="B234" s="23"/>
      <c r="C234" s="20"/>
      <c r="D234" s="30" t="s">
        <v>619</v>
      </c>
      <c r="E234" s="20">
        <v>70607</v>
      </c>
      <c r="F234" s="23"/>
      <c r="G234" s="95">
        <v>0.90241</v>
      </c>
      <c r="I234" s="9">
        <f t="shared" si="16"/>
        <v>63716.46287</v>
      </c>
      <c r="J234" s="9"/>
      <c r="K234" s="18"/>
      <c r="M234" s="36">
        <f t="shared" si="17"/>
        <v>0</v>
      </c>
      <c r="N234" s="23"/>
      <c r="O234" s="23"/>
      <c r="P234" s="20">
        <v>7732</v>
      </c>
      <c r="Q234" s="23"/>
      <c r="R234" s="24">
        <v>1</v>
      </c>
      <c r="T234" s="9">
        <f t="shared" si="15"/>
        <v>7732</v>
      </c>
    </row>
    <row r="235" spans="1:20" ht="12.75">
      <c r="A235" s="45"/>
      <c r="B235" s="23"/>
      <c r="C235" s="20"/>
      <c r="D235" s="30" t="s">
        <v>620</v>
      </c>
      <c r="E235" s="20">
        <v>-7988</v>
      </c>
      <c r="F235" s="23"/>
      <c r="G235" s="95">
        <v>0.94019</v>
      </c>
      <c r="I235" s="9">
        <f t="shared" si="16"/>
        <v>-7510.23772</v>
      </c>
      <c r="J235" s="9"/>
      <c r="K235" s="18"/>
      <c r="M235" s="36">
        <f t="shared" si="17"/>
        <v>0</v>
      </c>
      <c r="N235" s="23"/>
      <c r="O235" s="23"/>
      <c r="P235" s="20">
        <v>62133</v>
      </c>
      <c r="Q235" s="23"/>
      <c r="R235" s="24">
        <v>1</v>
      </c>
      <c r="T235" s="9">
        <f t="shared" si="15"/>
        <v>62133</v>
      </c>
    </row>
    <row r="236" spans="1:20" ht="12.75">
      <c r="A236" s="45"/>
      <c r="B236" s="23"/>
      <c r="C236" s="20"/>
      <c r="D236" s="30" t="s">
        <v>621</v>
      </c>
      <c r="E236" s="20">
        <v>-108961</v>
      </c>
      <c r="F236" s="23"/>
      <c r="G236" s="95">
        <v>0.84171</v>
      </c>
      <c r="I236" s="9">
        <f t="shared" si="16"/>
        <v>-91713.56331</v>
      </c>
      <c r="J236" s="9"/>
      <c r="K236" s="18"/>
      <c r="M236" s="36">
        <f t="shared" si="17"/>
        <v>0</v>
      </c>
      <c r="N236" s="23"/>
      <c r="O236" s="23"/>
      <c r="P236" s="20">
        <v>-405307</v>
      </c>
      <c r="Q236" s="23"/>
      <c r="R236" s="24">
        <v>1</v>
      </c>
      <c r="T236" s="9">
        <f t="shared" si="15"/>
        <v>-405307</v>
      </c>
    </row>
    <row r="237" spans="1:20" ht="12.75">
      <c r="A237" s="45"/>
      <c r="B237" s="23"/>
      <c r="C237" s="20"/>
      <c r="D237" s="30" t="s">
        <v>622</v>
      </c>
      <c r="E237" s="20">
        <v>-915240</v>
      </c>
      <c r="F237" s="23"/>
      <c r="G237" s="95">
        <v>0.86397</v>
      </c>
      <c r="I237" s="9">
        <f t="shared" si="16"/>
        <v>-790739.9028</v>
      </c>
      <c r="J237" s="9"/>
      <c r="K237" s="18"/>
      <c r="M237" s="36">
        <f t="shared" si="17"/>
        <v>0</v>
      </c>
      <c r="N237" s="23"/>
      <c r="O237" s="23"/>
      <c r="P237" s="20">
        <v>-46707</v>
      </c>
      <c r="Q237" s="23"/>
      <c r="R237" s="24">
        <v>1</v>
      </c>
      <c r="T237" s="9">
        <f t="shared" si="15"/>
        <v>-46707</v>
      </c>
    </row>
    <row r="238" spans="1:20" ht="12.75">
      <c r="A238" s="45"/>
      <c r="B238" s="23"/>
      <c r="C238" s="20"/>
      <c r="D238" s="30" t="s">
        <v>623</v>
      </c>
      <c r="E238" s="20">
        <v>84679</v>
      </c>
      <c r="F238" s="23"/>
      <c r="G238" s="95">
        <v>0.87456</v>
      </c>
      <c r="I238" s="9">
        <f t="shared" si="16"/>
        <v>74056.86624</v>
      </c>
      <c r="J238" s="9"/>
      <c r="K238" s="18"/>
      <c r="M238" s="36">
        <f t="shared" si="17"/>
        <v>0</v>
      </c>
      <c r="N238" s="23"/>
      <c r="O238" s="23"/>
      <c r="P238" s="20">
        <v>-214782</v>
      </c>
      <c r="Q238" s="23"/>
      <c r="R238" s="24">
        <v>1</v>
      </c>
      <c r="T238" s="9">
        <f t="shared" si="15"/>
        <v>-214782</v>
      </c>
    </row>
    <row r="239" spans="1:20" ht="12.75">
      <c r="A239" s="45"/>
      <c r="B239" s="23"/>
      <c r="C239" s="20"/>
      <c r="D239" s="30" t="s">
        <v>624</v>
      </c>
      <c r="E239" s="20">
        <v>-467850</v>
      </c>
      <c r="F239" s="23"/>
      <c r="G239" s="95">
        <v>0.87518</v>
      </c>
      <c r="I239" s="9">
        <f t="shared" si="16"/>
        <v>-409452.963</v>
      </c>
      <c r="J239" s="9"/>
      <c r="K239" s="18"/>
      <c r="M239" s="36">
        <f t="shared" si="17"/>
        <v>0</v>
      </c>
      <c r="N239" s="23"/>
      <c r="O239" s="23"/>
      <c r="P239" s="20">
        <v>845</v>
      </c>
      <c r="Q239" s="23"/>
      <c r="R239" s="24">
        <v>1</v>
      </c>
      <c r="T239" s="9">
        <f t="shared" si="15"/>
        <v>845</v>
      </c>
    </row>
    <row r="240" spans="1:20" ht="12.75">
      <c r="A240" s="45"/>
      <c r="B240" s="23"/>
      <c r="C240" s="20"/>
      <c r="D240" s="30" t="s">
        <v>625</v>
      </c>
      <c r="E240" s="20">
        <v>-72357</v>
      </c>
      <c r="F240" s="23"/>
      <c r="G240" s="95">
        <v>0.64556</v>
      </c>
      <c r="I240" s="9">
        <f t="shared" si="16"/>
        <v>-46710.78492</v>
      </c>
      <c r="J240" s="9"/>
      <c r="K240" s="18"/>
      <c r="M240" s="36">
        <f t="shared" si="17"/>
        <v>0</v>
      </c>
      <c r="N240" s="23"/>
      <c r="O240" s="23"/>
      <c r="P240" s="20">
        <v>-41337</v>
      </c>
      <c r="Q240" s="23"/>
      <c r="R240" s="24">
        <v>1</v>
      </c>
      <c r="T240" s="9">
        <f t="shared" si="15"/>
        <v>-41337</v>
      </c>
    </row>
    <row r="241" spans="1:20" ht="12.75">
      <c r="A241" s="45"/>
      <c r="B241" s="23"/>
      <c r="C241" s="20"/>
      <c r="D241" s="30" t="s">
        <v>626</v>
      </c>
      <c r="E241" s="20">
        <v>-279104</v>
      </c>
      <c r="F241" s="23"/>
      <c r="G241" s="95">
        <v>0.86327</v>
      </c>
      <c r="I241" s="9">
        <f t="shared" si="16"/>
        <v>-240942.11007999998</v>
      </c>
      <c r="J241" s="9"/>
      <c r="K241" s="18"/>
      <c r="M241" s="36">
        <f t="shared" si="17"/>
        <v>0</v>
      </c>
      <c r="N241" s="23"/>
      <c r="O241" s="23"/>
      <c r="P241" s="20">
        <v>-26768</v>
      </c>
      <c r="Q241" s="23"/>
      <c r="R241" s="24">
        <v>1</v>
      </c>
      <c r="T241" s="9">
        <f t="shared" si="15"/>
        <v>-26768</v>
      </c>
    </row>
    <row r="242" spans="1:20" ht="12.75">
      <c r="A242" s="45"/>
      <c r="B242" s="23"/>
      <c r="C242" s="20"/>
      <c r="D242" s="30" t="s">
        <v>627</v>
      </c>
      <c r="E242" s="20">
        <v>1017</v>
      </c>
      <c r="F242" s="23"/>
      <c r="G242" s="95">
        <v>0.82241</v>
      </c>
      <c r="I242" s="9">
        <f t="shared" si="16"/>
        <v>836.3909699999999</v>
      </c>
      <c r="J242" s="9"/>
      <c r="K242" s="18"/>
      <c r="M242" s="36">
        <f t="shared" si="17"/>
        <v>0</v>
      </c>
      <c r="N242" s="23"/>
      <c r="O242" s="23"/>
      <c r="P242" s="20">
        <v>-34951</v>
      </c>
      <c r="Q242" s="23"/>
      <c r="R242" s="24">
        <v>1</v>
      </c>
      <c r="T242" s="9">
        <f t="shared" si="15"/>
        <v>-34951</v>
      </c>
    </row>
    <row r="243" spans="1:20" ht="12.75">
      <c r="A243" s="45"/>
      <c r="B243" s="23"/>
      <c r="C243" s="20"/>
      <c r="D243" s="30" t="s">
        <v>628</v>
      </c>
      <c r="E243" s="20">
        <v>-47681</v>
      </c>
      <c r="F243" s="23"/>
      <c r="G243" s="95">
        <v>0.86714</v>
      </c>
      <c r="I243" s="9">
        <f t="shared" si="16"/>
        <v>-41346.10234</v>
      </c>
      <c r="J243" s="9"/>
      <c r="K243" s="18"/>
      <c r="M243" s="36">
        <f t="shared" si="17"/>
        <v>0</v>
      </c>
      <c r="N243" s="23"/>
      <c r="O243" s="23"/>
      <c r="P243" s="20"/>
      <c r="Q243" s="23"/>
      <c r="R243" s="24"/>
      <c r="T243" s="9">
        <f t="shared" si="15"/>
        <v>0</v>
      </c>
    </row>
    <row r="244" spans="1:20" ht="12.75">
      <c r="A244" s="45"/>
      <c r="B244" s="23"/>
      <c r="C244" s="20"/>
      <c r="D244" s="30" t="s">
        <v>629</v>
      </c>
      <c r="E244" s="20">
        <v>-784</v>
      </c>
      <c r="F244" s="23"/>
      <c r="G244" s="95">
        <v>0.86064</v>
      </c>
      <c r="I244" s="9">
        <f t="shared" si="16"/>
        <v>-674.74176</v>
      </c>
      <c r="J244" s="9"/>
      <c r="K244" s="18"/>
      <c r="M244" s="36"/>
      <c r="N244" s="23"/>
      <c r="O244" s="23"/>
      <c r="P244" s="20"/>
      <c r="Q244" s="23"/>
      <c r="R244" s="24"/>
      <c r="T244" s="9"/>
    </row>
    <row r="245" spans="1:20" ht="12.75">
      <c r="A245" s="45"/>
      <c r="B245" s="23"/>
      <c r="C245" s="20"/>
      <c r="D245" s="30" t="s">
        <v>630</v>
      </c>
      <c r="E245" s="20">
        <v>-37865</v>
      </c>
      <c r="F245" s="23"/>
      <c r="G245" s="95">
        <v>0.92298</v>
      </c>
      <c r="I245" s="9">
        <f t="shared" si="16"/>
        <v>-34948.6377</v>
      </c>
      <c r="J245" s="9"/>
      <c r="K245" s="18"/>
      <c r="M245" s="36"/>
      <c r="N245" s="23"/>
      <c r="O245" s="23"/>
      <c r="P245" s="20"/>
      <c r="Q245" s="23"/>
      <c r="R245" s="24"/>
      <c r="T245" s="9"/>
    </row>
    <row r="246" spans="1:20" ht="12.75">
      <c r="A246" s="45"/>
      <c r="B246" s="23"/>
      <c r="C246" s="20"/>
      <c r="D246" s="30" t="s">
        <v>791</v>
      </c>
      <c r="E246" s="20">
        <v>53833</v>
      </c>
      <c r="F246" s="23"/>
      <c r="G246" s="95">
        <v>0.93106</v>
      </c>
      <c r="I246" s="9">
        <f t="shared" si="16"/>
        <v>50121.75298</v>
      </c>
      <c r="J246" s="9"/>
      <c r="K246" s="18"/>
      <c r="M246" s="36"/>
      <c r="N246" s="23"/>
      <c r="O246" s="23"/>
      <c r="P246" s="20"/>
      <c r="Q246" s="23"/>
      <c r="R246" s="24"/>
      <c r="T246" s="9"/>
    </row>
    <row r="247" spans="1:20" ht="12.75">
      <c r="A247" s="45"/>
      <c r="B247" s="23"/>
      <c r="C247" s="20"/>
      <c r="D247" s="30" t="s">
        <v>854</v>
      </c>
      <c r="E247" s="20">
        <v>-30914</v>
      </c>
      <c r="F247" s="23"/>
      <c r="G247" s="95">
        <v>0.86397</v>
      </c>
      <c r="I247" s="9">
        <f t="shared" si="16"/>
        <v>-26708.76858</v>
      </c>
      <c r="J247" s="9"/>
      <c r="K247" s="18"/>
      <c r="M247" s="36"/>
      <c r="N247" s="23"/>
      <c r="O247" s="23"/>
      <c r="P247" s="20"/>
      <c r="Q247" s="23"/>
      <c r="R247" s="24"/>
      <c r="T247" s="9"/>
    </row>
    <row r="248" spans="1:20" ht="12.75">
      <c r="A248" s="45"/>
      <c r="B248" s="25" t="s">
        <v>186</v>
      </c>
      <c r="C248" s="23"/>
      <c r="D248" s="30"/>
      <c r="E248" s="73" t="s">
        <v>135</v>
      </c>
      <c r="F248" s="23"/>
      <c r="G248" s="95"/>
      <c r="I248" s="8" t="s">
        <v>31</v>
      </c>
      <c r="J248" s="9"/>
      <c r="K248" s="18"/>
      <c r="M248" s="36" t="str">
        <f>+B248</f>
        <v>----------------------------------------------------</v>
      </c>
      <c r="O248" s="23"/>
      <c r="P248" s="73" t="s">
        <v>135</v>
      </c>
      <c r="Q248" s="23"/>
      <c r="R248" s="95"/>
      <c r="T248" s="8" t="s">
        <v>31</v>
      </c>
    </row>
    <row r="249" spans="1:20" ht="12.75">
      <c r="A249" s="45">
        <f>+A193</f>
        <v>41</v>
      </c>
      <c r="B249" s="30" t="s">
        <v>425</v>
      </c>
      <c r="C249" s="23"/>
      <c r="D249" s="30"/>
      <c r="E249" s="20">
        <f>SUM(E194:E248)</f>
        <v>-2142540</v>
      </c>
      <c r="F249" s="23"/>
      <c r="G249" s="95"/>
      <c r="I249" s="20">
        <f>SUM(I194:I248)</f>
        <v>-1846236.64463</v>
      </c>
      <c r="J249" s="9"/>
      <c r="K249" s="18">
        <f>+A249</f>
        <v>41</v>
      </c>
      <c r="M249" s="36" t="str">
        <f>+B249</f>
        <v>Total Adjustment</v>
      </c>
      <c r="O249" s="23"/>
      <c r="P249" s="20">
        <f>SUM(P194:P248)</f>
        <v>-1814998</v>
      </c>
      <c r="Q249" s="23"/>
      <c r="R249" s="95"/>
      <c r="T249" s="20">
        <f>SUM(T194:T248)</f>
        <v>-1814998</v>
      </c>
    </row>
    <row r="250" spans="1:20" ht="12.75">
      <c r="A250" s="45"/>
      <c r="B250" s="23"/>
      <c r="C250" s="23"/>
      <c r="D250" s="30"/>
      <c r="E250" s="20"/>
      <c r="F250" s="23"/>
      <c r="G250" s="95"/>
      <c r="I250" s="9"/>
      <c r="J250" s="9"/>
      <c r="K250" s="18"/>
      <c r="M250" s="36"/>
      <c r="O250" s="23"/>
      <c r="P250" s="20"/>
      <c r="Q250" s="23"/>
      <c r="R250" s="24"/>
      <c r="T250" s="9"/>
    </row>
    <row r="251" spans="1:20" ht="12.75">
      <c r="A251" s="45">
        <f>+A193+1</f>
        <v>42</v>
      </c>
      <c r="B251" s="29" t="s">
        <v>455</v>
      </c>
      <c r="C251" s="23"/>
      <c r="D251" s="30"/>
      <c r="E251" s="20"/>
      <c r="F251" s="23"/>
      <c r="G251" s="95"/>
      <c r="I251" s="9"/>
      <c r="J251" s="9"/>
      <c r="K251" s="20">
        <f>+A251</f>
        <v>42</v>
      </c>
      <c r="M251" s="35" t="str">
        <f aca="true" t="shared" si="18" ref="M251:M304">+B251</f>
        <v>O&amp;M L&amp;P Synergies</v>
      </c>
      <c r="N251" s="23"/>
      <c r="O251" s="23"/>
      <c r="P251" s="20"/>
      <c r="Q251" s="23"/>
      <c r="R251" s="24"/>
      <c r="T251" s="9"/>
    </row>
    <row r="252" spans="1:20" ht="12.75">
      <c r="A252" s="45"/>
      <c r="B252" s="23"/>
      <c r="C252" s="23"/>
      <c r="D252" s="30"/>
      <c r="E252" s="20"/>
      <c r="F252" s="23"/>
      <c r="G252" s="95">
        <v>1</v>
      </c>
      <c r="I252" s="9">
        <f>+E252*G252</f>
        <v>0</v>
      </c>
      <c r="J252" s="9"/>
      <c r="K252" s="18"/>
      <c r="M252" s="36">
        <f t="shared" si="18"/>
        <v>0</v>
      </c>
      <c r="N252" s="23"/>
      <c r="O252" s="23"/>
      <c r="P252" s="20">
        <v>178093</v>
      </c>
      <c r="Q252" s="23"/>
      <c r="R252" s="24">
        <v>1</v>
      </c>
      <c r="T252" s="9">
        <f>+P252*R252</f>
        <v>178093</v>
      </c>
    </row>
    <row r="253" spans="1:20" ht="12.75">
      <c r="A253" s="45"/>
      <c r="B253" s="23"/>
      <c r="C253" s="23"/>
      <c r="D253" s="30"/>
      <c r="E253" s="20"/>
      <c r="F253" s="23"/>
      <c r="G253" s="95">
        <v>1</v>
      </c>
      <c r="I253" s="9">
        <f aca="true" t="shared" si="19" ref="I253:I304">+E253*G253</f>
        <v>0</v>
      </c>
      <c r="J253" s="9"/>
      <c r="K253" s="18"/>
      <c r="M253" s="36">
        <f t="shared" si="18"/>
        <v>0</v>
      </c>
      <c r="N253" s="23"/>
      <c r="O253" s="23"/>
      <c r="P253" s="20">
        <v>7033</v>
      </c>
      <c r="Q253" s="23"/>
      <c r="R253" s="24">
        <v>1</v>
      </c>
      <c r="T253" s="9">
        <f>+P253*R253</f>
        <v>7033</v>
      </c>
    </row>
    <row r="254" spans="1:20" ht="12.75">
      <c r="A254" s="45"/>
      <c r="B254" s="23"/>
      <c r="C254" s="23"/>
      <c r="D254" s="30"/>
      <c r="E254" s="20"/>
      <c r="F254" s="23"/>
      <c r="G254" s="95">
        <v>1</v>
      </c>
      <c r="I254" s="9">
        <f t="shared" si="19"/>
        <v>0</v>
      </c>
      <c r="J254" s="9"/>
      <c r="K254" s="18"/>
      <c r="M254" s="36">
        <f t="shared" si="18"/>
        <v>0</v>
      </c>
      <c r="N254" s="23"/>
      <c r="O254" s="23"/>
      <c r="P254" s="20">
        <v>1361</v>
      </c>
      <c r="Q254" s="23"/>
      <c r="R254" s="24">
        <v>1</v>
      </c>
      <c r="T254" s="9">
        <f>+P254*R254</f>
        <v>1361</v>
      </c>
    </row>
    <row r="255" spans="1:20" ht="12.75">
      <c r="A255" s="45"/>
      <c r="B255" s="23"/>
      <c r="C255" s="23"/>
      <c r="D255" s="30"/>
      <c r="E255" s="20"/>
      <c r="F255" s="23"/>
      <c r="G255" s="95">
        <v>1</v>
      </c>
      <c r="I255" s="9">
        <f t="shared" si="19"/>
        <v>0</v>
      </c>
      <c r="J255" s="9"/>
      <c r="K255" s="18"/>
      <c r="M255" s="36">
        <f t="shared" si="18"/>
        <v>0</v>
      </c>
      <c r="N255" s="23"/>
      <c r="O255" s="23"/>
      <c r="P255" s="20">
        <v>907</v>
      </c>
      <c r="Q255" s="23"/>
      <c r="R255" s="24">
        <v>1</v>
      </c>
      <c r="T255" s="9">
        <f aca="true" t="shared" si="20" ref="T255:T301">+P255*R255</f>
        <v>907</v>
      </c>
    </row>
    <row r="256" spans="1:20" ht="12.75">
      <c r="A256" s="45"/>
      <c r="B256" s="23"/>
      <c r="C256" s="23"/>
      <c r="D256" s="30"/>
      <c r="E256" s="20"/>
      <c r="F256" s="23"/>
      <c r="G256" s="95">
        <v>1</v>
      </c>
      <c r="I256" s="9">
        <f t="shared" si="19"/>
        <v>0</v>
      </c>
      <c r="J256" s="9"/>
      <c r="K256" s="18"/>
      <c r="M256" s="36">
        <f t="shared" si="18"/>
        <v>0</v>
      </c>
      <c r="N256" s="23"/>
      <c r="O256" s="23"/>
      <c r="P256" s="20">
        <v>60523</v>
      </c>
      <c r="Q256" s="23"/>
      <c r="R256" s="24">
        <v>1</v>
      </c>
      <c r="T256" s="9">
        <f t="shared" si="20"/>
        <v>60523</v>
      </c>
    </row>
    <row r="257" spans="1:20" ht="12.75">
      <c r="A257" s="45"/>
      <c r="B257" s="23"/>
      <c r="C257" s="23"/>
      <c r="D257" s="30"/>
      <c r="E257" s="20"/>
      <c r="F257" s="23"/>
      <c r="G257" s="95">
        <v>1</v>
      </c>
      <c r="I257" s="9">
        <f t="shared" si="19"/>
        <v>0</v>
      </c>
      <c r="J257" s="9"/>
      <c r="K257" s="18"/>
      <c r="M257" s="36">
        <f t="shared" si="18"/>
        <v>0</v>
      </c>
      <c r="N257" s="23"/>
      <c r="O257" s="23"/>
      <c r="P257" s="20">
        <v>6666</v>
      </c>
      <c r="Q257" s="23"/>
      <c r="R257" s="24">
        <v>1</v>
      </c>
      <c r="T257" s="9">
        <f t="shared" si="20"/>
        <v>6666</v>
      </c>
    </row>
    <row r="258" spans="1:20" ht="12.75">
      <c r="A258" s="45"/>
      <c r="B258" s="23"/>
      <c r="C258" s="23"/>
      <c r="D258" s="30"/>
      <c r="E258" s="20"/>
      <c r="F258" s="23"/>
      <c r="G258" s="95">
        <v>1</v>
      </c>
      <c r="I258" s="9">
        <f t="shared" si="19"/>
        <v>0</v>
      </c>
      <c r="J258" s="9"/>
      <c r="K258" s="18"/>
      <c r="M258" s="36">
        <f t="shared" si="18"/>
        <v>0</v>
      </c>
      <c r="N258" s="23"/>
      <c r="O258" s="23"/>
      <c r="P258" s="20">
        <v>1728</v>
      </c>
      <c r="Q258" s="23"/>
      <c r="R258" s="24">
        <v>1</v>
      </c>
      <c r="T258" s="9">
        <f t="shared" si="20"/>
        <v>1728</v>
      </c>
    </row>
    <row r="259" spans="1:20" ht="12.75">
      <c r="A259" s="45"/>
      <c r="B259" s="23"/>
      <c r="C259" s="23"/>
      <c r="D259" s="30"/>
      <c r="E259" s="20"/>
      <c r="F259" s="23"/>
      <c r="G259" s="95">
        <v>1</v>
      </c>
      <c r="I259" s="9">
        <f t="shared" si="19"/>
        <v>0</v>
      </c>
      <c r="J259" s="9"/>
      <c r="K259" s="18"/>
      <c r="M259" s="36">
        <f t="shared" si="18"/>
        <v>0</v>
      </c>
      <c r="N259" s="23"/>
      <c r="O259" s="23"/>
      <c r="P259" s="20">
        <v>2222</v>
      </c>
      <c r="Q259" s="23"/>
      <c r="R259" s="24">
        <v>1</v>
      </c>
      <c r="T259" s="9">
        <f t="shared" si="20"/>
        <v>2222</v>
      </c>
    </row>
    <row r="260" spans="1:20" ht="12.75">
      <c r="A260" s="45"/>
      <c r="B260" s="23"/>
      <c r="C260" s="23"/>
      <c r="D260" s="30"/>
      <c r="E260" s="20"/>
      <c r="F260" s="23"/>
      <c r="G260" s="95">
        <v>1</v>
      </c>
      <c r="I260" s="9">
        <f t="shared" si="19"/>
        <v>0</v>
      </c>
      <c r="J260" s="9"/>
      <c r="K260" s="18"/>
      <c r="M260" s="36">
        <f t="shared" si="18"/>
        <v>0</v>
      </c>
      <c r="N260" s="23"/>
      <c r="O260" s="23"/>
      <c r="P260" s="20">
        <v>5678</v>
      </c>
      <c r="Q260" s="23"/>
      <c r="R260" s="24">
        <v>1</v>
      </c>
      <c r="T260" s="9">
        <f t="shared" si="20"/>
        <v>5678</v>
      </c>
    </row>
    <row r="261" spans="1:20" ht="12.75">
      <c r="A261" s="45"/>
      <c r="B261" s="23"/>
      <c r="C261" s="23"/>
      <c r="D261" s="30"/>
      <c r="E261" s="20"/>
      <c r="F261" s="23"/>
      <c r="G261" s="95">
        <v>1</v>
      </c>
      <c r="I261" s="9">
        <f t="shared" si="19"/>
        <v>0</v>
      </c>
      <c r="J261" s="9"/>
      <c r="K261" s="18"/>
      <c r="M261" s="36">
        <f t="shared" si="18"/>
        <v>0</v>
      </c>
      <c r="N261" s="23"/>
      <c r="O261" s="23"/>
      <c r="P261" s="20">
        <v>31264</v>
      </c>
      <c r="Q261" s="23"/>
      <c r="R261" s="24">
        <v>1</v>
      </c>
      <c r="T261" s="9">
        <f t="shared" si="20"/>
        <v>31264</v>
      </c>
    </row>
    <row r="262" spans="1:20" ht="12.75">
      <c r="A262" s="45"/>
      <c r="B262" s="23"/>
      <c r="C262" s="23"/>
      <c r="D262" s="30"/>
      <c r="E262" s="20"/>
      <c r="F262" s="23"/>
      <c r="G262" s="95">
        <v>1</v>
      </c>
      <c r="I262" s="9">
        <f t="shared" si="19"/>
        <v>0</v>
      </c>
      <c r="J262" s="9"/>
      <c r="K262" s="18"/>
      <c r="M262" s="36">
        <f t="shared" si="18"/>
        <v>0</v>
      </c>
      <c r="N262" s="23"/>
      <c r="O262" s="23"/>
      <c r="P262" s="20">
        <v>7196</v>
      </c>
      <c r="Q262" s="23"/>
      <c r="R262" s="24">
        <v>1</v>
      </c>
      <c r="T262" s="9">
        <f t="shared" si="20"/>
        <v>7196</v>
      </c>
    </row>
    <row r="263" spans="1:20" ht="12.75">
      <c r="A263" s="45"/>
      <c r="B263" s="23"/>
      <c r="C263" s="23"/>
      <c r="D263" s="30"/>
      <c r="E263" s="20"/>
      <c r="F263" s="23"/>
      <c r="G263" s="95">
        <v>1</v>
      </c>
      <c r="I263" s="9">
        <f t="shared" si="19"/>
        <v>0</v>
      </c>
      <c r="J263" s="9"/>
      <c r="K263" s="18"/>
      <c r="M263" s="36">
        <f t="shared" si="18"/>
        <v>0</v>
      </c>
      <c r="N263" s="23"/>
      <c r="O263" s="23"/>
      <c r="P263" s="20">
        <v>22466</v>
      </c>
      <c r="Q263" s="23"/>
      <c r="R263" s="24">
        <v>1</v>
      </c>
      <c r="T263" s="9">
        <f t="shared" si="20"/>
        <v>22466</v>
      </c>
    </row>
    <row r="264" spans="1:20" ht="12.75">
      <c r="A264" s="45"/>
      <c r="B264" s="23"/>
      <c r="C264" s="23"/>
      <c r="D264" s="30"/>
      <c r="E264" s="20"/>
      <c r="F264" s="23"/>
      <c r="G264" s="95">
        <v>1</v>
      </c>
      <c r="I264" s="9">
        <f t="shared" si="19"/>
        <v>0</v>
      </c>
      <c r="J264" s="9"/>
      <c r="K264" s="18"/>
      <c r="M264" s="36">
        <f t="shared" si="18"/>
        <v>0</v>
      </c>
      <c r="N264" s="23"/>
      <c r="O264" s="23"/>
      <c r="P264" s="20">
        <v>741</v>
      </c>
      <c r="Q264" s="23"/>
      <c r="R264" s="24">
        <v>1</v>
      </c>
      <c r="T264" s="9">
        <f t="shared" si="20"/>
        <v>741</v>
      </c>
    </row>
    <row r="265" spans="1:20" ht="12.75">
      <c r="A265" s="45"/>
      <c r="B265" s="23"/>
      <c r="C265" s="23"/>
      <c r="D265" s="30"/>
      <c r="E265" s="20"/>
      <c r="F265" s="23"/>
      <c r="G265" s="95">
        <v>1</v>
      </c>
      <c r="I265" s="9">
        <f t="shared" si="19"/>
        <v>0</v>
      </c>
      <c r="J265" s="9"/>
      <c r="K265" s="18"/>
      <c r="M265" s="36">
        <f t="shared" si="18"/>
        <v>0</v>
      </c>
      <c r="N265" s="23"/>
      <c r="O265" s="23"/>
      <c r="P265" s="20">
        <v>17775</v>
      </c>
      <c r="Q265" s="23"/>
      <c r="R265" s="24">
        <v>1</v>
      </c>
      <c r="T265" s="9">
        <f t="shared" si="20"/>
        <v>17775</v>
      </c>
    </row>
    <row r="266" spans="1:20" ht="12.75">
      <c r="A266" s="45"/>
      <c r="B266" s="23"/>
      <c r="C266" s="23"/>
      <c r="D266" s="30"/>
      <c r="E266" s="20"/>
      <c r="F266" s="23"/>
      <c r="G266" s="95">
        <v>1</v>
      </c>
      <c r="I266" s="9">
        <f t="shared" si="19"/>
        <v>0</v>
      </c>
      <c r="J266" s="9"/>
      <c r="K266" s="18"/>
      <c r="M266" s="36">
        <f t="shared" si="18"/>
        <v>0</v>
      </c>
      <c r="N266" s="23"/>
      <c r="O266" s="23"/>
      <c r="P266" s="20">
        <v>494</v>
      </c>
      <c r="Q266" s="23"/>
      <c r="R266" s="24">
        <v>1</v>
      </c>
      <c r="T266" s="9">
        <f t="shared" si="20"/>
        <v>494</v>
      </c>
    </row>
    <row r="267" spans="1:20" ht="12.75">
      <c r="A267" s="45"/>
      <c r="B267" s="23"/>
      <c r="C267" s="23"/>
      <c r="D267" s="30"/>
      <c r="E267" s="20"/>
      <c r="F267" s="23"/>
      <c r="G267" s="95">
        <v>1</v>
      </c>
      <c r="I267" s="9">
        <f t="shared" si="19"/>
        <v>0</v>
      </c>
      <c r="J267" s="9"/>
      <c r="K267" s="18"/>
      <c r="M267" s="36">
        <f t="shared" si="18"/>
        <v>0</v>
      </c>
      <c r="N267" s="23"/>
      <c r="O267" s="23"/>
      <c r="P267" s="20">
        <v>741</v>
      </c>
      <c r="Q267" s="23"/>
      <c r="R267" s="24">
        <v>1</v>
      </c>
      <c r="T267" s="9">
        <f t="shared" si="20"/>
        <v>741</v>
      </c>
    </row>
    <row r="268" spans="1:20" ht="12.75">
      <c r="A268" s="45"/>
      <c r="B268" s="23"/>
      <c r="C268" s="23"/>
      <c r="D268" s="30"/>
      <c r="E268" s="20"/>
      <c r="F268" s="23"/>
      <c r="G268" s="95">
        <v>1</v>
      </c>
      <c r="I268" s="9">
        <f t="shared" si="19"/>
        <v>0</v>
      </c>
      <c r="J268" s="9"/>
      <c r="K268" s="18"/>
      <c r="M268" s="36">
        <f t="shared" si="18"/>
        <v>0</v>
      </c>
      <c r="N268" s="23"/>
      <c r="O268" s="23"/>
      <c r="P268" s="20">
        <v>741</v>
      </c>
      <c r="Q268" s="23"/>
      <c r="R268" s="24">
        <v>1</v>
      </c>
      <c r="T268" s="9">
        <f t="shared" si="20"/>
        <v>741</v>
      </c>
    </row>
    <row r="269" spans="1:20" ht="12.75">
      <c r="A269" s="45"/>
      <c r="B269" s="23"/>
      <c r="C269" s="23"/>
      <c r="D269" s="30"/>
      <c r="E269" s="20"/>
      <c r="F269" s="23"/>
      <c r="G269" s="95">
        <v>1</v>
      </c>
      <c r="I269" s="9">
        <f t="shared" si="19"/>
        <v>0</v>
      </c>
      <c r="J269" s="9"/>
      <c r="K269" s="18"/>
      <c r="M269" s="36">
        <f t="shared" si="18"/>
        <v>0</v>
      </c>
      <c r="N269" s="23"/>
      <c r="O269" s="23"/>
      <c r="P269" s="20">
        <v>247</v>
      </c>
      <c r="Q269" s="23"/>
      <c r="R269" s="24">
        <v>1</v>
      </c>
      <c r="T269" s="9">
        <f t="shared" si="20"/>
        <v>247</v>
      </c>
    </row>
    <row r="270" spans="1:20" ht="12.75">
      <c r="A270" s="45"/>
      <c r="B270" s="23"/>
      <c r="C270" s="23"/>
      <c r="D270" s="30"/>
      <c r="E270" s="20"/>
      <c r="F270" s="23"/>
      <c r="G270" s="95">
        <v>1</v>
      </c>
      <c r="I270" s="9">
        <f t="shared" si="19"/>
        <v>0</v>
      </c>
      <c r="J270" s="9"/>
      <c r="K270" s="18"/>
      <c r="M270" s="36">
        <f t="shared" si="18"/>
        <v>0</v>
      </c>
      <c r="N270" s="23"/>
      <c r="O270" s="23"/>
      <c r="P270" s="20">
        <v>2222</v>
      </c>
      <c r="Q270" s="23"/>
      <c r="R270" s="24">
        <v>1</v>
      </c>
      <c r="T270" s="9">
        <f t="shared" si="20"/>
        <v>2222</v>
      </c>
    </row>
    <row r="271" spans="1:20" ht="12.75">
      <c r="A271" s="45"/>
      <c r="B271" s="23"/>
      <c r="C271" s="23"/>
      <c r="D271" s="30"/>
      <c r="E271" s="20"/>
      <c r="F271" s="23"/>
      <c r="G271" s="95">
        <v>1</v>
      </c>
      <c r="I271" s="9">
        <f t="shared" si="19"/>
        <v>0</v>
      </c>
      <c r="J271" s="9"/>
      <c r="K271" s="18"/>
      <c r="M271" s="36">
        <f t="shared" si="18"/>
        <v>0</v>
      </c>
      <c r="N271" s="23"/>
      <c r="O271" s="23"/>
      <c r="P271" s="20">
        <v>12951</v>
      </c>
      <c r="Q271" s="23"/>
      <c r="R271" s="24">
        <v>1</v>
      </c>
      <c r="T271" s="9">
        <f t="shared" si="20"/>
        <v>12951</v>
      </c>
    </row>
    <row r="272" spans="1:20" ht="12.75">
      <c r="A272" s="45"/>
      <c r="B272" s="23"/>
      <c r="C272" s="23"/>
      <c r="D272" s="30"/>
      <c r="E272" s="20"/>
      <c r="F272" s="23"/>
      <c r="G272" s="95">
        <v>1</v>
      </c>
      <c r="I272" s="9">
        <f t="shared" si="19"/>
        <v>0</v>
      </c>
      <c r="J272" s="9"/>
      <c r="K272" s="18"/>
      <c r="M272" s="36">
        <f t="shared" si="18"/>
        <v>0</v>
      </c>
      <c r="N272" s="23"/>
      <c r="O272" s="23"/>
      <c r="P272" s="20">
        <v>4483</v>
      </c>
      <c r="Q272" s="23"/>
      <c r="R272" s="24">
        <v>1</v>
      </c>
      <c r="T272" s="9">
        <f t="shared" si="20"/>
        <v>4483</v>
      </c>
    </row>
    <row r="273" spans="1:20" ht="12.75">
      <c r="A273" s="45"/>
      <c r="B273" s="23"/>
      <c r="C273" s="23"/>
      <c r="D273" s="30"/>
      <c r="E273" s="20"/>
      <c r="F273" s="23"/>
      <c r="G273" s="95">
        <v>1</v>
      </c>
      <c r="I273" s="9">
        <f t="shared" si="19"/>
        <v>0</v>
      </c>
      <c r="J273" s="9"/>
      <c r="K273" s="18"/>
      <c r="M273" s="36">
        <f t="shared" si="18"/>
        <v>0</v>
      </c>
      <c r="N273" s="23"/>
      <c r="O273" s="23"/>
      <c r="P273" s="20">
        <v>1743</v>
      </c>
      <c r="Q273" s="23"/>
      <c r="R273" s="24">
        <v>1</v>
      </c>
      <c r="T273" s="9">
        <f t="shared" si="20"/>
        <v>1743</v>
      </c>
    </row>
    <row r="274" spans="1:20" ht="12.75">
      <c r="A274" s="45"/>
      <c r="B274" s="23"/>
      <c r="C274" s="23"/>
      <c r="D274" s="30"/>
      <c r="E274" s="20"/>
      <c r="F274" s="23"/>
      <c r="G274" s="95">
        <v>1</v>
      </c>
      <c r="I274" s="9">
        <f t="shared" si="19"/>
        <v>0</v>
      </c>
      <c r="J274" s="9"/>
      <c r="K274" s="18"/>
      <c r="M274" s="36">
        <f t="shared" si="18"/>
        <v>0</v>
      </c>
      <c r="N274" s="23"/>
      <c r="O274" s="23"/>
      <c r="P274" s="20">
        <v>10211</v>
      </c>
      <c r="Q274" s="23"/>
      <c r="R274" s="24">
        <v>1</v>
      </c>
      <c r="T274" s="9">
        <f t="shared" si="20"/>
        <v>10211</v>
      </c>
    </row>
    <row r="275" spans="1:20" ht="12.75">
      <c r="A275" s="45"/>
      <c r="B275" s="23"/>
      <c r="C275" s="23"/>
      <c r="D275" s="30"/>
      <c r="E275" s="20"/>
      <c r="F275" s="23"/>
      <c r="G275" s="95">
        <v>1</v>
      </c>
      <c r="I275" s="9">
        <f t="shared" si="19"/>
        <v>0</v>
      </c>
      <c r="J275" s="9"/>
      <c r="K275" s="18"/>
      <c r="M275" s="36">
        <f t="shared" si="18"/>
        <v>0</v>
      </c>
      <c r="N275" s="23"/>
      <c r="O275" s="23"/>
      <c r="P275" s="20">
        <v>88164</v>
      </c>
      <c r="Q275" s="23"/>
      <c r="R275" s="24">
        <v>1</v>
      </c>
      <c r="T275" s="9">
        <f t="shared" si="20"/>
        <v>88164</v>
      </c>
    </row>
    <row r="276" spans="1:20" ht="12.75">
      <c r="A276" s="45"/>
      <c r="B276" s="23"/>
      <c r="C276" s="23"/>
      <c r="D276" s="30"/>
      <c r="E276" s="20"/>
      <c r="F276" s="23"/>
      <c r="G276" s="95">
        <v>1</v>
      </c>
      <c r="I276" s="9">
        <f t="shared" si="19"/>
        <v>0</v>
      </c>
      <c r="J276" s="9"/>
      <c r="K276" s="18"/>
      <c r="M276" s="36">
        <f t="shared" si="18"/>
        <v>0</v>
      </c>
      <c r="N276" s="23"/>
      <c r="O276" s="23"/>
      <c r="P276" s="20">
        <v>996</v>
      </c>
      <c r="Q276" s="23"/>
      <c r="R276" s="24">
        <v>1</v>
      </c>
      <c r="T276" s="9">
        <f t="shared" si="20"/>
        <v>996</v>
      </c>
    </row>
    <row r="277" spans="1:20" ht="12.75">
      <c r="A277" s="45"/>
      <c r="B277" s="23"/>
      <c r="C277" s="23"/>
      <c r="D277" s="30"/>
      <c r="E277" s="20"/>
      <c r="F277" s="23"/>
      <c r="G277" s="95">
        <v>1</v>
      </c>
      <c r="I277" s="9">
        <f t="shared" si="19"/>
        <v>0</v>
      </c>
      <c r="J277" s="9"/>
      <c r="K277" s="18"/>
      <c r="M277" s="36">
        <f t="shared" si="18"/>
        <v>0</v>
      </c>
      <c r="N277" s="23"/>
      <c r="O277" s="23"/>
      <c r="P277" s="20">
        <v>1743</v>
      </c>
      <c r="Q277" s="23"/>
      <c r="R277" s="24">
        <v>1</v>
      </c>
      <c r="T277" s="9">
        <f t="shared" si="20"/>
        <v>1743</v>
      </c>
    </row>
    <row r="278" spans="1:20" ht="12.75">
      <c r="A278" s="45"/>
      <c r="B278" s="23"/>
      <c r="C278" s="23"/>
      <c r="D278" s="30"/>
      <c r="E278" s="20"/>
      <c r="F278" s="23"/>
      <c r="G278" s="95">
        <v>1</v>
      </c>
      <c r="I278" s="9">
        <f t="shared" si="19"/>
        <v>0</v>
      </c>
      <c r="J278" s="9"/>
      <c r="K278" s="18"/>
      <c r="M278" s="36">
        <f t="shared" si="18"/>
        <v>0</v>
      </c>
      <c r="N278" s="23"/>
      <c r="O278" s="23"/>
      <c r="P278" s="20">
        <v>1245</v>
      </c>
      <c r="Q278" s="23"/>
      <c r="R278" s="24">
        <v>1</v>
      </c>
      <c r="T278" s="9">
        <f t="shared" si="20"/>
        <v>1245</v>
      </c>
    </row>
    <row r="279" spans="1:20" ht="12.75">
      <c r="A279" s="45"/>
      <c r="B279" s="23"/>
      <c r="C279" s="23"/>
      <c r="D279" s="30"/>
      <c r="E279" s="20"/>
      <c r="F279" s="23"/>
      <c r="G279" s="95">
        <v>1</v>
      </c>
      <c r="I279" s="9">
        <f t="shared" si="19"/>
        <v>0</v>
      </c>
      <c r="J279" s="9"/>
      <c r="K279" s="18"/>
      <c r="M279" s="36">
        <f t="shared" si="18"/>
        <v>0</v>
      </c>
      <c r="N279" s="23"/>
      <c r="O279" s="23"/>
      <c r="P279" s="20">
        <v>2740</v>
      </c>
      <c r="Q279" s="23"/>
      <c r="R279" s="24">
        <v>1</v>
      </c>
      <c r="T279" s="9">
        <f t="shared" si="20"/>
        <v>2740</v>
      </c>
    </row>
    <row r="280" spans="1:20" ht="12.75">
      <c r="A280" s="45"/>
      <c r="B280" s="23"/>
      <c r="C280" s="23"/>
      <c r="D280" s="30"/>
      <c r="E280" s="20"/>
      <c r="F280" s="23"/>
      <c r="G280" s="95">
        <v>1</v>
      </c>
      <c r="I280" s="9">
        <f t="shared" si="19"/>
        <v>0</v>
      </c>
      <c r="J280" s="9"/>
      <c r="K280" s="18"/>
      <c r="M280" s="36">
        <f t="shared" si="18"/>
        <v>0</v>
      </c>
      <c r="N280" s="23"/>
      <c r="O280" s="23"/>
      <c r="P280" s="20">
        <v>5255</v>
      </c>
      <c r="Q280" s="23"/>
      <c r="R280" s="24">
        <v>1</v>
      </c>
      <c r="T280" s="9">
        <f t="shared" si="20"/>
        <v>5255</v>
      </c>
    </row>
    <row r="281" spans="1:20" ht="12.75">
      <c r="A281" s="45"/>
      <c r="B281" s="23"/>
      <c r="C281" s="23"/>
      <c r="D281" s="30"/>
      <c r="E281" s="20"/>
      <c r="F281" s="23"/>
      <c r="G281" s="95">
        <v>1</v>
      </c>
      <c r="I281" s="9">
        <f t="shared" si="19"/>
        <v>0</v>
      </c>
      <c r="J281" s="9"/>
      <c r="K281" s="18"/>
      <c r="M281" s="36">
        <f t="shared" si="18"/>
        <v>0</v>
      </c>
      <c r="N281" s="23"/>
      <c r="O281" s="23"/>
      <c r="P281" s="20">
        <v>432</v>
      </c>
      <c r="Q281" s="23"/>
      <c r="R281" s="24">
        <v>1</v>
      </c>
      <c r="T281" s="9">
        <f t="shared" si="20"/>
        <v>432</v>
      </c>
    </row>
    <row r="282" spans="1:20" ht="12.75">
      <c r="A282" s="45"/>
      <c r="B282" s="23"/>
      <c r="C282" s="23"/>
      <c r="D282" s="30"/>
      <c r="E282" s="20"/>
      <c r="F282" s="23"/>
      <c r="G282" s="95">
        <v>1</v>
      </c>
      <c r="I282" s="9">
        <f t="shared" si="19"/>
        <v>0</v>
      </c>
      <c r="J282" s="9"/>
      <c r="K282" s="18"/>
      <c r="M282" s="36">
        <f t="shared" si="18"/>
        <v>0</v>
      </c>
      <c r="N282" s="23"/>
      <c r="O282" s="23"/>
      <c r="P282" s="20">
        <v>118883</v>
      </c>
      <c r="Q282" s="23"/>
      <c r="R282" s="24">
        <v>1</v>
      </c>
      <c r="T282" s="9">
        <f t="shared" si="20"/>
        <v>118883</v>
      </c>
    </row>
    <row r="283" spans="1:20" ht="12.75">
      <c r="A283" s="45"/>
      <c r="B283" s="23"/>
      <c r="C283" s="23"/>
      <c r="D283" s="30"/>
      <c r="E283" s="20"/>
      <c r="F283" s="23"/>
      <c r="G283" s="95">
        <v>1</v>
      </c>
      <c r="I283" s="9">
        <f t="shared" si="19"/>
        <v>0</v>
      </c>
      <c r="J283" s="9"/>
      <c r="K283" s="18"/>
      <c r="M283" s="36">
        <f t="shared" si="18"/>
        <v>0</v>
      </c>
      <c r="N283" s="23"/>
      <c r="O283" s="23"/>
      <c r="P283" s="20">
        <v>9737</v>
      </c>
      <c r="Q283" s="23"/>
      <c r="R283" s="24">
        <v>1</v>
      </c>
      <c r="T283" s="9">
        <f t="shared" si="20"/>
        <v>9737</v>
      </c>
    </row>
    <row r="284" spans="1:20" ht="12.75">
      <c r="A284" s="45"/>
      <c r="B284" s="23"/>
      <c r="C284" s="23"/>
      <c r="D284" s="30"/>
      <c r="E284" s="20"/>
      <c r="F284" s="23"/>
      <c r="G284" s="95">
        <v>1</v>
      </c>
      <c r="I284" s="9">
        <f t="shared" si="19"/>
        <v>0</v>
      </c>
      <c r="J284" s="9"/>
      <c r="K284" s="18"/>
      <c r="M284" s="36">
        <f t="shared" si="18"/>
        <v>0</v>
      </c>
      <c r="N284" s="23"/>
      <c r="O284" s="23"/>
      <c r="P284" s="20">
        <v>12918</v>
      </c>
      <c r="Q284" s="23"/>
      <c r="R284" s="24">
        <v>1</v>
      </c>
      <c r="T284" s="9">
        <f t="shared" si="20"/>
        <v>12918</v>
      </c>
    </row>
    <row r="285" spans="1:20" ht="12.75">
      <c r="A285" s="45"/>
      <c r="B285" s="23"/>
      <c r="C285" s="23"/>
      <c r="D285" s="30"/>
      <c r="E285" s="20"/>
      <c r="F285" s="23"/>
      <c r="G285" s="95">
        <v>1</v>
      </c>
      <c r="I285" s="9">
        <f t="shared" si="19"/>
        <v>0</v>
      </c>
      <c r="J285" s="9"/>
      <c r="K285" s="18"/>
      <c r="M285" s="36">
        <f t="shared" si="18"/>
        <v>0</v>
      </c>
      <c r="N285" s="23"/>
      <c r="O285" s="23"/>
      <c r="P285" s="20">
        <v>1815</v>
      </c>
      <c r="Q285" s="23"/>
      <c r="R285" s="24">
        <v>1</v>
      </c>
      <c r="T285" s="9">
        <f t="shared" si="20"/>
        <v>1815</v>
      </c>
    </row>
    <row r="286" spans="1:20" ht="12.75">
      <c r="A286" s="45"/>
      <c r="B286" s="23"/>
      <c r="C286" s="23"/>
      <c r="D286" s="30"/>
      <c r="E286" s="20"/>
      <c r="F286" s="23"/>
      <c r="G286" s="95">
        <v>1</v>
      </c>
      <c r="I286" s="9">
        <f t="shared" si="19"/>
        <v>0</v>
      </c>
      <c r="J286" s="9"/>
      <c r="K286" s="18"/>
      <c r="M286" s="36">
        <f t="shared" si="18"/>
        <v>0</v>
      </c>
      <c r="N286" s="23"/>
      <c r="O286" s="23"/>
      <c r="P286" s="20">
        <v>210</v>
      </c>
      <c r="Q286" s="23"/>
      <c r="R286" s="24">
        <v>1</v>
      </c>
      <c r="T286" s="9">
        <f t="shared" si="20"/>
        <v>210</v>
      </c>
    </row>
    <row r="287" spans="1:20" ht="12.75">
      <c r="A287" s="45"/>
      <c r="B287" s="23"/>
      <c r="C287" s="23"/>
      <c r="D287" s="30"/>
      <c r="E287" s="20"/>
      <c r="F287" s="23"/>
      <c r="G287" s="95">
        <v>1</v>
      </c>
      <c r="I287" s="9">
        <f t="shared" si="19"/>
        <v>0</v>
      </c>
      <c r="J287" s="9"/>
      <c r="K287" s="18"/>
      <c r="M287" s="36">
        <f t="shared" si="18"/>
        <v>0</v>
      </c>
      <c r="N287" s="23"/>
      <c r="O287" s="23"/>
      <c r="P287" s="20">
        <v>2495</v>
      </c>
      <c r="Q287" s="23"/>
      <c r="R287" s="24">
        <v>1</v>
      </c>
      <c r="T287" s="9">
        <f t="shared" si="20"/>
        <v>2495</v>
      </c>
    </row>
    <row r="288" spans="1:20" ht="12.75">
      <c r="A288" s="45"/>
      <c r="B288" s="23"/>
      <c r="C288" s="23"/>
      <c r="D288" s="30"/>
      <c r="E288" s="20"/>
      <c r="F288" s="23"/>
      <c r="G288" s="95">
        <v>1</v>
      </c>
      <c r="I288" s="9">
        <f t="shared" si="19"/>
        <v>0</v>
      </c>
      <c r="J288" s="9"/>
      <c r="K288" s="18"/>
      <c r="M288" s="36">
        <f t="shared" si="18"/>
        <v>0</v>
      </c>
      <c r="N288" s="23"/>
      <c r="O288" s="23"/>
      <c r="P288" s="20">
        <v>6303</v>
      </c>
      <c r="Q288" s="23"/>
      <c r="R288" s="24">
        <v>1</v>
      </c>
      <c r="T288" s="9">
        <f t="shared" si="20"/>
        <v>6303</v>
      </c>
    </row>
    <row r="289" spans="1:20" ht="12.75">
      <c r="A289" s="45"/>
      <c r="B289" s="23"/>
      <c r="C289" s="23"/>
      <c r="D289" s="30"/>
      <c r="E289" s="20"/>
      <c r="F289" s="23"/>
      <c r="G289" s="95">
        <v>1</v>
      </c>
      <c r="I289" s="9">
        <f t="shared" si="19"/>
        <v>0</v>
      </c>
      <c r="J289" s="9"/>
      <c r="K289" s="18"/>
      <c r="M289" s="36">
        <f t="shared" si="18"/>
        <v>0</v>
      </c>
      <c r="N289" s="23"/>
      <c r="O289" s="23"/>
      <c r="P289" s="20">
        <v>16418</v>
      </c>
      <c r="Q289" s="23"/>
      <c r="R289" s="24">
        <v>1</v>
      </c>
      <c r="T289" s="9">
        <f t="shared" si="20"/>
        <v>16418</v>
      </c>
    </row>
    <row r="290" spans="1:20" ht="12.75">
      <c r="A290" s="45"/>
      <c r="B290" s="23"/>
      <c r="C290" s="23"/>
      <c r="D290" s="30"/>
      <c r="E290" s="20"/>
      <c r="F290" s="23"/>
      <c r="G290" s="95">
        <v>1</v>
      </c>
      <c r="I290" s="9">
        <f t="shared" si="19"/>
        <v>0</v>
      </c>
      <c r="J290" s="9"/>
      <c r="K290" s="18"/>
      <c r="M290" s="36">
        <f t="shared" si="18"/>
        <v>0</v>
      </c>
      <c r="N290" s="23"/>
      <c r="O290" s="23"/>
      <c r="P290" s="20">
        <v>378381</v>
      </c>
      <c r="Q290" s="23"/>
      <c r="R290" s="24">
        <v>1</v>
      </c>
      <c r="T290" s="9">
        <f t="shared" si="20"/>
        <v>378381</v>
      </c>
    </row>
    <row r="291" spans="1:20" ht="12.75">
      <c r="A291" s="45"/>
      <c r="B291" s="23"/>
      <c r="C291" s="23"/>
      <c r="D291" s="30"/>
      <c r="E291" s="20"/>
      <c r="F291" s="23"/>
      <c r="G291" s="95">
        <v>1</v>
      </c>
      <c r="I291" s="9">
        <f t="shared" si="19"/>
        <v>0</v>
      </c>
      <c r="J291" s="9"/>
      <c r="K291" s="18"/>
      <c r="M291" s="36">
        <f t="shared" si="18"/>
        <v>0</v>
      </c>
      <c r="N291" s="23"/>
      <c r="O291" s="23"/>
      <c r="P291" s="20">
        <v>411879</v>
      </c>
      <c r="Q291" s="23"/>
      <c r="R291" s="24">
        <v>1</v>
      </c>
      <c r="T291" s="9">
        <f t="shared" si="20"/>
        <v>411879</v>
      </c>
    </row>
    <row r="292" spans="1:20" ht="12.75">
      <c r="A292" s="45"/>
      <c r="B292" s="23"/>
      <c r="C292" s="23"/>
      <c r="D292" s="30"/>
      <c r="E292" s="20"/>
      <c r="F292" s="23"/>
      <c r="G292" s="95">
        <v>1</v>
      </c>
      <c r="I292" s="9">
        <f t="shared" si="19"/>
        <v>0</v>
      </c>
      <c r="J292" s="9"/>
      <c r="K292" s="18"/>
      <c r="M292" s="36">
        <f t="shared" si="18"/>
        <v>0</v>
      </c>
      <c r="N292" s="23"/>
      <c r="O292" s="23"/>
      <c r="P292" s="20">
        <v>-2836</v>
      </c>
      <c r="Q292" s="23"/>
      <c r="R292" s="24">
        <v>1</v>
      </c>
      <c r="T292" s="9">
        <f t="shared" si="20"/>
        <v>-2836</v>
      </c>
    </row>
    <row r="293" spans="1:20" ht="12.75">
      <c r="A293" s="45"/>
      <c r="B293" s="23"/>
      <c r="C293" s="23"/>
      <c r="D293" s="30"/>
      <c r="E293" s="20"/>
      <c r="F293" s="23"/>
      <c r="G293" s="95">
        <v>1</v>
      </c>
      <c r="I293" s="9">
        <f t="shared" si="19"/>
        <v>0</v>
      </c>
      <c r="J293" s="9"/>
      <c r="K293" s="18"/>
      <c r="M293" s="36">
        <f t="shared" si="18"/>
        <v>0</v>
      </c>
      <c r="N293" s="23"/>
      <c r="O293" s="23"/>
      <c r="P293" s="20">
        <v>-23541</v>
      </c>
      <c r="Q293" s="23"/>
      <c r="R293" s="24">
        <v>1</v>
      </c>
      <c r="T293" s="9">
        <f t="shared" si="20"/>
        <v>-23541</v>
      </c>
    </row>
    <row r="294" spans="1:20" ht="12.75">
      <c r="A294" s="45"/>
      <c r="B294" s="23"/>
      <c r="C294" s="23"/>
      <c r="D294" s="30"/>
      <c r="E294" s="20"/>
      <c r="F294" s="23"/>
      <c r="G294" s="95">
        <v>1</v>
      </c>
      <c r="I294" s="9">
        <f t="shared" si="19"/>
        <v>0</v>
      </c>
      <c r="J294" s="9"/>
      <c r="K294" s="18"/>
      <c r="M294" s="36">
        <f t="shared" si="18"/>
        <v>0</v>
      </c>
      <c r="N294" s="23"/>
      <c r="O294" s="23"/>
      <c r="P294" s="20">
        <v>157195</v>
      </c>
      <c r="Q294" s="23"/>
      <c r="R294" s="24">
        <v>1</v>
      </c>
      <c r="T294" s="9">
        <f t="shared" si="20"/>
        <v>157195</v>
      </c>
    </row>
    <row r="295" spans="1:20" ht="12.75">
      <c r="A295" s="45"/>
      <c r="B295" s="23"/>
      <c r="C295" s="23"/>
      <c r="D295" s="30"/>
      <c r="E295" s="20"/>
      <c r="F295" s="23"/>
      <c r="G295" s="95">
        <v>1</v>
      </c>
      <c r="I295" s="9">
        <f t="shared" si="19"/>
        <v>0</v>
      </c>
      <c r="J295" s="9"/>
      <c r="K295" s="18"/>
      <c r="M295" s="36">
        <f t="shared" si="18"/>
        <v>0</v>
      </c>
      <c r="N295" s="23"/>
      <c r="O295" s="23"/>
      <c r="P295" s="20">
        <v>17715</v>
      </c>
      <c r="Q295" s="23"/>
      <c r="R295" s="24">
        <v>1</v>
      </c>
      <c r="T295" s="9">
        <f t="shared" si="20"/>
        <v>17715</v>
      </c>
    </row>
    <row r="296" spans="1:20" ht="12.75">
      <c r="A296" s="45"/>
      <c r="B296" s="23"/>
      <c r="C296" s="23"/>
      <c r="D296" s="30"/>
      <c r="E296" s="20"/>
      <c r="F296" s="23"/>
      <c r="G296" s="95">
        <v>1</v>
      </c>
      <c r="I296" s="9">
        <f t="shared" si="19"/>
        <v>0</v>
      </c>
      <c r="J296" s="9"/>
      <c r="K296" s="18"/>
      <c r="M296" s="36">
        <f t="shared" si="18"/>
        <v>0</v>
      </c>
      <c r="N296" s="23"/>
      <c r="O296" s="23"/>
      <c r="P296" s="20">
        <v>228494</v>
      </c>
      <c r="Q296" s="23"/>
      <c r="R296" s="24">
        <v>1</v>
      </c>
      <c r="T296" s="9">
        <f t="shared" si="20"/>
        <v>228494</v>
      </c>
    </row>
    <row r="297" spans="1:20" ht="12.75">
      <c r="A297" s="45"/>
      <c r="B297" s="23"/>
      <c r="C297" s="23"/>
      <c r="D297" s="30"/>
      <c r="E297" s="20"/>
      <c r="F297" s="23"/>
      <c r="G297" s="95">
        <v>1</v>
      </c>
      <c r="I297" s="9">
        <f t="shared" si="19"/>
        <v>0</v>
      </c>
      <c r="J297" s="9"/>
      <c r="K297" s="18"/>
      <c r="M297" s="36">
        <f t="shared" si="18"/>
        <v>0</v>
      </c>
      <c r="N297" s="23"/>
      <c r="O297" s="23"/>
      <c r="P297" s="20">
        <v>-410</v>
      </c>
      <c r="Q297" s="23"/>
      <c r="R297" s="24">
        <v>1</v>
      </c>
      <c r="T297" s="9">
        <f t="shared" si="20"/>
        <v>-410</v>
      </c>
    </row>
    <row r="298" spans="1:20" ht="12.75">
      <c r="A298" s="45"/>
      <c r="B298" s="23"/>
      <c r="C298" s="23"/>
      <c r="D298" s="30"/>
      <c r="E298" s="20"/>
      <c r="F298" s="23"/>
      <c r="G298" s="95">
        <v>1</v>
      </c>
      <c r="I298" s="9">
        <f t="shared" si="19"/>
        <v>0</v>
      </c>
      <c r="J298" s="9"/>
      <c r="K298" s="18"/>
      <c r="M298" s="36">
        <f t="shared" si="18"/>
        <v>0</v>
      </c>
      <c r="N298" s="23"/>
      <c r="O298" s="23"/>
      <c r="P298" s="20">
        <v>29420</v>
      </c>
      <c r="Q298" s="23"/>
      <c r="R298" s="24">
        <v>1</v>
      </c>
      <c r="T298" s="9">
        <f t="shared" si="20"/>
        <v>29420</v>
      </c>
    </row>
    <row r="299" spans="1:20" ht="12.75">
      <c r="A299" s="45"/>
      <c r="B299" s="23"/>
      <c r="C299" s="23"/>
      <c r="D299" s="30"/>
      <c r="E299" s="20"/>
      <c r="F299" s="23"/>
      <c r="G299" s="95">
        <v>1</v>
      </c>
      <c r="I299" s="9">
        <f t="shared" si="19"/>
        <v>0</v>
      </c>
      <c r="J299" s="9"/>
      <c r="K299" s="18"/>
      <c r="M299" s="36">
        <f t="shared" si="18"/>
        <v>0</v>
      </c>
      <c r="N299" s="23"/>
      <c r="O299" s="23"/>
      <c r="P299" s="20">
        <v>10091</v>
      </c>
      <c r="Q299" s="23"/>
      <c r="R299" s="24">
        <v>1</v>
      </c>
      <c r="T299" s="9">
        <f t="shared" si="20"/>
        <v>10091</v>
      </c>
    </row>
    <row r="300" spans="1:20" ht="12.75">
      <c r="A300" s="45"/>
      <c r="B300" s="23"/>
      <c r="C300" s="23"/>
      <c r="D300" s="30"/>
      <c r="E300" s="20"/>
      <c r="F300" s="23"/>
      <c r="G300" s="95">
        <v>1</v>
      </c>
      <c r="I300" s="9">
        <f t="shared" si="19"/>
        <v>0</v>
      </c>
      <c r="J300" s="9"/>
      <c r="K300" s="18"/>
      <c r="M300" s="36">
        <f t="shared" si="18"/>
        <v>0</v>
      </c>
      <c r="N300" s="23"/>
      <c r="O300" s="23"/>
      <c r="P300" s="20">
        <v>15197</v>
      </c>
      <c r="Q300" s="23"/>
      <c r="R300" s="24">
        <v>1</v>
      </c>
      <c r="T300" s="9">
        <f t="shared" si="20"/>
        <v>15197</v>
      </c>
    </row>
    <row r="301" spans="1:20" ht="12.75">
      <c r="A301" s="45"/>
      <c r="B301" s="23" t="s">
        <v>847</v>
      </c>
      <c r="C301" s="23"/>
      <c r="D301" s="30"/>
      <c r="E301" s="20"/>
      <c r="F301" s="23"/>
      <c r="G301" s="95">
        <v>1</v>
      </c>
      <c r="I301" s="9">
        <f t="shared" si="19"/>
        <v>0</v>
      </c>
      <c r="J301" s="9"/>
      <c r="K301" s="18"/>
      <c r="M301" s="36" t="str">
        <f t="shared" si="18"/>
        <v>To Depreciation</v>
      </c>
      <c r="N301" s="23"/>
      <c r="O301" s="23"/>
      <c r="P301" s="21">
        <v>-178093</v>
      </c>
      <c r="Q301" s="23"/>
      <c r="R301" s="24">
        <v>1</v>
      </c>
      <c r="T301" s="13">
        <f t="shared" si="20"/>
        <v>-178093</v>
      </c>
    </row>
    <row r="302" spans="1:20" ht="12.75">
      <c r="A302" s="45"/>
      <c r="B302" s="23" t="s">
        <v>859</v>
      </c>
      <c r="C302" s="23"/>
      <c r="D302" s="30"/>
      <c r="E302" s="20"/>
      <c r="F302" s="23"/>
      <c r="G302" s="95">
        <v>1</v>
      </c>
      <c r="I302" s="9">
        <f t="shared" si="19"/>
        <v>0</v>
      </c>
      <c r="J302" s="9"/>
      <c r="K302" s="18"/>
      <c r="M302" s="36" t="str">
        <f t="shared" si="18"/>
        <v>To Amortization</v>
      </c>
      <c r="N302" s="23"/>
      <c r="O302" s="23"/>
      <c r="P302" s="21">
        <v>-7033</v>
      </c>
      <c r="Q302" s="23"/>
      <c r="R302" s="24">
        <v>1</v>
      </c>
      <c r="T302" s="13">
        <f>+P302*R302</f>
        <v>-7033</v>
      </c>
    </row>
    <row r="303" spans="1:20" ht="12.75">
      <c r="A303" s="45"/>
      <c r="B303" s="23" t="s">
        <v>859</v>
      </c>
      <c r="C303" s="23"/>
      <c r="D303" s="30"/>
      <c r="E303" s="20"/>
      <c r="F303" s="23"/>
      <c r="G303" s="95">
        <v>1</v>
      </c>
      <c r="I303" s="9">
        <f t="shared" si="19"/>
        <v>0</v>
      </c>
      <c r="J303" s="9"/>
      <c r="K303" s="18"/>
      <c r="M303" s="36" t="str">
        <f t="shared" si="18"/>
        <v>To Amortization</v>
      </c>
      <c r="N303" s="23"/>
      <c r="O303" s="23"/>
      <c r="P303" s="21">
        <v>-1361</v>
      </c>
      <c r="Q303" s="23"/>
      <c r="R303" s="24">
        <v>1</v>
      </c>
      <c r="T303" s="13">
        <f>+P303*R303</f>
        <v>-1361</v>
      </c>
    </row>
    <row r="304" spans="1:20" ht="12.75">
      <c r="A304" s="45"/>
      <c r="B304" s="23" t="s">
        <v>859</v>
      </c>
      <c r="C304" s="23"/>
      <c r="D304" s="30"/>
      <c r="E304" s="20"/>
      <c r="F304" s="23"/>
      <c r="G304" s="95">
        <v>1</v>
      </c>
      <c r="I304" s="9">
        <f t="shared" si="19"/>
        <v>0</v>
      </c>
      <c r="J304" s="9"/>
      <c r="K304" s="18"/>
      <c r="M304" s="36" t="str">
        <f t="shared" si="18"/>
        <v>To Amortization</v>
      </c>
      <c r="N304" s="23"/>
      <c r="O304" s="23"/>
      <c r="P304" s="21">
        <v>-907</v>
      </c>
      <c r="Q304" s="23"/>
      <c r="R304" s="24">
        <v>1</v>
      </c>
      <c r="T304" s="13">
        <f>+P304*R304</f>
        <v>-907</v>
      </c>
    </row>
    <row r="305" spans="1:20" ht="12.75">
      <c r="A305" s="45"/>
      <c r="B305" s="25" t="s">
        <v>186</v>
      </c>
      <c r="C305" s="23"/>
      <c r="D305" s="30"/>
      <c r="E305" s="73" t="s">
        <v>135</v>
      </c>
      <c r="F305" s="23"/>
      <c r="G305" s="95"/>
      <c r="I305" s="8" t="s">
        <v>31</v>
      </c>
      <c r="J305" s="9"/>
      <c r="K305" s="18"/>
      <c r="M305" s="36" t="str">
        <f>+B305</f>
        <v>----------------------------------------------------</v>
      </c>
      <c r="O305" s="23"/>
      <c r="P305" s="73" t="s">
        <v>135</v>
      </c>
      <c r="Q305" s="23"/>
      <c r="R305" s="95"/>
      <c r="T305" s="8" t="s">
        <v>31</v>
      </c>
    </row>
    <row r="306" spans="1:20" ht="12.75">
      <c r="A306" s="45">
        <f>+A251</f>
        <v>42</v>
      </c>
      <c r="B306" s="30" t="s">
        <v>424</v>
      </c>
      <c r="C306" s="23"/>
      <c r="D306" s="30"/>
      <c r="E306" s="20">
        <f>SUM(E252:E305)</f>
        <v>0</v>
      </c>
      <c r="F306" s="23"/>
      <c r="G306" s="95"/>
      <c r="I306" s="20">
        <f>SUM(I251:I305)</f>
        <v>0</v>
      </c>
      <c r="J306" s="9"/>
      <c r="K306" s="18"/>
      <c r="M306" s="36" t="str">
        <f>+B306</f>
        <v>Total Adjustment </v>
      </c>
      <c r="O306" s="23"/>
      <c r="P306" s="20">
        <f>SUM(P252:P305)</f>
        <v>1681031</v>
      </c>
      <c r="Q306" s="23"/>
      <c r="R306" s="95"/>
      <c r="T306" s="20">
        <f>SUM(T251:T305)</f>
        <v>1681031</v>
      </c>
    </row>
    <row r="307" spans="1:20" ht="12.75">
      <c r="A307" s="45"/>
      <c r="B307" s="23"/>
      <c r="C307" s="23"/>
      <c r="D307" s="30"/>
      <c r="E307" s="20"/>
      <c r="F307" s="23"/>
      <c r="G307" s="95"/>
      <c r="I307" s="9"/>
      <c r="J307" s="9"/>
      <c r="K307" s="18"/>
      <c r="M307" s="36"/>
      <c r="O307" s="23"/>
      <c r="P307" s="20"/>
      <c r="Q307" s="23"/>
      <c r="R307" s="24"/>
      <c r="T307" s="9"/>
    </row>
    <row r="308" spans="1:20" ht="12.75">
      <c r="A308" s="45">
        <f>+A306+1</f>
        <v>43</v>
      </c>
      <c r="B308" s="29" t="s">
        <v>458</v>
      </c>
      <c r="C308" s="23"/>
      <c r="D308" s="30"/>
      <c r="E308" s="20"/>
      <c r="F308" s="23"/>
      <c r="G308" s="95"/>
      <c r="I308" s="9"/>
      <c r="J308" s="9"/>
      <c r="K308" s="18">
        <f>+A308</f>
        <v>43</v>
      </c>
      <c r="M308" s="35" t="str">
        <f aca="true" t="shared" si="21" ref="M308:M313">+B308</f>
        <v>Synergies from Joint Dispatch</v>
      </c>
      <c r="O308" s="23"/>
      <c r="P308" s="20">
        <v>2813710</v>
      </c>
      <c r="Q308" s="23"/>
      <c r="R308" s="24">
        <v>1</v>
      </c>
      <c r="T308" s="9">
        <f aca="true" t="shared" si="22" ref="T308:T313">+P308*R308</f>
        <v>2813710</v>
      </c>
    </row>
    <row r="309" spans="2:20" ht="12.75">
      <c r="B309" s="53"/>
      <c r="C309" s="23"/>
      <c r="D309" s="30"/>
      <c r="E309" s="20"/>
      <c r="F309" s="23"/>
      <c r="G309" s="95">
        <v>1</v>
      </c>
      <c r="I309" s="9">
        <f>+E309*G309</f>
        <v>0</v>
      </c>
      <c r="J309" s="9"/>
      <c r="K309" s="20"/>
      <c r="M309" s="36">
        <f t="shared" si="21"/>
        <v>0</v>
      </c>
      <c r="N309" s="23"/>
      <c r="O309" s="23"/>
      <c r="P309" s="20">
        <v>11983</v>
      </c>
      <c r="Q309" s="23"/>
      <c r="R309" s="24">
        <v>1</v>
      </c>
      <c r="T309" s="9">
        <f t="shared" si="22"/>
        <v>11983</v>
      </c>
    </row>
    <row r="310" spans="1:20" ht="12.75">
      <c r="A310" s="45"/>
      <c r="B310" s="53"/>
      <c r="C310" s="23"/>
      <c r="D310" s="30"/>
      <c r="E310" s="20"/>
      <c r="F310" s="23"/>
      <c r="G310" s="95">
        <v>1</v>
      </c>
      <c r="I310" s="9">
        <f>+E310*G310</f>
        <v>0</v>
      </c>
      <c r="J310" s="9"/>
      <c r="K310" s="20"/>
      <c r="M310" s="36">
        <f t="shared" si="21"/>
        <v>0</v>
      </c>
      <c r="N310" s="23"/>
      <c r="O310" s="23"/>
      <c r="P310" s="20">
        <v>1068076</v>
      </c>
      <c r="Q310" s="23"/>
      <c r="R310" s="24">
        <v>1</v>
      </c>
      <c r="T310" s="9">
        <f t="shared" si="22"/>
        <v>1068076</v>
      </c>
    </row>
    <row r="311" spans="1:20" ht="12.75">
      <c r="A311" s="45"/>
      <c r="B311" s="53"/>
      <c r="C311" s="23"/>
      <c r="D311" s="30"/>
      <c r="E311" s="20"/>
      <c r="F311" s="23"/>
      <c r="G311" s="95">
        <v>1</v>
      </c>
      <c r="I311" s="9">
        <f>+E311*G311</f>
        <v>0</v>
      </c>
      <c r="J311" s="9"/>
      <c r="K311" s="20"/>
      <c r="M311" s="36">
        <f t="shared" si="21"/>
        <v>0</v>
      </c>
      <c r="N311" s="23"/>
      <c r="O311" s="23"/>
      <c r="P311" s="20"/>
      <c r="Q311" s="23"/>
      <c r="R311" s="24"/>
      <c r="T311" s="9">
        <f t="shared" si="22"/>
        <v>0</v>
      </c>
    </row>
    <row r="312" spans="1:20" ht="12.75">
      <c r="A312" s="45"/>
      <c r="B312" s="23"/>
      <c r="C312" s="23"/>
      <c r="D312" s="30"/>
      <c r="E312" s="20"/>
      <c r="F312" s="23"/>
      <c r="G312" s="95">
        <v>1</v>
      </c>
      <c r="I312" s="9">
        <f>+E312*G312</f>
        <v>0</v>
      </c>
      <c r="J312" s="9"/>
      <c r="K312" s="18"/>
      <c r="M312" s="36">
        <f t="shared" si="21"/>
        <v>0</v>
      </c>
      <c r="N312" s="23"/>
      <c r="O312" s="23"/>
      <c r="P312" s="20"/>
      <c r="Q312" s="23"/>
      <c r="R312" s="24"/>
      <c r="T312" s="9">
        <f t="shared" si="22"/>
        <v>0</v>
      </c>
    </row>
    <row r="313" spans="1:20" ht="12.75">
      <c r="A313" s="45"/>
      <c r="B313" s="23"/>
      <c r="C313" s="23"/>
      <c r="D313" s="30"/>
      <c r="E313" s="20"/>
      <c r="F313" s="23"/>
      <c r="G313" s="95">
        <v>1</v>
      </c>
      <c r="I313" s="9">
        <f>+E313*G313</f>
        <v>0</v>
      </c>
      <c r="J313" s="9"/>
      <c r="K313" s="18"/>
      <c r="M313" s="36">
        <f t="shared" si="21"/>
        <v>0</v>
      </c>
      <c r="N313" s="23"/>
      <c r="O313" s="23"/>
      <c r="P313" s="20"/>
      <c r="Q313" s="23"/>
      <c r="R313" s="24"/>
      <c r="T313" s="9">
        <f t="shared" si="22"/>
        <v>0</v>
      </c>
    </row>
    <row r="314" spans="1:21" ht="12.75">
      <c r="A314" s="45"/>
      <c r="B314" s="25" t="s">
        <v>239</v>
      </c>
      <c r="C314" s="23"/>
      <c r="D314" s="30"/>
      <c r="E314" s="73" t="s">
        <v>134</v>
      </c>
      <c r="F314" s="23"/>
      <c r="G314" s="95"/>
      <c r="I314" s="32" t="s">
        <v>31</v>
      </c>
      <c r="J314" s="9"/>
      <c r="K314" s="18"/>
      <c r="M314" s="36" t="str">
        <f>+B314</f>
        <v>-----------------------------------------------------------</v>
      </c>
      <c r="O314" s="23"/>
      <c r="P314" s="73" t="s">
        <v>134</v>
      </c>
      <c r="Q314" s="23"/>
      <c r="R314" s="95"/>
      <c r="T314" s="32" t="s">
        <v>31</v>
      </c>
      <c r="U314" s="9"/>
    </row>
    <row r="315" spans="1:21" ht="12.75">
      <c r="A315" s="45">
        <f>+A308</f>
        <v>43</v>
      </c>
      <c r="B315" s="30" t="s">
        <v>425</v>
      </c>
      <c r="C315" s="23"/>
      <c r="D315" s="30"/>
      <c r="E315" s="20">
        <f>SUM(E309:E314)</f>
        <v>0</v>
      </c>
      <c r="F315" s="23"/>
      <c r="G315" s="95"/>
      <c r="I315" s="20">
        <f>SUM(I309:I314)</f>
        <v>0</v>
      </c>
      <c r="J315" s="9"/>
      <c r="K315" s="18">
        <f>+A315</f>
        <v>43</v>
      </c>
      <c r="M315" s="36" t="str">
        <f>+B315</f>
        <v>Total Adjustment</v>
      </c>
      <c r="O315" s="23"/>
      <c r="P315" s="20">
        <f>SUM(P308:P314)</f>
        <v>3893769</v>
      </c>
      <c r="Q315" s="23"/>
      <c r="R315" s="95"/>
      <c r="T315" s="20">
        <f>SUM(T308:T314)</f>
        <v>3893769</v>
      </c>
      <c r="U315" s="9"/>
    </row>
    <row r="316" spans="1:20" ht="12.75">
      <c r="A316" s="45"/>
      <c r="B316" s="23"/>
      <c r="C316" s="23"/>
      <c r="D316" s="30"/>
      <c r="E316" s="20"/>
      <c r="F316" s="23"/>
      <c r="G316" s="95"/>
      <c r="I316" s="9"/>
      <c r="J316" s="9"/>
      <c r="K316" s="18"/>
      <c r="M316" s="36"/>
      <c r="O316" s="23"/>
      <c r="P316" s="20"/>
      <c r="Q316" s="23"/>
      <c r="R316" s="24"/>
      <c r="T316" s="9"/>
    </row>
    <row r="317" spans="1:20" ht="12.75">
      <c r="A317" s="45">
        <f>+A315+1</f>
        <v>44</v>
      </c>
      <c r="B317" s="29" t="s">
        <v>459</v>
      </c>
      <c r="C317" s="23"/>
      <c r="D317" s="30" t="s">
        <v>688</v>
      </c>
      <c r="E317" s="20">
        <v>39527</v>
      </c>
      <c r="F317" s="23"/>
      <c r="G317" s="95">
        <v>0.9847</v>
      </c>
      <c r="I317" s="9">
        <f aca="true" t="shared" si="23" ref="I317:I323">+E317*G317</f>
        <v>38922.2369</v>
      </c>
      <c r="J317" s="9"/>
      <c r="K317" s="20">
        <f>+A317</f>
        <v>44</v>
      </c>
      <c r="M317" s="35" t="str">
        <f aca="true" t="shared" si="24" ref="M317:M322">+B317</f>
        <v>MPS Share of JEC' Employee Expense</v>
      </c>
      <c r="N317" s="23"/>
      <c r="O317" s="23"/>
      <c r="P317" s="20"/>
      <c r="Q317" s="23"/>
      <c r="R317" s="24"/>
      <c r="T317" s="9"/>
    </row>
    <row r="318" spans="1:20" ht="12.75">
      <c r="A318" s="45"/>
      <c r="B318" s="23"/>
      <c r="C318" s="23"/>
      <c r="D318" s="30" t="s">
        <v>689</v>
      </c>
      <c r="E318" s="20">
        <v>27573</v>
      </c>
      <c r="F318" s="23"/>
      <c r="G318" s="95">
        <v>0.9869</v>
      </c>
      <c r="I318" s="9">
        <f t="shared" si="23"/>
        <v>27211.7937</v>
      </c>
      <c r="J318" s="9"/>
      <c r="K318" s="18"/>
      <c r="M318" s="36">
        <f t="shared" si="24"/>
        <v>0</v>
      </c>
      <c r="N318" s="23"/>
      <c r="O318" s="23"/>
      <c r="P318" s="20">
        <v>6615</v>
      </c>
      <c r="Q318" s="23"/>
      <c r="R318" s="24">
        <v>1</v>
      </c>
      <c r="T318" s="9">
        <f aca="true" t="shared" si="25" ref="T318:T323">+P318*R318</f>
        <v>6615</v>
      </c>
    </row>
    <row r="319" spans="1:20" ht="12.75">
      <c r="A319" s="45"/>
      <c r="B319" s="23"/>
      <c r="C319" s="23"/>
      <c r="D319" s="30" t="s">
        <v>690</v>
      </c>
      <c r="E319" s="20">
        <v>29724</v>
      </c>
      <c r="F319" s="23"/>
      <c r="G319" s="95">
        <v>0.9869</v>
      </c>
      <c r="I319" s="9">
        <f t="shared" si="23"/>
        <v>29334.6156</v>
      </c>
      <c r="J319" s="9"/>
      <c r="K319" s="18"/>
      <c r="M319" s="36">
        <f t="shared" si="24"/>
        <v>0</v>
      </c>
      <c r="N319" s="23"/>
      <c r="O319" s="23"/>
      <c r="P319" s="20">
        <v>39314</v>
      </c>
      <c r="Q319" s="23"/>
      <c r="R319" s="24">
        <v>1</v>
      </c>
      <c r="T319" s="9">
        <f t="shared" si="25"/>
        <v>39314</v>
      </c>
    </row>
    <row r="320" spans="1:20" ht="12.75">
      <c r="A320" s="45"/>
      <c r="B320" s="23"/>
      <c r="C320" s="23"/>
      <c r="D320" s="30" t="s">
        <v>792</v>
      </c>
      <c r="E320" s="20">
        <v>6651</v>
      </c>
      <c r="F320" s="23"/>
      <c r="G320" s="95">
        <v>0.93106</v>
      </c>
      <c r="I320" s="9">
        <f t="shared" si="23"/>
        <v>6192.48006</v>
      </c>
      <c r="J320" s="9"/>
      <c r="K320" s="18"/>
      <c r="M320" s="36">
        <f t="shared" si="24"/>
        <v>0</v>
      </c>
      <c r="N320" s="23"/>
      <c r="O320" s="23"/>
      <c r="P320" s="20">
        <v>27287</v>
      </c>
      <c r="Q320" s="23"/>
      <c r="R320" s="24">
        <v>1</v>
      </c>
      <c r="T320" s="9">
        <f t="shared" si="25"/>
        <v>27287</v>
      </c>
    </row>
    <row r="321" spans="1:20" ht="12.75">
      <c r="A321" s="45"/>
      <c r="B321" s="23"/>
      <c r="C321" s="23"/>
      <c r="D321" s="30"/>
      <c r="E321" s="20"/>
      <c r="F321" s="23"/>
      <c r="G321" s="95"/>
      <c r="I321" s="9">
        <f t="shared" si="23"/>
        <v>0</v>
      </c>
      <c r="J321" s="9"/>
      <c r="K321" s="18"/>
      <c r="M321" s="36">
        <f t="shared" si="24"/>
        <v>0</v>
      </c>
      <c r="N321" s="23"/>
      <c r="O321" s="23"/>
      <c r="P321" s="20">
        <v>29415</v>
      </c>
      <c r="Q321" s="23"/>
      <c r="R321" s="24">
        <v>1</v>
      </c>
      <c r="T321" s="9">
        <f t="shared" si="25"/>
        <v>29415</v>
      </c>
    </row>
    <row r="322" spans="1:20" ht="12.75">
      <c r="A322" s="45"/>
      <c r="B322" s="23"/>
      <c r="C322" s="23"/>
      <c r="D322" s="30"/>
      <c r="E322" s="20"/>
      <c r="F322" s="23"/>
      <c r="G322" s="95"/>
      <c r="I322" s="9">
        <f t="shared" si="23"/>
        <v>0</v>
      </c>
      <c r="J322" s="9"/>
      <c r="K322" s="18"/>
      <c r="M322" s="36">
        <f t="shared" si="24"/>
        <v>0</v>
      </c>
      <c r="N322" s="23"/>
      <c r="O322" s="23"/>
      <c r="P322" s="20"/>
      <c r="Q322" s="23"/>
      <c r="R322" s="24"/>
      <c r="T322" s="9">
        <f t="shared" si="25"/>
        <v>0</v>
      </c>
    </row>
    <row r="323" spans="1:20" ht="12.75">
      <c r="A323" s="45"/>
      <c r="B323" s="29"/>
      <c r="C323" s="23"/>
      <c r="D323" s="30"/>
      <c r="E323" s="20"/>
      <c r="F323" s="23"/>
      <c r="G323" s="95"/>
      <c r="I323" s="9">
        <f t="shared" si="23"/>
        <v>0</v>
      </c>
      <c r="J323" s="9"/>
      <c r="K323" s="18"/>
      <c r="M323" s="35" t="s">
        <v>871</v>
      </c>
      <c r="N323" s="23"/>
      <c r="O323" s="23"/>
      <c r="P323" s="20">
        <v>-970</v>
      </c>
      <c r="Q323" s="23"/>
      <c r="R323" s="24">
        <v>1</v>
      </c>
      <c r="T323" s="13">
        <f t="shared" si="25"/>
        <v>-970</v>
      </c>
    </row>
    <row r="324" spans="1:21" ht="12.75">
      <c r="A324" s="45"/>
      <c r="B324" s="25" t="s">
        <v>144</v>
      </c>
      <c r="C324" s="23"/>
      <c r="D324" s="30"/>
      <c r="E324" s="32" t="s">
        <v>134</v>
      </c>
      <c r="F324" s="23"/>
      <c r="G324" s="95"/>
      <c r="I324" s="32" t="s">
        <v>134</v>
      </c>
      <c r="J324" s="9"/>
      <c r="K324" s="18"/>
      <c r="M324" s="36" t="str">
        <f>+B324</f>
        <v>----------------------------------------------------------------</v>
      </c>
      <c r="N324" s="23"/>
      <c r="O324" s="23"/>
      <c r="P324" s="32" t="s">
        <v>134</v>
      </c>
      <c r="Q324" s="23"/>
      <c r="R324" s="95"/>
      <c r="T324" s="32" t="s">
        <v>134</v>
      </c>
      <c r="U324" s="9"/>
    </row>
    <row r="325" spans="1:21" ht="12.75">
      <c r="A325" s="45">
        <f>+A317</f>
        <v>44</v>
      </c>
      <c r="B325" s="30" t="s">
        <v>425</v>
      </c>
      <c r="C325" s="23"/>
      <c r="D325" s="30"/>
      <c r="E325" s="20">
        <f>SUM(E317:E324)</f>
        <v>103475</v>
      </c>
      <c r="F325" s="23"/>
      <c r="G325" s="95"/>
      <c r="I325" s="20">
        <f>SUM(I317:I324)</f>
        <v>101661.12626</v>
      </c>
      <c r="J325" s="9"/>
      <c r="K325" s="18">
        <f>+A325</f>
        <v>44</v>
      </c>
      <c r="M325" s="36" t="str">
        <f>+B325</f>
        <v>Total Adjustment</v>
      </c>
      <c r="N325" s="23"/>
      <c r="O325" s="23"/>
      <c r="P325" s="20">
        <f>SUM(P317:P324)</f>
        <v>101661</v>
      </c>
      <c r="Q325" s="23"/>
      <c r="R325" s="95"/>
      <c r="T325" s="49">
        <f>SUM(T317:T324)</f>
        <v>101661</v>
      </c>
      <c r="U325" s="9"/>
    </row>
    <row r="326" spans="1:20" ht="12.75">
      <c r="A326" s="45"/>
      <c r="B326" s="23"/>
      <c r="C326" s="23"/>
      <c r="D326" s="30"/>
      <c r="E326" s="20"/>
      <c r="F326" s="23"/>
      <c r="G326" s="95"/>
      <c r="I326" s="9"/>
      <c r="J326" s="9"/>
      <c r="K326" s="18"/>
      <c r="M326" s="36"/>
      <c r="N326" s="23"/>
      <c r="O326" s="23"/>
      <c r="P326" s="20"/>
      <c r="Q326" s="23"/>
      <c r="R326" s="24"/>
      <c r="T326" s="9"/>
    </row>
    <row r="327" spans="1:20" ht="12.75">
      <c r="A327" s="45">
        <f>+A325+1</f>
        <v>45</v>
      </c>
      <c r="B327" s="29" t="s">
        <v>463</v>
      </c>
      <c r="C327" s="23"/>
      <c r="D327" s="30" t="s">
        <v>462</v>
      </c>
      <c r="E327" s="20">
        <v>18233</v>
      </c>
      <c r="F327" s="23"/>
      <c r="G327" s="95">
        <v>0.9869</v>
      </c>
      <c r="I327" s="9">
        <f aca="true" t="shared" si="26" ref="I327:I386">+E327*G327</f>
        <v>17994.1477</v>
      </c>
      <c r="J327" s="9"/>
      <c r="K327" s="18">
        <f>+A327</f>
        <v>45</v>
      </c>
      <c r="M327" s="35" t="str">
        <f>+B327</f>
        <v>Annualize Payroll at Sept. 30, 2003 </v>
      </c>
      <c r="N327" s="23"/>
      <c r="O327" s="23"/>
      <c r="P327" s="20">
        <v>37214</v>
      </c>
      <c r="Q327" s="23"/>
      <c r="R327" s="24">
        <v>1</v>
      </c>
      <c r="T327" s="9">
        <f aca="true" t="shared" si="27" ref="T327:T386">+P327*R327</f>
        <v>37214</v>
      </c>
    </row>
    <row r="328" spans="1:20" ht="12.75">
      <c r="A328" s="45"/>
      <c r="B328" s="23"/>
      <c r="C328" s="23"/>
      <c r="D328" s="30" t="s">
        <v>464</v>
      </c>
      <c r="E328" s="20">
        <v>11712</v>
      </c>
      <c r="F328" s="23"/>
      <c r="G328" s="95">
        <v>0.9869</v>
      </c>
      <c r="I328" s="9">
        <f t="shared" si="26"/>
        <v>11558.5728</v>
      </c>
      <c r="J328" s="9"/>
      <c r="K328" s="18"/>
      <c r="M328" s="36">
        <f>+B328</f>
        <v>0</v>
      </c>
      <c r="N328" s="23"/>
      <c r="O328" s="23"/>
      <c r="P328" s="20">
        <v>23904</v>
      </c>
      <c r="Q328" s="23"/>
      <c r="R328" s="24">
        <v>1</v>
      </c>
      <c r="T328" s="9">
        <f t="shared" si="27"/>
        <v>23904</v>
      </c>
    </row>
    <row r="329" spans="1:20" ht="12.75">
      <c r="A329" s="45"/>
      <c r="B329" s="23"/>
      <c r="C329" s="23"/>
      <c r="D329" s="30" t="s">
        <v>465</v>
      </c>
      <c r="E329" s="20">
        <v>4093</v>
      </c>
      <c r="F329" s="23"/>
      <c r="G329" s="95">
        <v>0.9869</v>
      </c>
      <c r="I329" s="9">
        <f t="shared" si="26"/>
        <v>4039.3817</v>
      </c>
      <c r="J329" s="9"/>
      <c r="K329" s="18"/>
      <c r="M329" s="36">
        <f aca="true" t="shared" si="28" ref="M329:M388">+B329</f>
        <v>0</v>
      </c>
      <c r="N329" s="23"/>
      <c r="O329" s="23"/>
      <c r="P329" s="20">
        <v>8353</v>
      </c>
      <c r="Q329" s="23"/>
      <c r="R329" s="24">
        <v>1</v>
      </c>
      <c r="T329" s="9">
        <f t="shared" si="27"/>
        <v>8353</v>
      </c>
    </row>
    <row r="330" spans="1:20" ht="12.75">
      <c r="A330" s="45"/>
      <c r="B330" s="23"/>
      <c r="C330" s="23"/>
      <c r="D330" s="30" t="s">
        <v>466</v>
      </c>
      <c r="E330" s="20">
        <v>13904</v>
      </c>
      <c r="F330" s="23"/>
      <c r="G330" s="95">
        <v>0.9869</v>
      </c>
      <c r="I330" s="9">
        <f t="shared" si="26"/>
        <v>13721.8576</v>
      </c>
      <c r="J330" s="9"/>
      <c r="K330" s="18"/>
      <c r="M330" s="36">
        <f t="shared" si="28"/>
        <v>0</v>
      </c>
      <c r="N330" s="23"/>
      <c r="O330" s="23"/>
      <c r="P330" s="20">
        <v>28378</v>
      </c>
      <c r="Q330" s="23"/>
      <c r="R330" s="24">
        <v>1</v>
      </c>
      <c r="T330" s="9">
        <f t="shared" si="27"/>
        <v>28378</v>
      </c>
    </row>
    <row r="331" spans="1:20" ht="12.75">
      <c r="A331" s="45"/>
      <c r="B331" s="23"/>
      <c r="C331" s="23"/>
      <c r="D331" s="30" t="s">
        <v>467</v>
      </c>
      <c r="E331" s="20">
        <v>12634</v>
      </c>
      <c r="F331" s="23"/>
      <c r="G331" s="95">
        <v>0.9869</v>
      </c>
      <c r="I331" s="9">
        <f t="shared" si="26"/>
        <v>12468.4946</v>
      </c>
      <c r="J331" s="9"/>
      <c r="K331" s="18"/>
      <c r="M331" s="36">
        <f t="shared" si="28"/>
        <v>0</v>
      </c>
      <c r="N331" s="23"/>
      <c r="O331" s="23"/>
      <c r="P331" s="20">
        <v>25786</v>
      </c>
      <c r="Q331" s="23"/>
      <c r="R331" s="24">
        <v>1</v>
      </c>
      <c r="T331" s="9">
        <f t="shared" si="27"/>
        <v>25786</v>
      </c>
    </row>
    <row r="332" spans="1:20" ht="12.75">
      <c r="A332" s="45"/>
      <c r="B332" s="23"/>
      <c r="C332" s="23"/>
      <c r="D332" s="30" t="s">
        <v>468</v>
      </c>
      <c r="E332" s="20">
        <v>2351</v>
      </c>
      <c r="F332" s="23"/>
      <c r="G332" s="95">
        <v>0.9869</v>
      </c>
      <c r="I332" s="9">
        <f t="shared" si="26"/>
        <v>2320.2019</v>
      </c>
      <c r="J332" s="9"/>
      <c r="K332" s="18"/>
      <c r="M332" s="36">
        <f t="shared" si="28"/>
        <v>0</v>
      </c>
      <c r="N332" s="23"/>
      <c r="O332" s="23"/>
      <c r="P332" s="20">
        <v>4798</v>
      </c>
      <c r="Q332" s="23"/>
      <c r="R332" s="24">
        <v>1</v>
      </c>
      <c r="T332" s="9">
        <f t="shared" si="27"/>
        <v>4798</v>
      </c>
    </row>
    <row r="333" spans="1:20" ht="12.75">
      <c r="A333" s="45"/>
      <c r="B333" s="23"/>
      <c r="C333" s="23"/>
      <c r="D333" s="30" t="s">
        <v>469</v>
      </c>
      <c r="E333" s="20">
        <v>19175</v>
      </c>
      <c r="F333" s="23"/>
      <c r="G333" s="95">
        <v>0.9869</v>
      </c>
      <c r="I333" s="9">
        <f t="shared" si="26"/>
        <v>18923.8075</v>
      </c>
      <c r="J333" s="9"/>
      <c r="K333" s="18"/>
      <c r="M333" s="36">
        <f t="shared" si="28"/>
        <v>0</v>
      </c>
      <c r="N333" s="23"/>
      <c r="O333" s="23"/>
      <c r="P333" s="20">
        <v>39137</v>
      </c>
      <c r="Q333" s="23"/>
      <c r="R333" s="24">
        <v>1</v>
      </c>
      <c r="T333" s="9">
        <f t="shared" si="27"/>
        <v>39137</v>
      </c>
    </row>
    <row r="334" spans="1:20" ht="12.75">
      <c r="A334" s="45"/>
      <c r="B334" s="23"/>
      <c r="C334" s="23"/>
      <c r="D334" s="30" t="s">
        <v>470</v>
      </c>
      <c r="E334" s="20">
        <v>5216</v>
      </c>
      <c r="F334" s="23"/>
      <c r="G334" s="95">
        <v>0.9869</v>
      </c>
      <c r="I334" s="9">
        <f t="shared" si="26"/>
        <v>5147.6704</v>
      </c>
      <c r="J334" s="9"/>
      <c r="K334" s="18"/>
      <c r="M334" s="36">
        <f t="shared" si="28"/>
        <v>0</v>
      </c>
      <c r="N334" s="23"/>
      <c r="O334" s="23"/>
      <c r="P334" s="20">
        <v>10645</v>
      </c>
      <c r="Q334" s="23"/>
      <c r="R334" s="24">
        <v>1</v>
      </c>
      <c r="T334" s="9">
        <f t="shared" si="27"/>
        <v>10645</v>
      </c>
    </row>
    <row r="335" spans="1:20" ht="12.75">
      <c r="A335" s="45"/>
      <c r="B335" s="23"/>
      <c r="C335" s="23"/>
      <c r="D335" s="30" t="s">
        <v>471</v>
      </c>
      <c r="E335" s="20">
        <v>1281</v>
      </c>
      <c r="F335" s="23"/>
      <c r="G335" s="95">
        <v>0.9869</v>
      </c>
      <c r="I335" s="9">
        <f t="shared" si="26"/>
        <v>1264.2189</v>
      </c>
      <c r="J335" s="9"/>
      <c r="K335" s="18"/>
      <c r="M335" s="36">
        <f t="shared" si="28"/>
        <v>0</v>
      </c>
      <c r="N335" s="23"/>
      <c r="O335" s="23"/>
      <c r="P335" s="20">
        <v>2615</v>
      </c>
      <c r="Q335" s="23"/>
      <c r="R335" s="24">
        <v>1</v>
      </c>
      <c r="T335" s="9">
        <f t="shared" si="27"/>
        <v>2615</v>
      </c>
    </row>
    <row r="336" spans="1:20" ht="12.75">
      <c r="A336" s="45"/>
      <c r="B336" s="23"/>
      <c r="C336" s="23"/>
      <c r="D336" s="30" t="s">
        <v>472</v>
      </c>
      <c r="E336" s="20">
        <v>1325</v>
      </c>
      <c r="F336" s="23"/>
      <c r="G336" s="95">
        <v>0.9869</v>
      </c>
      <c r="I336" s="9">
        <f t="shared" si="26"/>
        <v>1307.6425</v>
      </c>
      <c r="J336" s="9"/>
      <c r="K336" s="18"/>
      <c r="M336" s="36">
        <f t="shared" si="28"/>
        <v>0</v>
      </c>
      <c r="N336" s="23"/>
      <c r="O336" s="23"/>
      <c r="P336" s="20">
        <v>2704</v>
      </c>
      <c r="Q336" s="23"/>
      <c r="R336" s="24">
        <v>1</v>
      </c>
      <c r="T336" s="9">
        <f t="shared" si="27"/>
        <v>2704</v>
      </c>
    </row>
    <row r="337" spans="1:20" ht="12.75">
      <c r="A337" s="45"/>
      <c r="B337" s="23"/>
      <c r="C337" s="23"/>
      <c r="D337" s="30" t="s">
        <v>473</v>
      </c>
      <c r="E337" s="20">
        <v>1061</v>
      </c>
      <c r="F337" s="23"/>
      <c r="G337" s="95">
        <v>0.9869</v>
      </c>
      <c r="I337" s="9">
        <f t="shared" si="26"/>
        <v>1047.1009</v>
      </c>
      <c r="J337" s="9"/>
      <c r="K337" s="18"/>
      <c r="M337" s="36">
        <f t="shared" si="28"/>
        <v>0</v>
      </c>
      <c r="N337" s="23"/>
      <c r="O337" s="23"/>
      <c r="P337" s="20">
        <v>2165</v>
      </c>
      <c r="Q337" s="23"/>
      <c r="R337" s="24">
        <v>1</v>
      </c>
      <c r="T337" s="9">
        <f t="shared" si="27"/>
        <v>2165</v>
      </c>
    </row>
    <row r="338" spans="1:20" ht="12.75">
      <c r="A338" s="45"/>
      <c r="B338" s="23"/>
      <c r="C338" s="23"/>
      <c r="D338" s="30" t="s">
        <v>474</v>
      </c>
      <c r="E338" s="20">
        <v>1953</v>
      </c>
      <c r="F338" s="23"/>
      <c r="G338" s="95">
        <v>0.9869</v>
      </c>
      <c r="I338" s="9">
        <f t="shared" si="26"/>
        <v>1927.4157</v>
      </c>
      <c r="J338" s="9"/>
      <c r="K338" s="18"/>
      <c r="M338" s="36">
        <f t="shared" si="28"/>
        <v>0</v>
      </c>
      <c r="N338" s="23"/>
      <c r="O338" s="23"/>
      <c r="P338" s="20">
        <v>3986</v>
      </c>
      <c r="Q338" s="23"/>
      <c r="R338" s="24">
        <v>1</v>
      </c>
      <c r="T338" s="9">
        <f t="shared" si="27"/>
        <v>3986</v>
      </c>
    </row>
    <row r="339" spans="1:20" ht="12.75">
      <c r="A339" s="45"/>
      <c r="B339" s="23"/>
      <c r="C339" s="23"/>
      <c r="D339" s="30" t="s">
        <v>475</v>
      </c>
      <c r="E339" s="20">
        <v>254</v>
      </c>
      <c r="F339" s="23"/>
      <c r="G339" s="95">
        <v>0.9869</v>
      </c>
      <c r="I339" s="9">
        <f t="shared" si="26"/>
        <v>250.6726</v>
      </c>
      <c r="J339" s="9"/>
      <c r="K339" s="18"/>
      <c r="M339" s="36">
        <f t="shared" si="28"/>
        <v>0</v>
      </c>
      <c r="N339" s="23"/>
      <c r="O339" s="23"/>
      <c r="P339" s="20">
        <v>519</v>
      </c>
      <c r="Q339" s="23"/>
      <c r="R339" s="24">
        <v>1</v>
      </c>
      <c r="T339" s="9">
        <f t="shared" si="27"/>
        <v>519</v>
      </c>
    </row>
    <row r="340" spans="1:20" ht="12.75">
      <c r="A340" s="45"/>
      <c r="B340" s="23"/>
      <c r="C340" s="23"/>
      <c r="D340" s="30" t="s">
        <v>476</v>
      </c>
      <c r="E340" s="20">
        <v>238</v>
      </c>
      <c r="F340" s="23"/>
      <c r="G340" s="95">
        <v>0.9869</v>
      </c>
      <c r="I340" s="9">
        <f t="shared" si="26"/>
        <v>234.8822</v>
      </c>
      <c r="J340" s="9"/>
      <c r="K340" s="18"/>
      <c r="M340" s="36">
        <f t="shared" si="28"/>
        <v>0</v>
      </c>
      <c r="N340" s="23"/>
      <c r="O340" s="23"/>
      <c r="P340" s="20">
        <v>485</v>
      </c>
      <c r="Q340" s="23"/>
      <c r="R340" s="24">
        <v>1</v>
      </c>
      <c r="T340" s="9">
        <f t="shared" si="27"/>
        <v>485</v>
      </c>
    </row>
    <row r="341" spans="1:20" ht="12.75">
      <c r="A341" s="45"/>
      <c r="B341" s="23"/>
      <c r="C341" s="23"/>
      <c r="D341" s="30" t="s">
        <v>477</v>
      </c>
      <c r="E341" s="20">
        <v>1752</v>
      </c>
      <c r="F341" s="23"/>
      <c r="G341" s="95">
        <v>0.9869</v>
      </c>
      <c r="I341" s="9">
        <f t="shared" si="26"/>
        <v>1729.0488</v>
      </c>
      <c r="J341" s="9"/>
      <c r="K341" s="18"/>
      <c r="M341" s="36">
        <f t="shared" si="28"/>
        <v>0</v>
      </c>
      <c r="N341" s="23"/>
      <c r="O341" s="23"/>
      <c r="P341" s="20">
        <v>3576</v>
      </c>
      <c r="Q341" s="23"/>
      <c r="R341" s="24">
        <v>1</v>
      </c>
      <c r="T341" s="9">
        <f t="shared" si="27"/>
        <v>3576</v>
      </c>
    </row>
    <row r="342" spans="1:20" ht="12.75">
      <c r="A342" s="45"/>
      <c r="B342" s="23"/>
      <c r="C342" s="23"/>
      <c r="D342" s="30" t="s">
        <v>478</v>
      </c>
      <c r="E342" s="20">
        <v>7718</v>
      </c>
      <c r="F342" s="23"/>
      <c r="G342" s="95">
        <v>0.9847</v>
      </c>
      <c r="I342" s="9">
        <f t="shared" si="26"/>
        <v>7599.9146</v>
      </c>
      <c r="J342" s="9"/>
      <c r="K342" s="18"/>
      <c r="M342" s="36">
        <f t="shared" si="28"/>
        <v>0</v>
      </c>
      <c r="N342" s="23"/>
      <c r="O342" s="23"/>
      <c r="P342" s="20">
        <v>15833</v>
      </c>
      <c r="Q342" s="23"/>
      <c r="R342" s="24">
        <v>1</v>
      </c>
      <c r="T342" s="9">
        <f t="shared" si="27"/>
        <v>15833</v>
      </c>
    </row>
    <row r="343" spans="1:20" ht="12.75">
      <c r="A343" s="45"/>
      <c r="B343" s="23"/>
      <c r="C343" s="23"/>
      <c r="D343" s="30" t="s">
        <v>479</v>
      </c>
      <c r="E343" s="20">
        <v>1395</v>
      </c>
      <c r="F343" s="23"/>
      <c r="G343" s="95">
        <v>0.9847</v>
      </c>
      <c r="I343" s="9">
        <f t="shared" si="26"/>
        <v>1373.6565</v>
      </c>
      <c r="J343" s="9"/>
      <c r="K343" s="18"/>
      <c r="M343" s="36">
        <f t="shared" si="28"/>
        <v>0</v>
      </c>
      <c r="N343" s="23"/>
      <c r="O343" s="23"/>
      <c r="P343" s="20">
        <v>2861</v>
      </c>
      <c r="Q343" s="23"/>
      <c r="R343" s="24">
        <v>1</v>
      </c>
      <c r="T343" s="9">
        <f t="shared" si="27"/>
        <v>2861</v>
      </c>
    </row>
    <row r="344" spans="1:20" ht="12.75">
      <c r="A344" s="45"/>
      <c r="B344" s="23"/>
      <c r="C344" s="23"/>
      <c r="D344" s="30" t="s">
        <v>480</v>
      </c>
      <c r="E344" s="20">
        <v>13</v>
      </c>
      <c r="F344" s="23"/>
      <c r="G344" s="95">
        <v>0.9869</v>
      </c>
      <c r="I344" s="9">
        <f t="shared" si="26"/>
        <v>12.8297</v>
      </c>
      <c r="J344" s="9"/>
      <c r="K344" s="18"/>
      <c r="M344" s="36">
        <f t="shared" si="28"/>
        <v>0</v>
      </c>
      <c r="N344" s="23"/>
      <c r="O344" s="23"/>
      <c r="P344" s="20">
        <v>27</v>
      </c>
      <c r="Q344" s="23"/>
      <c r="R344" s="24">
        <v>1</v>
      </c>
      <c r="T344" s="9">
        <f t="shared" si="27"/>
        <v>27</v>
      </c>
    </row>
    <row r="345" spans="1:20" ht="12.75">
      <c r="A345" s="45"/>
      <c r="B345" s="23"/>
      <c r="C345" s="23"/>
      <c r="D345" s="30" t="s">
        <v>481</v>
      </c>
      <c r="E345" s="20">
        <v>5404</v>
      </c>
      <c r="F345" s="23"/>
      <c r="G345" s="95">
        <v>0.9869</v>
      </c>
      <c r="I345" s="9">
        <f t="shared" si="26"/>
        <v>5333.2076</v>
      </c>
      <c r="J345" s="9"/>
      <c r="K345" s="18"/>
      <c r="M345" s="36">
        <f t="shared" si="28"/>
        <v>0</v>
      </c>
      <c r="N345" s="23"/>
      <c r="O345" s="23"/>
      <c r="P345" s="20">
        <v>11029</v>
      </c>
      <c r="Q345" s="23"/>
      <c r="R345" s="24">
        <v>1</v>
      </c>
      <c r="T345" s="9">
        <f t="shared" si="27"/>
        <v>11029</v>
      </c>
    </row>
    <row r="346" spans="1:20" ht="12.75">
      <c r="A346" s="45"/>
      <c r="B346" s="23"/>
      <c r="C346" s="23"/>
      <c r="D346" s="30" t="s">
        <v>482</v>
      </c>
      <c r="E346" s="20">
        <v>133</v>
      </c>
      <c r="F346" s="23"/>
      <c r="G346" s="95">
        <v>0.9869</v>
      </c>
      <c r="I346" s="9">
        <f t="shared" si="26"/>
        <v>131.2577</v>
      </c>
      <c r="J346" s="9"/>
      <c r="K346" s="18"/>
      <c r="M346" s="36">
        <f t="shared" si="28"/>
        <v>0</v>
      </c>
      <c r="N346" s="23"/>
      <c r="O346" s="23"/>
      <c r="P346" s="20">
        <v>272</v>
      </c>
      <c r="Q346" s="23"/>
      <c r="R346" s="24">
        <v>1</v>
      </c>
      <c r="T346" s="9">
        <f t="shared" si="27"/>
        <v>272</v>
      </c>
    </row>
    <row r="347" spans="1:20" ht="12.75">
      <c r="A347" s="45"/>
      <c r="B347" s="23"/>
      <c r="C347" s="23"/>
      <c r="D347" s="30" t="s">
        <v>483</v>
      </c>
      <c r="E347" s="20">
        <v>196</v>
      </c>
      <c r="F347" s="23"/>
      <c r="G347" s="95">
        <v>0.9869</v>
      </c>
      <c r="I347" s="9">
        <f t="shared" si="26"/>
        <v>193.4324</v>
      </c>
      <c r="J347" s="9"/>
      <c r="K347" s="18"/>
      <c r="M347" s="36">
        <f t="shared" si="28"/>
        <v>0</v>
      </c>
      <c r="N347" s="23"/>
      <c r="O347" s="23"/>
      <c r="P347" s="20">
        <v>400</v>
      </c>
      <c r="Q347" s="23"/>
      <c r="R347" s="24">
        <v>1</v>
      </c>
      <c r="T347" s="9">
        <f t="shared" si="27"/>
        <v>400</v>
      </c>
    </row>
    <row r="348" spans="1:20" ht="12.75">
      <c r="A348" s="45"/>
      <c r="B348" s="23"/>
      <c r="C348" s="23"/>
      <c r="D348" s="30" t="s">
        <v>484</v>
      </c>
      <c r="E348" s="20">
        <v>4979</v>
      </c>
      <c r="F348" s="23"/>
      <c r="G348" s="95">
        <v>0.9869</v>
      </c>
      <c r="I348" s="9">
        <f t="shared" si="26"/>
        <v>4913.7751</v>
      </c>
      <c r="J348" s="9"/>
      <c r="K348" s="18"/>
      <c r="M348" s="36">
        <f t="shared" si="28"/>
        <v>0</v>
      </c>
      <c r="N348" s="23"/>
      <c r="O348" s="23"/>
      <c r="P348" s="20">
        <v>10162</v>
      </c>
      <c r="Q348" s="23"/>
      <c r="R348" s="24">
        <v>1</v>
      </c>
      <c r="T348" s="9">
        <f t="shared" si="27"/>
        <v>10162</v>
      </c>
    </row>
    <row r="349" spans="1:20" ht="12.75">
      <c r="A349" s="45"/>
      <c r="B349" s="23"/>
      <c r="C349" s="23"/>
      <c r="D349" s="30" t="s">
        <v>485</v>
      </c>
      <c r="E349" s="20">
        <v>200</v>
      </c>
      <c r="F349" s="23"/>
      <c r="G349" s="95">
        <v>0.9869</v>
      </c>
      <c r="I349" s="9">
        <f t="shared" si="26"/>
        <v>197.38</v>
      </c>
      <c r="J349" s="9"/>
      <c r="K349" s="18"/>
      <c r="M349" s="36">
        <f t="shared" si="28"/>
        <v>0</v>
      </c>
      <c r="N349" s="23"/>
      <c r="O349" s="23"/>
      <c r="P349" s="20">
        <v>408</v>
      </c>
      <c r="Q349" s="23"/>
      <c r="R349" s="24">
        <v>1</v>
      </c>
      <c r="T349" s="9">
        <f t="shared" si="27"/>
        <v>408</v>
      </c>
    </row>
    <row r="350" spans="1:20" ht="12.75">
      <c r="A350" s="45"/>
      <c r="B350" s="23"/>
      <c r="C350" s="23"/>
      <c r="D350" s="30" t="s">
        <v>486</v>
      </c>
      <c r="E350" s="20">
        <v>3</v>
      </c>
      <c r="F350" s="23"/>
      <c r="G350" s="95">
        <v>0.9869</v>
      </c>
      <c r="I350" s="9">
        <f t="shared" si="26"/>
        <v>2.9607</v>
      </c>
      <c r="J350" s="9"/>
      <c r="K350" s="18"/>
      <c r="M350" s="36">
        <f t="shared" si="28"/>
        <v>0</v>
      </c>
      <c r="N350" s="23"/>
      <c r="O350" s="23"/>
      <c r="P350" s="20">
        <v>6</v>
      </c>
      <c r="Q350" s="23"/>
      <c r="R350" s="24">
        <v>1</v>
      </c>
      <c r="T350" s="9">
        <f t="shared" si="27"/>
        <v>6</v>
      </c>
    </row>
    <row r="351" spans="1:20" ht="12.75">
      <c r="A351" s="45"/>
      <c r="B351" s="23"/>
      <c r="C351" s="23"/>
      <c r="D351" s="30" t="s">
        <v>487</v>
      </c>
      <c r="E351" s="20">
        <v>1837</v>
      </c>
      <c r="F351" s="23"/>
      <c r="G351" s="95">
        <v>0.9869</v>
      </c>
      <c r="I351" s="9">
        <f t="shared" si="26"/>
        <v>1812.9353</v>
      </c>
      <c r="J351" s="9"/>
      <c r="K351" s="18"/>
      <c r="M351" s="36">
        <f t="shared" si="28"/>
        <v>0</v>
      </c>
      <c r="N351" s="23"/>
      <c r="O351" s="23"/>
      <c r="P351" s="20">
        <v>3750</v>
      </c>
      <c r="Q351" s="23"/>
      <c r="R351" s="24">
        <v>1</v>
      </c>
      <c r="T351" s="9">
        <f t="shared" si="27"/>
        <v>3750</v>
      </c>
    </row>
    <row r="352" spans="1:20" ht="12.75">
      <c r="A352" s="45"/>
      <c r="B352" s="23"/>
      <c r="C352" s="23"/>
      <c r="D352" s="30" t="s">
        <v>488</v>
      </c>
      <c r="E352" s="20">
        <v>451</v>
      </c>
      <c r="F352" s="23"/>
      <c r="G352" s="95">
        <v>0.9869</v>
      </c>
      <c r="I352" s="9">
        <f t="shared" si="26"/>
        <v>445.0919</v>
      </c>
      <c r="J352" s="9"/>
      <c r="K352" s="18"/>
      <c r="M352" s="36">
        <f t="shared" si="28"/>
        <v>0</v>
      </c>
      <c r="N352" s="23"/>
      <c r="O352" s="23"/>
      <c r="P352" s="20">
        <v>921</v>
      </c>
      <c r="Q352" s="23"/>
      <c r="R352" s="24">
        <v>1</v>
      </c>
      <c r="T352" s="9">
        <f t="shared" si="27"/>
        <v>921</v>
      </c>
    </row>
    <row r="353" spans="1:20" ht="12.75">
      <c r="A353" s="45"/>
      <c r="B353" s="23"/>
      <c r="C353" s="23"/>
      <c r="D353" s="30" t="s">
        <v>489</v>
      </c>
      <c r="E353" s="20">
        <v>624</v>
      </c>
      <c r="F353" s="23"/>
      <c r="G353" s="95">
        <v>0.9869</v>
      </c>
      <c r="I353" s="9">
        <f t="shared" si="26"/>
        <v>615.8256</v>
      </c>
      <c r="J353" s="9"/>
      <c r="K353" s="18"/>
      <c r="M353" s="36">
        <f t="shared" si="28"/>
        <v>0</v>
      </c>
      <c r="N353" s="23"/>
      <c r="O353" s="23"/>
      <c r="P353" s="20">
        <v>1275</v>
      </c>
      <c r="Q353" s="23"/>
      <c r="R353" s="24">
        <v>1</v>
      </c>
      <c r="T353" s="9">
        <f t="shared" si="27"/>
        <v>1275</v>
      </c>
    </row>
    <row r="354" spans="1:20" ht="12.75">
      <c r="A354" s="45"/>
      <c r="B354" s="23"/>
      <c r="C354" s="23"/>
      <c r="D354" s="30" t="s">
        <v>490</v>
      </c>
      <c r="E354" s="20">
        <v>12266</v>
      </c>
      <c r="F354" s="23"/>
      <c r="G354" s="95">
        <v>0.99833</v>
      </c>
      <c r="I354" s="9">
        <f t="shared" si="26"/>
        <v>12245.51578</v>
      </c>
      <c r="J354" s="9"/>
      <c r="K354" s="18"/>
      <c r="M354" s="36">
        <f t="shared" si="28"/>
        <v>0</v>
      </c>
      <c r="N354" s="23"/>
      <c r="O354" s="23"/>
      <c r="P354" s="20">
        <v>25255</v>
      </c>
      <c r="Q354" s="23"/>
      <c r="R354" s="24">
        <v>1</v>
      </c>
      <c r="T354" s="9">
        <f t="shared" si="27"/>
        <v>25255</v>
      </c>
    </row>
    <row r="355" spans="1:20" ht="12.75">
      <c r="A355" s="45"/>
      <c r="B355" s="23"/>
      <c r="C355" s="23"/>
      <c r="D355" s="30" t="s">
        <v>491</v>
      </c>
      <c r="E355" s="20">
        <v>1074</v>
      </c>
      <c r="F355" s="23"/>
      <c r="G355" s="95">
        <v>0.99833</v>
      </c>
      <c r="I355" s="9">
        <f t="shared" si="26"/>
        <v>1072.20642</v>
      </c>
      <c r="J355" s="9"/>
      <c r="K355" s="18"/>
      <c r="M355" s="36">
        <f t="shared" si="28"/>
        <v>0</v>
      </c>
      <c r="N355" s="23"/>
      <c r="O355" s="23"/>
      <c r="P355" s="20">
        <v>2211</v>
      </c>
      <c r="Q355" s="23"/>
      <c r="R355" s="24">
        <v>1</v>
      </c>
      <c r="T355" s="9">
        <f t="shared" si="27"/>
        <v>2211</v>
      </c>
    </row>
    <row r="356" spans="1:20" ht="12.75">
      <c r="A356" s="45"/>
      <c r="B356" s="23"/>
      <c r="C356" s="23"/>
      <c r="D356" s="30" t="s">
        <v>492</v>
      </c>
      <c r="E356" s="20">
        <v>643</v>
      </c>
      <c r="F356" s="23"/>
      <c r="G356" s="95">
        <v>0.99833</v>
      </c>
      <c r="I356" s="9">
        <f t="shared" si="26"/>
        <v>641.92619</v>
      </c>
      <c r="J356" s="9"/>
      <c r="K356" s="18"/>
      <c r="M356" s="36">
        <f t="shared" si="28"/>
        <v>0</v>
      </c>
      <c r="N356" s="23"/>
      <c r="O356" s="23"/>
      <c r="P356" s="20">
        <v>1323</v>
      </c>
      <c r="Q356" s="23"/>
      <c r="R356" s="24">
        <v>1</v>
      </c>
      <c r="T356" s="9">
        <f t="shared" si="27"/>
        <v>1323</v>
      </c>
    </row>
    <row r="357" spans="1:20" ht="12.75">
      <c r="A357" s="45"/>
      <c r="B357" s="23"/>
      <c r="C357" s="23"/>
      <c r="D357" s="30" t="s">
        <v>493</v>
      </c>
      <c r="E357" s="20">
        <v>1205</v>
      </c>
      <c r="F357" s="23"/>
      <c r="G357" s="95">
        <v>0.99833</v>
      </c>
      <c r="I357" s="9">
        <f t="shared" si="26"/>
        <v>1202.98765</v>
      </c>
      <c r="J357" s="9"/>
      <c r="K357" s="18"/>
      <c r="M357" s="36">
        <f t="shared" si="28"/>
        <v>0</v>
      </c>
      <c r="N357" s="23"/>
      <c r="O357" s="23"/>
      <c r="P357" s="20">
        <v>2482</v>
      </c>
      <c r="Q357" s="23"/>
      <c r="R357" s="24">
        <v>1</v>
      </c>
      <c r="T357" s="9">
        <f t="shared" si="27"/>
        <v>2482</v>
      </c>
    </row>
    <row r="358" spans="1:20" ht="12.75">
      <c r="A358" s="45"/>
      <c r="B358" s="23"/>
      <c r="C358" s="23"/>
      <c r="D358" s="30" t="s">
        <v>494</v>
      </c>
      <c r="E358" s="20">
        <v>4492</v>
      </c>
      <c r="F358" s="23"/>
      <c r="G358" s="95">
        <v>0.99833</v>
      </c>
      <c r="I358" s="9">
        <f t="shared" si="26"/>
        <v>4484.4983600000005</v>
      </c>
      <c r="J358" s="9"/>
      <c r="K358" s="18"/>
      <c r="M358" s="36">
        <f t="shared" si="28"/>
        <v>0</v>
      </c>
      <c r="N358" s="23"/>
      <c r="O358" s="23"/>
      <c r="P358" s="20">
        <v>9248</v>
      </c>
      <c r="Q358" s="23"/>
      <c r="R358" s="24">
        <v>1</v>
      </c>
      <c r="T358" s="9">
        <f t="shared" si="27"/>
        <v>9248</v>
      </c>
    </row>
    <row r="359" spans="1:20" ht="12.75">
      <c r="A359" s="45"/>
      <c r="B359" s="23"/>
      <c r="C359" s="23"/>
      <c r="D359" s="30" t="s">
        <v>495</v>
      </c>
      <c r="E359" s="20">
        <v>2</v>
      </c>
      <c r="F359" s="23"/>
      <c r="G359" s="95">
        <v>0.99833</v>
      </c>
      <c r="I359" s="9">
        <f t="shared" si="26"/>
        <v>1.99666</v>
      </c>
      <c r="J359" s="9"/>
      <c r="K359" s="18"/>
      <c r="M359" s="36">
        <f t="shared" si="28"/>
        <v>0</v>
      </c>
      <c r="N359" s="23"/>
      <c r="O359" s="23"/>
      <c r="P359" s="20">
        <v>4</v>
      </c>
      <c r="Q359" s="23"/>
      <c r="R359" s="24">
        <v>1</v>
      </c>
      <c r="T359" s="9">
        <f t="shared" si="27"/>
        <v>4</v>
      </c>
    </row>
    <row r="360" spans="1:20" ht="12.75">
      <c r="A360" s="45"/>
      <c r="B360" s="23"/>
      <c r="C360" s="23"/>
      <c r="D360" s="30" t="s">
        <v>496</v>
      </c>
      <c r="E360" s="20">
        <v>13473</v>
      </c>
      <c r="F360" s="23"/>
      <c r="G360" s="95">
        <v>0.99833</v>
      </c>
      <c r="I360" s="9">
        <f t="shared" si="26"/>
        <v>13450.500090000001</v>
      </c>
      <c r="J360" s="9"/>
      <c r="K360" s="18"/>
      <c r="M360" s="36">
        <f t="shared" si="28"/>
        <v>0</v>
      </c>
      <c r="N360" s="23"/>
      <c r="O360" s="23"/>
      <c r="P360" s="20">
        <v>27741</v>
      </c>
      <c r="Q360" s="23"/>
      <c r="R360" s="24">
        <v>1</v>
      </c>
      <c r="T360" s="9">
        <f t="shared" si="27"/>
        <v>27741</v>
      </c>
    </row>
    <row r="361" spans="1:20" ht="12.75">
      <c r="A361" s="45"/>
      <c r="B361" s="23"/>
      <c r="C361" s="23"/>
      <c r="D361" s="30" t="s">
        <v>497</v>
      </c>
      <c r="E361" s="20">
        <v>730</v>
      </c>
      <c r="F361" s="23"/>
      <c r="G361" s="95">
        <v>0.99833</v>
      </c>
      <c r="I361" s="9">
        <f t="shared" si="26"/>
        <v>728.7809000000001</v>
      </c>
      <c r="J361" s="9"/>
      <c r="K361" s="18"/>
      <c r="M361" s="36">
        <f t="shared" si="28"/>
        <v>0</v>
      </c>
      <c r="N361" s="23"/>
      <c r="O361" s="23"/>
      <c r="P361" s="20">
        <v>1503</v>
      </c>
      <c r="Q361" s="23"/>
      <c r="R361" s="24">
        <v>1</v>
      </c>
      <c r="T361" s="9">
        <f t="shared" si="27"/>
        <v>1503</v>
      </c>
    </row>
    <row r="362" spans="1:20" ht="12.75">
      <c r="A362" s="45"/>
      <c r="B362" s="23"/>
      <c r="C362" s="23"/>
      <c r="D362" s="30" t="s">
        <v>498</v>
      </c>
      <c r="E362" s="20">
        <v>21533</v>
      </c>
      <c r="F362" s="23"/>
      <c r="G362" s="95">
        <v>0.99833</v>
      </c>
      <c r="I362" s="9">
        <f t="shared" si="26"/>
        <v>21497.03989</v>
      </c>
      <c r="J362" s="9"/>
      <c r="K362" s="18"/>
      <c r="M362" s="36">
        <f t="shared" si="28"/>
        <v>0</v>
      </c>
      <c r="N362" s="23"/>
      <c r="O362" s="23"/>
      <c r="P362" s="20">
        <v>44334</v>
      </c>
      <c r="Q362" s="23"/>
      <c r="R362" s="24">
        <v>1</v>
      </c>
      <c r="T362" s="9">
        <f t="shared" si="27"/>
        <v>44334</v>
      </c>
    </row>
    <row r="363" spans="1:20" ht="12.75">
      <c r="A363" s="45"/>
      <c r="B363" s="23"/>
      <c r="C363" s="23"/>
      <c r="D363" s="30" t="s">
        <v>499</v>
      </c>
      <c r="E363" s="20">
        <v>104</v>
      </c>
      <c r="F363" s="23"/>
      <c r="G363" s="95">
        <v>0.99833</v>
      </c>
      <c r="I363" s="9">
        <f t="shared" si="26"/>
        <v>103.82632000000001</v>
      </c>
      <c r="J363" s="9"/>
      <c r="K363" s="18"/>
      <c r="M363" s="36">
        <f t="shared" si="28"/>
        <v>0</v>
      </c>
      <c r="N363" s="23"/>
      <c r="O363" s="23"/>
      <c r="P363" s="20">
        <v>214</v>
      </c>
      <c r="Q363" s="23"/>
      <c r="R363" s="24">
        <v>1</v>
      </c>
      <c r="T363" s="9">
        <f t="shared" si="27"/>
        <v>214</v>
      </c>
    </row>
    <row r="364" spans="1:20" ht="12.75">
      <c r="A364" s="45"/>
      <c r="B364" s="23"/>
      <c r="C364" s="23"/>
      <c r="D364" s="30" t="s">
        <v>500</v>
      </c>
      <c r="E364" s="20">
        <v>5861</v>
      </c>
      <c r="F364" s="23"/>
      <c r="G364" s="95">
        <v>0.99833</v>
      </c>
      <c r="I364" s="9">
        <f t="shared" si="26"/>
        <v>5851.21213</v>
      </c>
      <c r="J364" s="9"/>
      <c r="K364" s="18"/>
      <c r="M364" s="36">
        <f t="shared" si="28"/>
        <v>0</v>
      </c>
      <c r="N364" s="23"/>
      <c r="O364" s="23"/>
      <c r="P364" s="20">
        <v>12067</v>
      </c>
      <c r="Q364" s="23"/>
      <c r="R364" s="24">
        <v>1</v>
      </c>
      <c r="T364" s="9">
        <f t="shared" si="27"/>
        <v>12067</v>
      </c>
    </row>
    <row r="365" spans="1:20" ht="12.75">
      <c r="A365" s="45"/>
      <c r="B365" s="23"/>
      <c r="C365" s="23"/>
      <c r="D365" s="30" t="s">
        <v>501</v>
      </c>
      <c r="E365" s="20">
        <v>27104</v>
      </c>
      <c r="F365" s="23"/>
      <c r="G365" s="95">
        <v>0.99833</v>
      </c>
      <c r="I365" s="9">
        <f t="shared" si="26"/>
        <v>27058.73632</v>
      </c>
      <c r="J365" s="9"/>
      <c r="K365" s="18"/>
      <c r="M365" s="36">
        <f t="shared" si="28"/>
        <v>0</v>
      </c>
      <c r="N365" s="23"/>
      <c r="O365" s="23"/>
      <c r="P365" s="20">
        <v>55805</v>
      </c>
      <c r="Q365" s="23"/>
      <c r="R365" s="24">
        <v>1</v>
      </c>
      <c r="T365" s="9">
        <f t="shared" si="27"/>
        <v>55805</v>
      </c>
    </row>
    <row r="366" spans="1:20" ht="12.75">
      <c r="A366" s="45"/>
      <c r="B366" s="23"/>
      <c r="C366" s="23"/>
      <c r="D366" s="30" t="s">
        <v>502</v>
      </c>
      <c r="E366" s="20">
        <v>5288</v>
      </c>
      <c r="F366" s="23"/>
      <c r="G366" s="95">
        <v>0.99833</v>
      </c>
      <c r="I366" s="9">
        <f t="shared" si="26"/>
        <v>5279.169040000001</v>
      </c>
      <c r="J366" s="9"/>
      <c r="K366" s="18"/>
      <c r="M366" s="36">
        <f t="shared" si="28"/>
        <v>0</v>
      </c>
      <c r="N366" s="23"/>
      <c r="O366" s="23"/>
      <c r="P366" s="20">
        <v>10888</v>
      </c>
      <c r="Q366" s="23"/>
      <c r="R366" s="24">
        <v>1</v>
      </c>
      <c r="T366" s="9">
        <f t="shared" si="27"/>
        <v>10888</v>
      </c>
    </row>
    <row r="367" spans="1:20" ht="12.75">
      <c r="A367" s="45"/>
      <c r="B367" s="23"/>
      <c r="C367" s="23"/>
      <c r="D367" s="30" t="s">
        <v>503</v>
      </c>
      <c r="E367" s="20">
        <v>199</v>
      </c>
      <c r="F367" s="23"/>
      <c r="G367" s="95">
        <v>0.99833</v>
      </c>
      <c r="I367" s="9">
        <f t="shared" si="26"/>
        <v>198.66767000000002</v>
      </c>
      <c r="J367" s="9"/>
      <c r="K367" s="18"/>
      <c r="M367" s="36">
        <f t="shared" si="28"/>
        <v>0</v>
      </c>
      <c r="N367" s="23"/>
      <c r="O367" s="23"/>
      <c r="P367" s="20">
        <v>410</v>
      </c>
      <c r="Q367" s="23"/>
      <c r="R367" s="24">
        <v>1</v>
      </c>
      <c r="T367" s="9">
        <f t="shared" si="27"/>
        <v>410</v>
      </c>
    </row>
    <row r="368" spans="1:20" ht="12.75">
      <c r="A368" s="45"/>
      <c r="B368" s="23"/>
      <c r="C368" s="23"/>
      <c r="D368" s="30" t="s">
        <v>504</v>
      </c>
      <c r="E368" s="20">
        <v>3163</v>
      </c>
      <c r="F368" s="23"/>
      <c r="G368" s="95">
        <v>0.99833</v>
      </c>
      <c r="I368" s="9">
        <f t="shared" si="26"/>
        <v>3157.71779</v>
      </c>
      <c r="J368" s="9"/>
      <c r="K368" s="18"/>
      <c r="M368" s="36">
        <f t="shared" si="28"/>
        <v>0</v>
      </c>
      <c r="N368" s="23"/>
      <c r="O368" s="23"/>
      <c r="P368" s="20">
        <v>6512</v>
      </c>
      <c r="Q368" s="23"/>
      <c r="R368" s="24">
        <v>1</v>
      </c>
      <c r="T368" s="9">
        <f t="shared" si="27"/>
        <v>6512</v>
      </c>
    </row>
    <row r="369" spans="1:20" ht="12.75">
      <c r="A369" s="45"/>
      <c r="B369" s="23"/>
      <c r="C369" s="23"/>
      <c r="D369" s="30" t="s">
        <v>505</v>
      </c>
      <c r="E369" s="20">
        <v>91</v>
      </c>
      <c r="F369" s="23"/>
      <c r="G369" s="95">
        <v>0.99833</v>
      </c>
      <c r="I369" s="9">
        <f t="shared" si="26"/>
        <v>90.84803000000001</v>
      </c>
      <c r="J369" s="9"/>
      <c r="K369" s="18"/>
      <c r="M369" s="36">
        <f t="shared" si="28"/>
        <v>0</v>
      </c>
      <c r="N369" s="23"/>
      <c r="O369" s="23"/>
      <c r="P369" s="20">
        <v>188</v>
      </c>
      <c r="Q369" s="23"/>
      <c r="R369" s="24">
        <v>1</v>
      </c>
      <c r="T369" s="9">
        <f t="shared" si="27"/>
        <v>188</v>
      </c>
    </row>
    <row r="370" spans="1:20" ht="12.75">
      <c r="A370" s="45"/>
      <c r="B370" s="23"/>
      <c r="C370" s="23"/>
      <c r="D370" s="30" t="s">
        <v>506</v>
      </c>
      <c r="E370" s="20">
        <v>1566</v>
      </c>
      <c r="F370" s="23"/>
      <c r="G370" s="95">
        <v>0.99833</v>
      </c>
      <c r="I370" s="9">
        <f t="shared" si="26"/>
        <v>1563.38478</v>
      </c>
      <c r="J370" s="9"/>
      <c r="K370" s="18"/>
      <c r="M370" s="36">
        <f t="shared" si="28"/>
        <v>0</v>
      </c>
      <c r="N370" s="23"/>
      <c r="O370" s="23"/>
      <c r="P370" s="20">
        <v>3225</v>
      </c>
      <c r="Q370" s="23"/>
      <c r="R370" s="24">
        <v>1</v>
      </c>
      <c r="T370" s="9">
        <f t="shared" si="27"/>
        <v>3225</v>
      </c>
    </row>
    <row r="371" spans="1:20" ht="12.75">
      <c r="A371" s="45"/>
      <c r="B371" s="23"/>
      <c r="C371" s="23"/>
      <c r="D371" s="30" t="s">
        <v>507</v>
      </c>
      <c r="E371" s="20">
        <v>944</v>
      </c>
      <c r="F371" s="23"/>
      <c r="G371" s="95">
        <v>0.81025</v>
      </c>
      <c r="I371" s="9">
        <f t="shared" si="26"/>
        <v>764.876</v>
      </c>
      <c r="J371" s="9"/>
      <c r="K371" s="18"/>
      <c r="M371" s="36">
        <f t="shared" si="28"/>
        <v>0</v>
      </c>
      <c r="N371" s="23"/>
      <c r="O371" s="23"/>
      <c r="P371" s="20">
        <v>1577</v>
      </c>
      <c r="Q371" s="23"/>
      <c r="R371" s="24">
        <v>1</v>
      </c>
      <c r="T371" s="9">
        <f t="shared" si="27"/>
        <v>1577</v>
      </c>
    </row>
    <row r="372" spans="1:20" ht="12.75">
      <c r="A372" s="45"/>
      <c r="B372" s="23"/>
      <c r="C372" s="23"/>
      <c r="D372" s="30" t="s">
        <v>508</v>
      </c>
      <c r="E372" s="20">
        <v>10339</v>
      </c>
      <c r="F372" s="23"/>
      <c r="G372" s="95">
        <v>0.86549</v>
      </c>
      <c r="I372" s="9">
        <f t="shared" si="26"/>
        <v>8948.30111</v>
      </c>
      <c r="J372" s="9"/>
      <c r="K372" s="18"/>
      <c r="M372" s="36">
        <f t="shared" si="28"/>
        <v>0</v>
      </c>
      <c r="N372" s="23"/>
      <c r="O372" s="23"/>
      <c r="P372" s="20">
        <v>18456</v>
      </c>
      <c r="Q372" s="23"/>
      <c r="R372" s="24">
        <v>1</v>
      </c>
      <c r="T372" s="9">
        <f t="shared" si="27"/>
        <v>18456</v>
      </c>
    </row>
    <row r="373" spans="1:20" ht="12.75">
      <c r="A373" s="45"/>
      <c r="B373" s="23"/>
      <c r="C373" s="23"/>
      <c r="D373" s="30" t="s">
        <v>509</v>
      </c>
      <c r="E373" s="20">
        <v>30119</v>
      </c>
      <c r="F373" s="23"/>
      <c r="G373" s="95">
        <v>0.81323</v>
      </c>
      <c r="I373" s="9">
        <f t="shared" si="26"/>
        <v>24493.67437</v>
      </c>
      <c r="J373" s="9"/>
      <c r="K373" s="18"/>
      <c r="M373" s="36">
        <f t="shared" si="28"/>
        <v>0</v>
      </c>
      <c r="N373" s="23"/>
      <c r="O373" s="23"/>
      <c r="P373" s="20">
        <v>50516</v>
      </c>
      <c r="Q373" s="23"/>
      <c r="R373" s="24">
        <v>1</v>
      </c>
      <c r="T373" s="9">
        <f t="shared" si="27"/>
        <v>50516</v>
      </c>
    </row>
    <row r="374" spans="1:20" ht="12.75">
      <c r="A374" s="45"/>
      <c r="B374" s="23"/>
      <c r="C374" s="23"/>
      <c r="D374" s="30" t="s">
        <v>510</v>
      </c>
      <c r="E374" s="20">
        <v>4599</v>
      </c>
      <c r="F374" s="23"/>
      <c r="G374" s="95">
        <v>0.86271</v>
      </c>
      <c r="I374" s="9">
        <f t="shared" si="26"/>
        <v>3967.60329</v>
      </c>
      <c r="J374" s="9"/>
      <c r="K374" s="18"/>
      <c r="M374" s="36">
        <f t="shared" si="28"/>
        <v>0</v>
      </c>
      <c r="N374" s="23"/>
      <c r="O374" s="23"/>
      <c r="P374" s="20">
        <v>8228</v>
      </c>
      <c r="Q374" s="23"/>
      <c r="R374" s="24">
        <v>1</v>
      </c>
      <c r="T374" s="9">
        <f t="shared" si="27"/>
        <v>8228</v>
      </c>
    </row>
    <row r="375" spans="1:20" ht="12.75">
      <c r="A375" s="45"/>
      <c r="B375" s="23"/>
      <c r="C375" s="23"/>
      <c r="D375" s="30" t="s">
        <v>511</v>
      </c>
      <c r="E375" s="20">
        <v>736</v>
      </c>
      <c r="F375" s="23"/>
      <c r="G375" s="95">
        <v>0.81752</v>
      </c>
      <c r="I375" s="9">
        <f t="shared" si="26"/>
        <v>601.69472</v>
      </c>
      <c r="J375" s="9"/>
      <c r="K375" s="18"/>
      <c r="M375" s="36">
        <f t="shared" si="28"/>
        <v>0</v>
      </c>
      <c r="N375" s="23"/>
      <c r="O375" s="23"/>
      <c r="P375" s="20">
        <v>1247</v>
      </c>
      <c r="Q375" s="23"/>
      <c r="R375" s="24">
        <v>1</v>
      </c>
      <c r="T375" s="9">
        <f t="shared" si="27"/>
        <v>1247</v>
      </c>
    </row>
    <row r="376" spans="1:20" ht="12.75">
      <c r="A376" s="45"/>
      <c r="B376" s="23"/>
      <c r="C376" s="23"/>
      <c r="D376" s="30" t="s">
        <v>512</v>
      </c>
      <c r="E376" s="20">
        <v>548</v>
      </c>
      <c r="F376" s="23"/>
      <c r="G376" s="95">
        <v>0.80421</v>
      </c>
      <c r="I376" s="9">
        <f t="shared" si="26"/>
        <v>440.70707999999996</v>
      </c>
      <c r="J376" s="9"/>
      <c r="K376" s="18"/>
      <c r="M376" s="36">
        <f t="shared" si="28"/>
        <v>0</v>
      </c>
      <c r="N376" s="23"/>
      <c r="O376" s="23"/>
      <c r="P376" s="20">
        <v>914</v>
      </c>
      <c r="Q376" s="23"/>
      <c r="R376" s="24">
        <v>1</v>
      </c>
      <c r="T376" s="9">
        <f t="shared" si="27"/>
        <v>914</v>
      </c>
    </row>
    <row r="377" spans="1:20" ht="12.75">
      <c r="A377" s="45"/>
      <c r="B377" s="23"/>
      <c r="C377" s="23"/>
      <c r="D377" s="30" t="s">
        <v>513</v>
      </c>
      <c r="E377" s="20">
        <v>835</v>
      </c>
      <c r="F377" s="23"/>
      <c r="G377" s="95">
        <v>0.84214</v>
      </c>
      <c r="I377" s="9">
        <f t="shared" si="26"/>
        <v>703.1869</v>
      </c>
      <c r="J377" s="9"/>
      <c r="K377" s="18"/>
      <c r="M377" s="36">
        <f t="shared" si="28"/>
        <v>0</v>
      </c>
      <c r="N377" s="23"/>
      <c r="O377" s="23"/>
      <c r="P377" s="20">
        <v>1449</v>
      </c>
      <c r="Q377" s="23"/>
      <c r="R377" s="24">
        <v>1</v>
      </c>
      <c r="T377" s="9">
        <f t="shared" si="27"/>
        <v>1449</v>
      </c>
    </row>
    <row r="378" spans="1:20" ht="12.75">
      <c r="A378" s="45"/>
      <c r="B378" s="23"/>
      <c r="C378" s="23"/>
      <c r="D378" s="30" t="s">
        <v>514</v>
      </c>
      <c r="E378" s="20">
        <v>577</v>
      </c>
      <c r="F378" s="23"/>
      <c r="G378" s="95">
        <v>1</v>
      </c>
      <c r="I378" s="9">
        <f t="shared" si="26"/>
        <v>577</v>
      </c>
      <c r="J378" s="9"/>
      <c r="K378" s="18"/>
      <c r="M378" s="36">
        <f t="shared" si="28"/>
        <v>0</v>
      </c>
      <c r="N378" s="23"/>
      <c r="O378" s="23"/>
      <c r="P378" s="20">
        <v>1190</v>
      </c>
      <c r="Q378" s="23"/>
      <c r="R378" s="24">
        <v>1</v>
      </c>
      <c r="T378" s="9">
        <f t="shared" si="27"/>
        <v>1190</v>
      </c>
    </row>
    <row r="379" spans="1:20" ht="12.75">
      <c r="A379" s="45"/>
      <c r="B379" s="23"/>
      <c r="C379" s="23"/>
      <c r="D379" s="30" t="s">
        <v>515</v>
      </c>
      <c r="E379" s="20">
        <v>64</v>
      </c>
      <c r="F379" s="23"/>
      <c r="G379" s="95">
        <v>0.90241</v>
      </c>
      <c r="I379" s="9">
        <f t="shared" si="26"/>
        <v>57.75424</v>
      </c>
      <c r="J379" s="9"/>
      <c r="K379" s="18"/>
      <c r="M379" s="36">
        <f t="shared" si="28"/>
        <v>0</v>
      </c>
      <c r="N379" s="23"/>
      <c r="O379" s="23"/>
      <c r="P379" s="20">
        <v>119</v>
      </c>
      <c r="Q379" s="23"/>
      <c r="R379" s="24">
        <v>1</v>
      </c>
      <c r="T379" s="9">
        <f t="shared" si="27"/>
        <v>119</v>
      </c>
    </row>
    <row r="380" spans="1:20" ht="12.75">
      <c r="A380" s="45"/>
      <c r="B380" s="23"/>
      <c r="C380" s="23"/>
      <c r="D380" s="30" t="s">
        <v>516</v>
      </c>
      <c r="E380" s="20">
        <v>3252</v>
      </c>
      <c r="F380" s="23"/>
      <c r="G380" s="95">
        <v>0.94019</v>
      </c>
      <c r="I380" s="9">
        <f t="shared" si="26"/>
        <v>3057.49788</v>
      </c>
      <c r="J380" s="9"/>
      <c r="K380" s="18"/>
      <c r="M380" s="36">
        <f t="shared" si="28"/>
        <v>0</v>
      </c>
      <c r="N380" s="23"/>
      <c r="O380" s="23"/>
      <c r="P380" s="20">
        <v>6306</v>
      </c>
      <c r="Q380" s="23"/>
      <c r="R380" s="24">
        <v>1</v>
      </c>
      <c r="T380" s="9">
        <f t="shared" si="27"/>
        <v>6306</v>
      </c>
    </row>
    <row r="381" spans="1:20" ht="12.75">
      <c r="A381" s="45"/>
      <c r="B381" s="23"/>
      <c r="C381" s="23"/>
      <c r="D381" s="30" t="s">
        <v>517</v>
      </c>
      <c r="E381" s="20">
        <v>104389</v>
      </c>
      <c r="F381" s="23"/>
      <c r="G381" s="95">
        <v>0.84171</v>
      </c>
      <c r="I381" s="9">
        <f t="shared" si="26"/>
        <v>87865.26518999999</v>
      </c>
      <c r="J381" s="9"/>
      <c r="K381" s="18"/>
      <c r="M381" s="36">
        <f t="shared" si="28"/>
        <v>0</v>
      </c>
      <c r="N381" s="23"/>
      <c r="O381" s="23"/>
      <c r="P381" s="20">
        <v>181212</v>
      </c>
      <c r="Q381" s="23"/>
      <c r="R381" s="24">
        <v>1</v>
      </c>
      <c r="T381" s="9">
        <f t="shared" si="27"/>
        <v>181212</v>
      </c>
    </row>
    <row r="382" spans="1:20" ht="12.75">
      <c r="A382" s="45"/>
      <c r="B382" s="23"/>
      <c r="C382" s="23"/>
      <c r="D382" s="30" t="s">
        <v>518</v>
      </c>
      <c r="E382" s="20">
        <v>139</v>
      </c>
      <c r="F382" s="23"/>
      <c r="G382" s="95">
        <v>0.87456</v>
      </c>
      <c r="I382" s="9">
        <f t="shared" si="26"/>
        <v>121.56384</v>
      </c>
      <c r="J382" s="9"/>
      <c r="K382" s="18"/>
      <c r="M382" s="36">
        <f t="shared" si="28"/>
        <v>0</v>
      </c>
      <c r="N382" s="23"/>
      <c r="O382" s="23"/>
      <c r="P382" s="20">
        <v>129</v>
      </c>
      <c r="Q382" s="23"/>
      <c r="R382" s="24">
        <v>1</v>
      </c>
      <c r="T382" s="9">
        <f t="shared" si="27"/>
        <v>129</v>
      </c>
    </row>
    <row r="383" spans="1:20" ht="12.75">
      <c r="A383" s="45"/>
      <c r="B383" s="23"/>
      <c r="C383" s="23"/>
      <c r="D383" s="30" t="s">
        <v>519</v>
      </c>
      <c r="E383" s="20">
        <v>925</v>
      </c>
      <c r="F383" s="23"/>
      <c r="G383" s="95">
        <v>0.86714</v>
      </c>
      <c r="I383" s="9">
        <f t="shared" si="26"/>
        <v>802.1045</v>
      </c>
      <c r="J383" s="9"/>
      <c r="K383" s="18"/>
      <c r="M383" s="36">
        <f t="shared" si="28"/>
        <v>0</v>
      </c>
      <c r="N383" s="23"/>
      <c r="O383" s="23"/>
      <c r="P383" s="20">
        <v>122</v>
      </c>
      <c r="Q383" s="23"/>
      <c r="R383" s="24">
        <v>1</v>
      </c>
      <c r="T383" s="9">
        <f t="shared" si="27"/>
        <v>122</v>
      </c>
    </row>
    <row r="384" spans="1:20" ht="12.75">
      <c r="A384" s="45"/>
      <c r="B384" s="23"/>
      <c r="C384" s="23"/>
      <c r="D384" s="30" t="s">
        <v>520</v>
      </c>
      <c r="E384" s="20">
        <v>1120</v>
      </c>
      <c r="F384" s="23"/>
      <c r="G384" s="95">
        <v>0.92298</v>
      </c>
      <c r="I384" s="9">
        <f t="shared" si="26"/>
        <v>1033.7376</v>
      </c>
      <c r="J384" s="9"/>
      <c r="K384" s="18"/>
      <c r="M384" s="36">
        <f t="shared" si="28"/>
        <v>0</v>
      </c>
      <c r="N384" s="23"/>
      <c r="O384" s="23"/>
      <c r="P384" s="20">
        <v>988</v>
      </c>
      <c r="Q384" s="23"/>
      <c r="R384" s="24">
        <v>1</v>
      </c>
      <c r="T384" s="9">
        <f t="shared" si="27"/>
        <v>988</v>
      </c>
    </row>
    <row r="385" spans="1:20" ht="12.75">
      <c r="A385" s="45"/>
      <c r="B385" s="23"/>
      <c r="C385" s="23"/>
      <c r="D385" s="30"/>
      <c r="E385" s="20"/>
      <c r="F385" s="23"/>
      <c r="G385" s="95"/>
      <c r="I385" s="9"/>
      <c r="J385" s="9"/>
      <c r="K385" s="18"/>
      <c r="M385" s="36">
        <f t="shared" si="28"/>
        <v>0</v>
      </c>
      <c r="N385" s="23"/>
      <c r="O385" s="23"/>
      <c r="P385" s="20">
        <v>765</v>
      </c>
      <c r="Q385" s="23"/>
      <c r="R385" s="24">
        <v>1</v>
      </c>
      <c r="T385" s="9">
        <f t="shared" si="27"/>
        <v>765</v>
      </c>
    </row>
    <row r="386" spans="1:20" ht="12.75">
      <c r="A386" s="45"/>
      <c r="B386" s="23"/>
      <c r="C386" s="23"/>
      <c r="D386" s="30"/>
      <c r="E386" s="20"/>
      <c r="F386" s="23"/>
      <c r="G386" s="95"/>
      <c r="I386" s="9">
        <f t="shared" si="26"/>
        <v>0</v>
      </c>
      <c r="J386" s="9"/>
      <c r="K386" s="18"/>
      <c r="M386" s="36">
        <f t="shared" si="28"/>
        <v>0</v>
      </c>
      <c r="N386" s="23"/>
      <c r="O386" s="23"/>
      <c r="P386" s="20">
        <v>2131</v>
      </c>
      <c r="Q386" s="23"/>
      <c r="R386" s="24">
        <v>1</v>
      </c>
      <c r="T386" s="9">
        <f t="shared" si="27"/>
        <v>2131</v>
      </c>
    </row>
    <row r="387" spans="1:20" ht="12.75">
      <c r="A387" s="45"/>
      <c r="B387" s="23"/>
      <c r="C387" s="23"/>
      <c r="D387" s="30"/>
      <c r="E387" s="32" t="s">
        <v>134</v>
      </c>
      <c r="F387" s="23"/>
      <c r="G387" s="95"/>
      <c r="I387" s="32" t="s">
        <v>134</v>
      </c>
      <c r="J387" s="9"/>
      <c r="K387" s="18"/>
      <c r="M387" s="36">
        <f t="shared" si="28"/>
        <v>0</v>
      </c>
      <c r="N387" s="23"/>
      <c r="O387" s="23"/>
      <c r="P387" s="32" t="s">
        <v>134</v>
      </c>
      <c r="Q387" s="23"/>
      <c r="R387" s="95"/>
      <c r="T387" s="32" t="s">
        <v>134</v>
      </c>
    </row>
    <row r="388" spans="1:20" ht="12.75">
      <c r="A388" s="45">
        <f>+A327</f>
        <v>45</v>
      </c>
      <c r="B388" s="30" t="s">
        <v>425</v>
      </c>
      <c r="C388" s="23"/>
      <c r="D388" s="30"/>
      <c r="E388" s="20">
        <f>SUM(E327:E387)</f>
        <v>375515</v>
      </c>
      <c r="F388" s="23"/>
      <c r="G388" s="95"/>
      <c r="I388" s="20">
        <f>SUM(I327:I387)</f>
        <v>348631.36364</v>
      </c>
      <c r="J388" s="9"/>
      <c r="K388" s="18">
        <f>+A388</f>
        <v>45</v>
      </c>
      <c r="M388" s="36" t="str">
        <f t="shared" si="28"/>
        <v>Total Adjustment</v>
      </c>
      <c r="N388" s="23"/>
      <c r="O388" s="23"/>
      <c r="P388" s="20">
        <f>SUM(P327:P387)</f>
        <v>719968</v>
      </c>
      <c r="Q388" s="23"/>
      <c r="R388" s="95"/>
      <c r="T388" s="20">
        <f>SUM(T327:T387)</f>
        <v>719968</v>
      </c>
    </row>
    <row r="389" spans="1:20" ht="12.75">
      <c r="A389" s="45"/>
      <c r="B389" s="23"/>
      <c r="C389" s="23"/>
      <c r="D389" s="30"/>
      <c r="E389" s="20"/>
      <c r="F389" s="23"/>
      <c r="G389" s="95"/>
      <c r="I389" s="9"/>
      <c r="J389" s="9"/>
      <c r="K389" s="18"/>
      <c r="M389" s="36"/>
      <c r="N389" s="23"/>
      <c r="O389" s="23"/>
      <c r="P389" s="20"/>
      <c r="Q389" s="23"/>
      <c r="R389" s="24"/>
      <c r="T389" s="9"/>
    </row>
    <row r="390" spans="1:20" ht="12.75">
      <c r="A390" s="45">
        <f>+A388+1</f>
        <v>46</v>
      </c>
      <c r="B390" s="29" t="s">
        <v>522</v>
      </c>
      <c r="C390" s="23"/>
      <c r="D390" s="30" t="s">
        <v>844</v>
      </c>
      <c r="E390" s="20">
        <v>-20588</v>
      </c>
      <c r="F390" s="23"/>
      <c r="G390" s="95">
        <v>0.9869</v>
      </c>
      <c r="I390" s="9">
        <f aca="true" t="shared" si="29" ref="I390:I448">+E390*G390</f>
        <v>-20318.2972</v>
      </c>
      <c r="J390" s="9"/>
      <c r="K390" s="18">
        <f>+A390</f>
        <v>46</v>
      </c>
      <c r="M390" s="35" t="str">
        <f>+B390</f>
        <v>Eliminate Payroll - Restrucuring</v>
      </c>
      <c r="N390" s="23"/>
      <c r="O390" s="23"/>
      <c r="P390" s="20"/>
      <c r="Q390" s="23"/>
      <c r="R390" s="24"/>
      <c r="T390" s="9"/>
    </row>
    <row r="391" spans="1:20" ht="12.75">
      <c r="A391" s="45"/>
      <c r="B391" s="23" t="s">
        <v>521</v>
      </c>
      <c r="C391" s="23"/>
      <c r="D391" s="30" t="s">
        <v>523</v>
      </c>
      <c r="E391" s="20">
        <v>-13224</v>
      </c>
      <c r="F391" s="23"/>
      <c r="G391" s="95">
        <v>0.9869</v>
      </c>
      <c r="I391" s="9">
        <f t="shared" si="29"/>
        <v>-13050.7656</v>
      </c>
      <c r="J391" s="9"/>
      <c r="K391" s="18"/>
      <c r="M391" s="36" t="str">
        <f>+B391</f>
        <v>Reflect disallowance of specific Corp. Depts</v>
      </c>
      <c r="N391" s="23"/>
      <c r="O391" s="23"/>
      <c r="P391" s="20"/>
      <c r="Q391" s="23"/>
      <c r="R391" s="24"/>
      <c r="T391" s="9"/>
    </row>
    <row r="392" spans="1:20" ht="12.75">
      <c r="A392" s="45"/>
      <c r="B392" s="23"/>
      <c r="C392" s="23"/>
      <c r="D392" s="30" t="s">
        <v>524</v>
      </c>
      <c r="E392" s="20">
        <v>-4621</v>
      </c>
      <c r="F392" s="23"/>
      <c r="G392" s="95">
        <v>0.9869</v>
      </c>
      <c r="I392" s="9">
        <f t="shared" si="29"/>
        <v>-4560.4649</v>
      </c>
      <c r="J392" s="9"/>
      <c r="K392" s="18"/>
      <c r="M392" s="36">
        <f aca="true" t="shared" si="30" ref="M392:M448">+B392</f>
        <v>0</v>
      </c>
      <c r="N392" s="23"/>
      <c r="O392" s="23"/>
      <c r="P392" s="20"/>
      <c r="Q392" s="23"/>
      <c r="R392" s="24"/>
      <c r="T392" s="9"/>
    </row>
    <row r="393" spans="1:20" ht="12.75">
      <c r="A393" s="45"/>
      <c r="B393" s="23"/>
      <c r="C393" s="23"/>
      <c r="D393" s="30" t="s">
        <v>525</v>
      </c>
      <c r="E393" s="20">
        <v>-15699</v>
      </c>
      <c r="F393" s="23"/>
      <c r="G393" s="95">
        <v>0.9869</v>
      </c>
      <c r="I393" s="9">
        <f t="shared" si="29"/>
        <v>-15493.3431</v>
      </c>
      <c r="J393" s="9"/>
      <c r="K393" s="18"/>
      <c r="M393" s="36">
        <f t="shared" si="30"/>
        <v>0</v>
      </c>
      <c r="N393" s="23"/>
      <c r="O393" s="23"/>
      <c r="P393" s="20"/>
      <c r="Q393" s="23"/>
      <c r="R393" s="24"/>
      <c r="T393" s="9">
        <f aca="true" t="shared" si="31" ref="T393:T448">+P393*R393</f>
        <v>0</v>
      </c>
    </row>
    <row r="394" spans="1:20" ht="12.75">
      <c r="A394" s="45"/>
      <c r="B394" s="23"/>
      <c r="C394" s="23"/>
      <c r="D394" s="30" t="s">
        <v>526</v>
      </c>
      <c r="E394" s="20">
        <v>-14265</v>
      </c>
      <c r="F394" s="23"/>
      <c r="G394" s="95">
        <v>0.9869</v>
      </c>
      <c r="I394" s="9">
        <f t="shared" si="29"/>
        <v>-14078.1285</v>
      </c>
      <c r="J394" s="9"/>
      <c r="K394" s="18"/>
      <c r="M394" s="36">
        <f t="shared" si="30"/>
        <v>0</v>
      </c>
      <c r="N394" s="23"/>
      <c r="O394" s="23"/>
      <c r="P394" s="20"/>
      <c r="Q394" s="23"/>
      <c r="R394" s="24"/>
      <c r="T394" s="9">
        <f t="shared" si="31"/>
        <v>0</v>
      </c>
    </row>
    <row r="395" spans="1:20" ht="12.75">
      <c r="A395" s="45"/>
      <c r="B395" s="23"/>
      <c r="C395" s="23"/>
      <c r="D395" s="30" t="s">
        <v>527</v>
      </c>
      <c r="E395" s="20">
        <v>-2654</v>
      </c>
      <c r="F395" s="23"/>
      <c r="G395" s="95">
        <v>0.9869</v>
      </c>
      <c r="I395" s="9">
        <f t="shared" si="29"/>
        <v>-2619.2326</v>
      </c>
      <c r="J395" s="9"/>
      <c r="K395" s="18"/>
      <c r="M395" s="36">
        <f t="shared" si="30"/>
        <v>0</v>
      </c>
      <c r="N395" s="23"/>
      <c r="O395" s="23"/>
      <c r="P395" s="20"/>
      <c r="Q395" s="23"/>
      <c r="R395" s="24"/>
      <c r="T395" s="9">
        <f t="shared" si="31"/>
        <v>0</v>
      </c>
    </row>
    <row r="396" spans="1:20" ht="12.75">
      <c r="A396" s="45"/>
      <c r="B396" s="23"/>
      <c r="C396" s="23"/>
      <c r="D396" s="30" t="s">
        <v>528</v>
      </c>
      <c r="E396" s="20">
        <v>-21651</v>
      </c>
      <c r="F396" s="23"/>
      <c r="G396" s="95">
        <v>0.9869</v>
      </c>
      <c r="I396" s="9">
        <f t="shared" si="29"/>
        <v>-21367.3719</v>
      </c>
      <c r="J396" s="9"/>
      <c r="K396" s="18"/>
      <c r="M396" s="36">
        <f t="shared" si="30"/>
        <v>0</v>
      </c>
      <c r="N396" s="23"/>
      <c r="O396" s="23"/>
      <c r="P396" s="20"/>
      <c r="Q396" s="23"/>
      <c r="R396" s="24"/>
      <c r="T396" s="9">
        <f t="shared" si="31"/>
        <v>0</v>
      </c>
    </row>
    <row r="397" spans="1:20" ht="12.75">
      <c r="A397" s="45"/>
      <c r="B397" s="23"/>
      <c r="C397" s="23"/>
      <c r="D397" s="30" t="s">
        <v>529</v>
      </c>
      <c r="E397" s="20">
        <v>-5889</v>
      </c>
      <c r="F397" s="23"/>
      <c r="G397" s="95">
        <v>0.9869</v>
      </c>
      <c r="I397" s="9">
        <f t="shared" si="29"/>
        <v>-5811.8541</v>
      </c>
      <c r="J397" s="9"/>
      <c r="K397" s="18"/>
      <c r="M397" s="36">
        <f t="shared" si="30"/>
        <v>0</v>
      </c>
      <c r="N397" s="23"/>
      <c r="O397" s="23"/>
      <c r="P397" s="20"/>
      <c r="Q397" s="23"/>
      <c r="R397" s="24"/>
      <c r="T397" s="9">
        <f t="shared" si="31"/>
        <v>0</v>
      </c>
    </row>
    <row r="398" spans="1:20" ht="12.75">
      <c r="A398" s="45"/>
      <c r="B398" s="23"/>
      <c r="C398" s="23"/>
      <c r="D398" s="30" t="s">
        <v>530</v>
      </c>
      <c r="E398" s="20">
        <v>-1447</v>
      </c>
      <c r="F398" s="23"/>
      <c r="G398" s="95">
        <v>0.9869</v>
      </c>
      <c r="I398" s="9">
        <f t="shared" si="29"/>
        <v>-1428.0443</v>
      </c>
      <c r="J398" s="9"/>
      <c r="K398" s="18"/>
      <c r="M398" s="36">
        <f t="shared" si="30"/>
        <v>0</v>
      </c>
      <c r="N398" s="23"/>
      <c r="O398" s="23"/>
      <c r="P398" s="20"/>
      <c r="Q398" s="23"/>
      <c r="R398" s="24"/>
      <c r="T398" s="9">
        <f t="shared" si="31"/>
        <v>0</v>
      </c>
    </row>
    <row r="399" spans="1:20" ht="12.75">
      <c r="A399" s="45"/>
      <c r="B399" s="23"/>
      <c r="C399" s="23"/>
      <c r="D399" s="30" t="s">
        <v>845</v>
      </c>
      <c r="E399" s="20">
        <v>-1496</v>
      </c>
      <c r="F399" s="23"/>
      <c r="G399" s="95">
        <v>0.9869</v>
      </c>
      <c r="I399" s="9">
        <f t="shared" si="29"/>
        <v>-1476.4024</v>
      </c>
      <c r="J399" s="9"/>
      <c r="K399" s="18"/>
      <c r="M399" s="36">
        <f>+B399</f>
        <v>0</v>
      </c>
      <c r="N399" s="23"/>
      <c r="O399" s="23"/>
      <c r="P399" s="20"/>
      <c r="Q399" s="23"/>
      <c r="R399" s="24"/>
      <c r="T399" s="9">
        <f>+P399*R399</f>
        <v>0</v>
      </c>
    </row>
    <row r="400" spans="1:20" ht="12.75">
      <c r="A400" s="45"/>
      <c r="B400" s="23"/>
      <c r="C400" s="23"/>
      <c r="D400" s="30" t="s">
        <v>531</v>
      </c>
      <c r="E400" s="20">
        <v>-1198</v>
      </c>
      <c r="F400" s="23"/>
      <c r="G400" s="95">
        <v>0.9869</v>
      </c>
      <c r="I400" s="9">
        <f t="shared" si="29"/>
        <v>-1182.3062</v>
      </c>
      <c r="J400" s="9"/>
      <c r="K400" s="18"/>
      <c r="M400" s="36">
        <f t="shared" si="30"/>
        <v>0</v>
      </c>
      <c r="N400" s="23"/>
      <c r="O400" s="23"/>
      <c r="P400" s="20"/>
      <c r="Q400" s="23"/>
      <c r="R400" s="24"/>
      <c r="T400" s="9">
        <f t="shared" si="31"/>
        <v>0</v>
      </c>
    </row>
    <row r="401" spans="1:20" ht="12.75">
      <c r="A401" s="45"/>
      <c r="B401" s="23"/>
      <c r="C401" s="23"/>
      <c r="D401" s="30" t="s">
        <v>532</v>
      </c>
      <c r="E401" s="20">
        <v>-2205</v>
      </c>
      <c r="F401" s="23"/>
      <c r="G401" s="95">
        <v>0.9869</v>
      </c>
      <c r="I401" s="9">
        <f t="shared" si="29"/>
        <v>-2176.1145</v>
      </c>
      <c r="J401" s="9"/>
      <c r="K401" s="18"/>
      <c r="M401" s="36">
        <f t="shared" si="30"/>
        <v>0</v>
      </c>
      <c r="N401" s="23"/>
      <c r="O401" s="23"/>
      <c r="P401" s="20"/>
      <c r="Q401" s="23"/>
      <c r="R401" s="24"/>
      <c r="T401" s="9">
        <f t="shared" si="31"/>
        <v>0</v>
      </c>
    </row>
    <row r="402" spans="1:20" ht="12.75">
      <c r="A402" s="45"/>
      <c r="B402" s="23"/>
      <c r="C402" s="23"/>
      <c r="D402" s="30" t="s">
        <v>533</v>
      </c>
      <c r="E402" s="20">
        <v>-287</v>
      </c>
      <c r="F402" s="23"/>
      <c r="G402" s="95">
        <v>0.9869</v>
      </c>
      <c r="I402" s="9">
        <f t="shared" si="29"/>
        <v>-283.2403</v>
      </c>
      <c r="J402" s="9"/>
      <c r="K402" s="18"/>
      <c r="M402" s="36">
        <f t="shared" si="30"/>
        <v>0</v>
      </c>
      <c r="N402" s="23"/>
      <c r="O402" s="23"/>
      <c r="P402" s="20"/>
      <c r="Q402" s="23"/>
      <c r="R402" s="24"/>
      <c r="T402" s="9">
        <f t="shared" si="31"/>
        <v>0</v>
      </c>
    </row>
    <row r="403" spans="1:20" ht="12.75">
      <c r="A403" s="45"/>
      <c r="B403" s="23"/>
      <c r="C403" s="23"/>
      <c r="D403" s="30" t="s">
        <v>534</v>
      </c>
      <c r="E403" s="20">
        <v>-268</v>
      </c>
      <c r="F403" s="23"/>
      <c r="G403" s="95">
        <v>0.9869</v>
      </c>
      <c r="I403" s="9">
        <f t="shared" si="29"/>
        <v>-264.4892</v>
      </c>
      <c r="J403" s="9"/>
      <c r="K403" s="18"/>
      <c r="M403" s="36">
        <f t="shared" si="30"/>
        <v>0</v>
      </c>
      <c r="N403" s="23"/>
      <c r="O403" s="23"/>
      <c r="P403" s="20"/>
      <c r="Q403" s="23"/>
      <c r="R403" s="24"/>
      <c r="T403" s="9">
        <f t="shared" si="31"/>
        <v>0</v>
      </c>
    </row>
    <row r="404" spans="1:20" ht="12.75">
      <c r="A404" s="45"/>
      <c r="B404" s="23"/>
      <c r="C404" s="23"/>
      <c r="D404" s="30" t="s">
        <v>535</v>
      </c>
      <c r="E404" s="20">
        <v>-1978</v>
      </c>
      <c r="F404" s="23"/>
      <c r="G404" s="95">
        <v>0.9869</v>
      </c>
      <c r="I404" s="9">
        <f t="shared" si="29"/>
        <v>-1952.0882</v>
      </c>
      <c r="J404" s="9"/>
      <c r="K404" s="18"/>
      <c r="M404" s="36">
        <f t="shared" si="30"/>
        <v>0</v>
      </c>
      <c r="N404" s="23"/>
      <c r="O404" s="23"/>
      <c r="P404" s="20"/>
      <c r="Q404" s="23"/>
      <c r="R404" s="24"/>
      <c r="T404" s="9">
        <f t="shared" si="31"/>
        <v>0</v>
      </c>
    </row>
    <row r="405" spans="1:20" ht="12.75">
      <c r="A405" s="45"/>
      <c r="B405" s="23"/>
      <c r="C405" s="23"/>
      <c r="D405" s="30" t="s">
        <v>536</v>
      </c>
      <c r="E405" s="20">
        <v>-8715</v>
      </c>
      <c r="F405" s="23"/>
      <c r="G405" s="95">
        <v>0.9847</v>
      </c>
      <c r="I405" s="9">
        <f t="shared" si="29"/>
        <v>-8581.6605</v>
      </c>
      <c r="J405" s="9"/>
      <c r="K405" s="18"/>
      <c r="M405" s="36">
        <f t="shared" si="30"/>
        <v>0</v>
      </c>
      <c r="N405" s="23"/>
      <c r="O405" s="23"/>
      <c r="P405" s="20"/>
      <c r="Q405" s="23"/>
      <c r="R405" s="24"/>
      <c r="T405" s="9">
        <f t="shared" si="31"/>
        <v>0</v>
      </c>
    </row>
    <row r="406" spans="1:20" ht="12.75">
      <c r="A406" s="45"/>
      <c r="B406" s="23"/>
      <c r="C406" s="23"/>
      <c r="D406" s="30" t="s">
        <v>537</v>
      </c>
      <c r="E406" s="20">
        <v>-1575</v>
      </c>
      <c r="F406" s="23"/>
      <c r="G406" s="95">
        <v>0.9847</v>
      </c>
      <c r="I406" s="9">
        <f t="shared" si="29"/>
        <v>-1550.9025</v>
      </c>
      <c r="J406" s="9"/>
      <c r="K406" s="18"/>
      <c r="M406" s="36">
        <f t="shared" si="30"/>
        <v>0</v>
      </c>
      <c r="N406" s="23"/>
      <c r="O406" s="23"/>
      <c r="P406" s="20"/>
      <c r="Q406" s="23"/>
      <c r="R406" s="24"/>
      <c r="T406" s="9">
        <f t="shared" si="31"/>
        <v>0</v>
      </c>
    </row>
    <row r="407" spans="1:20" ht="12.75">
      <c r="A407" s="45"/>
      <c r="B407" s="23"/>
      <c r="C407" s="23"/>
      <c r="D407" s="30" t="s">
        <v>538</v>
      </c>
      <c r="E407" s="20">
        <v>-15</v>
      </c>
      <c r="F407" s="23"/>
      <c r="G407" s="95">
        <v>0.9869</v>
      </c>
      <c r="I407" s="9">
        <f t="shared" si="29"/>
        <v>-14.8035</v>
      </c>
      <c r="J407" s="9"/>
      <c r="K407" s="18"/>
      <c r="M407" s="36">
        <f t="shared" si="30"/>
        <v>0</v>
      </c>
      <c r="N407" s="23"/>
      <c r="O407" s="23"/>
      <c r="P407" s="20"/>
      <c r="Q407" s="23"/>
      <c r="R407" s="24"/>
      <c r="T407" s="9">
        <f t="shared" si="31"/>
        <v>0</v>
      </c>
    </row>
    <row r="408" spans="1:20" ht="12.75">
      <c r="A408" s="45"/>
      <c r="B408" s="23"/>
      <c r="C408" s="23"/>
      <c r="D408" s="30" t="s">
        <v>539</v>
      </c>
      <c r="E408" s="20">
        <v>-6102</v>
      </c>
      <c r="F408" s="23"/>
      <c r="G408" s="95">
        <v>0.9869</v>
      </c>
      <c r="I408" s="9">
        <f t="shared" si="29"/>
        <v>-6022.0638</v>
      </c>
      <c r="J408" s="9"/>
      <c r="K408" s="18"/>
      <c r="M408" s="36">
        <f t="shared" si="30"/>
        <v>0</v>
      </c>
      <c r="N408" s="23"/>
      <c r="O408" s="23"/>
      <c r="P408" s="20"/>
      <c r="Q408" s="23"/>
      <c r="R408" s="24"/>
      <c r="T408" s="9">
        <f t="shared" si="31"/>
        <v>0</v>
      </c>
    </row>
    <row r="409" spans="1:20" ht="12.75">
      <c r="A409" s="45"/>
      <c r="B409" s="23"/>
      <c r="C409" s="23"/>
      <c r="D409" s="30" t="s">
        <v>540</v>
      </c>
      <c r="E409" s="20">
        <v>-150</v>
      </c>
      <c r="F409" s="23"/>
      <c r="G409" s="95">
        <v>0.9869</v>
      </c>
      <c r="I409" s="9">
        <f t="shared" si="29"/>
        <v>-148.035</v>
      </c>
      <c r="J409" s="9"/>
      <c r="K409" s="18"/>
      <c r="M409" s="36">
        <f t="shared" si="30"/>
        <v>0</v>
      </c>
      <c r="N409" s="23"/>
      <c r="O409" s="23"/>
      <c r="P409" s="20"/>
      <c r="Q409" s="23"/>
      <c r="R409" s="24"/>
      <c r="T409" s="9">
        <f t="shared" si="31"/>
        <v>0</v>
      </c>
    </row>
    <row r="410" spans="1:20" ht="12.75">
      <c r="A410" s="45"/>
      <c r="B410" s="23"/>
      <c r="C410" s="23"/>
      <c r="D410" s="30" t="s">
        <v>541</v>
      </c>
      <c r="E410" s="20">
        <v>-221</v>
      </c>
      <c r="F410" s="23"/>
      <c r="G410" s="95">
        <v>0.9869</v>
      </c>
      <c r="I410" s="9">
        <f t="shared" si="29"/>
        <v>-218.1049</v>
      </c>
      <c r="J410" s="9"/>
      <c r="K410" s="18"/>
      <c r="M410" s="36">
        <f t="shared" si="30"/>
        <v>0</v>
      </c>
      <c r="N410" s="23"/>
      <c r="O410" s="23"/>
      <c r="P410" s="20"/>
      <c r="Q410" s="23"/>
      <c r="R410" s="24"/>
      <c r="T410" s="9">
        <f t="shared" si="31"/>
        <v>0</v>
      </c>
    </row>
    <row r="411" spans="1:20" ht="12.75">
      <c r="A411" s="45"/>
      <c r="B411" s="23"/>
      <c r="C411" s="23"/>
      <c r="D411" s="30" t="s">
        <v>542</v>
      </c>
      <c r="E411" s="20">
        <v>-5622</v>
      </c>
      <c r="F411" s="23"/>
      <c r="G411" s="95">
        <v>0.9869</v>
      </c>
      <c r="I411" s="9">
        <f t="shared" si="29"/>
        <v>-5548.3518</v>
      </c>
      <c r="J411" s="9"/>
      <c r="K411" s="18"/>
      <c r="M411" s="36">
        <f t="shared" si="30"/>
        <v>0</v>
      </c>
      <c r="N411" s="23"/>
      <c r="O411" s="23"/>
      <c r="P411" s="20"/>
      <c r="Q411" s="23"/>
      <c r="R411" s="24"/>
      <c r="T411" s="9">
        <f t="shared" si="31"/>
        <v>0</v>
      </c>
    </row>
    <row r="412" spans="1:20" ht="12.75">
      <c r="A412" s="45"/>
      <c r="B412" s="23"/>
      <c r="C412" s="23"/>
      <c r="D412" s="30" t="s">
        <v>543</v>
      </c>
      <c r="E412" s="20">
        <v>-226</v>
      </c>
      <c r="F412" s="23"/>
      <c r="G412" s="95">
        <v>0.9869</v>
      </c>
      <c r="I412" s="9">
        <f t="shared" si="29"/>
        <v>-223.0394</v>
      </c>
      <c r="J412" s="9"/>
      <c r="K412" s="18"/>
      <c r="M412" s="36">
        <f t="shared" si="30"/>
        <v>0</v>
      </c>
      <c r="N412" s="23"/>
      <c r="O412" s="23"/>
      <c r="P412" s="20"/>
      <c r="Q412" s="23"/>
      <c r="R412" s="24"/>
      <c r="T412" s="9">
        <f t="shared" si="31"/>
        <v>0</v>
      </c>
    </row>
    <row r="413" spans="1:20" ht="12.75">
      <c r="A413" s="45"/>
      <c r="B413" s="23"/>
      <c r="C413" s="23"/>
      <c r="D413" s="30" t="s">
        <v>544</v>
      </c>
      <c r="E413" s="20">
        <v>-3</v>
      </c>
      <c r="F413" s="23"/>
      <c r="G413" s="95">
        <v>0.9869</v>
      </c>
      <c r="I413" s="9">
        <f t="shared" si="29"/>
        <v>-2.9607</v>
      </c>
      <c r="J413" s="9"/>
      <c r="K413" s="18"/>
      <c r="M413" s="36">
        <f t="shared" si="30"/>
        <v>0</v>
      </c>
      <c r="N413" s="23"/>
      <c r="O413" s="23"/>
      <c r="P413" s="20"/>
      <c r="Q413" s="23"/>
      <c r="R413" s="24"/>
      <c r="T413" s="9">
        <f t="shared" si="31"/>
        <v>0</v>
      </c>
    </row>
    <row r="414" spans="1:20" ht="12.75">
      <c r="A414" s="45"/>
      <c r="B414" s="23"/>
      <c r="C414" s="23"/>
      <c r="D414" s="30" t="s">
        <v>545</v>
      </c>
      <c r="E414" s="20">
        <v>-2074</v>
      </c>
      <c r="F414" s="23"/>
      <c r="G414" s="95">
        <v>0.9869</v>
      </c>
      <c r="I414" s="9">
        <f t="shared" si="29"/>
        <v>-2046.8306</v>
      </c>
      <c r="J414" s="9"/>
      <c r="K414" s="18"/>
      <c r="M414" s="36">
        <f t="shared" si="30"/>
        <v>0</v>
      </c>
      <c r="N414" s="23"/>
      <c r="O414" s="23"/>
      <c r="P414" s="20"/>
      <c r="Q414" s="23"/>
      <c r="R414" s="24"/>
      <c r="T414" s="9">
        <f t="shared" si="31"/>
        <v>0</v>
      </c>
    </row>
    <row r="415" spans="1:20" ht="12.75">
      <c r="A415" s="45"/>
      <c r="B415" s="23"/>
      <c r="C415" s="23"/>
      <c r="D415" s="30" t="s">
        <v>546</v>
      </c>
      <c r="E415" s="20">
        <v>-509</v>
      </c>
      <c r="F415" s="23"/>
      <c r="G415" s="95">
        <v>0.9869</v>
      </c>
      <c r="I415" s="9">
        <f t="shared" si="29"/>
        <v>-502.3321</v>
      </c>
      <c r="J415" s="9"/>
      <c r="K415" s="18"/>
      <c r="M415" s="36">
        <f t="shared" si="30"/>
        <v>0</v>
      </c>
      <c r="N415" s="23"/>
      <c r="O415" s="23"/>
      <c r="P415" s="20"/>
      <c r="Q415" s="23"/>
      <c r="R415" s="24"/>
      <c r="T415" s="9">
        <f t="shared" si="31"/>
        <v>0</v>
      </c>
    </row>
    <row r="416" spans="1:20" ht="12.75">
      <c r="A416" s="45"/>
      <c r="B416" s="23"/>
      <c r="C416" s="23"/>
      <c r="D416" s="30" t="s">
        <v>547</v>
      </c>
      <c r="E416" s="20">
        <v>-705</v>
      </c>
      <c r="F416" s="23"/>
      <c r="G416" s="95">
        <v>0.9869</v>
      </c>
      <c r="I416" s="9">
        <f t="shared" si="29"/>
        <v>-695.7645</v>
      </c>
      <c r="J416" s="9"/>
      <c r="K416" s="18"/>
      <c r="M416" s="36">
        <f t="shared" si="30"/>
        <v>0</v>
      </c>
      <c r="N416" s="23"/>
      <c r="O416" s="23"/>
      <c r="P416" s="20"/>
      <c r="Q416" s="23"/>
      <c r="R416" s="24"/>
      <c r="T416" s="9">
        <f t="shared" si="31"/>
        <v>0</v>
      </c>
    </row>
    <row r="417" spans="1:20" ht="12.75">
      <c r="A417" s="45"/>
      <c r="B417" s="23"/>
      <c r="C417" s="23"/>
      <c r="D417" s="30" t="s">
        <v>548</v>
      </c>
      <c r="E417" s="20">
        <v>-13850</v>
      </c>
      <c r="F417" s="23"/>
      <c r="G417" s="95">
        <v>0.99833</v>
      </c>
      <c r="I417" s="9">
        <f t="shared" si="29"/>
        <v>-13826.8705</v>
      </c>
      <c r="J417" s="9"/>
      <c r="K417" s="18"/>
      <c r="M417" s="36">
        <f t="shared" si="30"/>
        <v>0</v>
      </c>
      <c r="N417" s="23"/>
      <c r="O417" s="23"/>
      <c r="P417" s="20"/>
      <c r="Q417" s="23"/>
      <c r="R417" s="24"/>
      <c r="T417" s="9">
        <f t="shared" si="31"/>
        <v>0</v>
      </c>
    </row>
    <row r="418" spans="1:20" ht="12.75">
      <c r="A418" s="45"/>
      <c r="B418" s="23"/>
      <c r="C418" s="23"/>
      <c r="D418" s="30" t="s">
        <v>549</v>
      </c>
      <c r="E418" s="20">
        <v>-1213</v>
      </c>
      <c r="F418" s="23"/>
      <c r="G418" s="95">
        <v>0.99833</v>
      </c>
      <c r="I418" s="9">
        <f t="shared" si="29"/>
        <v>-1210.97429</v>
      </c>
      <c r="J418" s="9"/>
      <c r="K418" s="18"/>
      <c r="M418" s="36">
        <f t="shared" si="30"/>
        <v>0</v>
      </c>
      <c r="N418" s="23"/>
      <c r="O418" s="23"/>
      <c r="P418" s="20"/>
      <c r="Q418" s="23"/>
      <c r="R418" s="24"/>
      <c r="T418" s="9">
        <f t="shared" si="31"/>
        <v>0</v>
      </c>
    </row>
    <row r="419" spans="1:20" ht="12.75">
      <c r="A419" s="45"/>
      <c r="B419" s="23"/>
      <c r="C419" s="23"/>
      <c r="D419" s="30" t="s">
        <v>550</v>
      </c>
      <c r="E419" s="20">
        <v>-726</v>
      </c>
      <c r="F419" s="23"/>
      <c r="G419" s="95">
        <v>0.99833</v>
      </c>
      <c r="I419" s="9">
        <f t="shared" si="29"/>
        <v>-724.78758</v>
      </c>
      <c r="J419" s="9"/>
      <c r="K419" s="18"/>
      <c r="M419" s="36">
        <f t="shared" si="30"/>
        <v>0</v>
      </c>
      <c r="N419" s="23"/>
      <c r="O419" s="23"/>
      <c r="P419" s="20"/>
      <c r="Q419" s="23"/>
      <c r="R419" s="24"/>
      <c r="T419" s="9">
        <f t="shared" si="31"/>
        <v>0</v>
      </c>
    </row>
    <row r="420" spans="1:20" ht="12.75">
      <c r="A420" s="45"/>
      <c r="B420" s="23"/>
      <c r="C420" s="23"/>
      <c r="D420" s="30" t="s">
        <v>551</v>
      </c>
      <c r="E420" s="20">
        <v>-1361</v>
      </c>
      <c r="F420" s="23"/>
      <c r="G420" s="95">
        <v>0.99833</v>
      </c>
      <c r="I420" s="9">
        <f t="shared" si="29"/>
        <v>-1358.72713</v>
      </c>
      <c r="J420" s="9"/>
      <c r="K420" s="18"/>
      <c r="M420" s="36">
        <f t="shared" si="30"/>
        <v>0</v>
      </c>
      <c r="N420" s="23"/>
      <c r="O420" s="23"/>
      <c r="P420" s="20"/>
      <c r="Q420" s="23"/>
      <c r="R420" s="24"/>
      <c r="T420" s="9">
        <f t="shared" si="31"/>
        <v>0</v>
      </c>
    </row>
    <row r="421" spans="1:20" ht="12.75">
      <c r="A421" s="45"/>
      <c r="B421" s="23"/>
      <c r="C421" s="23"/>
      <c r="D421" s="30" t="s">
        <v>552</v>
      </c>
      <c r="E421" s="20">
        <v>-5072</v>
      </c>
      <c r="F421" s="23"/>
      <c r="G421" s="95">
        <v>0.99833</v>
      </c>
      <c r="I421" s="9">
        <f t="shared" si="29"/>
        <v>-5063.52976</v>
      </c>
      <c r="J421" s="9"/>
      <c r="K421" s="18"/>
      <c r="M421" s="36">
        <f t="shared" si="30"/>
        <v>0</v>
      </c>
      <c r="N421" s="23"/>
      <c r="O421" s="23"/>
      <c r="P421" s="20"/>
      <c r="Q421" s="23"/>
      <c r="R421" s="24"/>
      <c r="T421" s="9">
        <f t="shared" si="31"/>
        <v>0</v>
      </c>
    </row>
    <row r="422" spans="1:20" ht="12.75">
      <c r="A422" s="45"/>
      <c r="B422" s="23"/>
      <c r="C422" s="23"/>
      <c r="D422" s="30" t="s">
        <v>495</v>
      </c>
      <c r="E422" s="20">
        <v>-2</v>
      </c>
      <c r="F422" s="23"/>
      <c r="G422" s="95">
        <v>0.99833</v>
      </c>
      <c r="I422" s="9">
        <f t="shared" si="29"/>
        <v>-1.99666</v>
      </c>
      <c r="J422" s="9"/>
      <c r="K422" s="18"/>
      <c r="M422" s="36">
        <f t="shared" si="30"/>
        <v>0</v>
      </c>
      <c r="N422" s="23"/>
      <c r="O422" s="23"/>
      <c r="P422" s="20"/>
      <c r="Q422" s="23"/>
      <c r="R422" s="24"/>
      <c r="T422" s="9">
        <f t="shared" si="31"/>
        <v>0</v>
      </c>
    </row>
    <row r="423" spans="1:20" ht="12.75">
      <c r="A423" s="45"/>
      <c r="B423" s="23"/>
      <c r="C423" s="23"/>
      <c r="D423" s="30" t="s">
        <v>553</v>
      </c>
      <c r="E423" s="20">
        <v>-13944</v>
      </c>
      <c r="F423" s="23"/>
      <c r="G423" s="95">
        <v>0.99833</v>
      </c>
      <c r="I423" s="9">
        <f t="shared" si="29"/>
        <v>-13920.713520000001</v>
      </c>
      <c r="J423" s="9"/>
      <c r="K423" s="18"/>
      <c r="M423" s="36">
        <f t="shared" si="30"/>
        <v>0</v>
      </c>
      <c r="N423" s="23"/>
      <c r="O423" s="23"/>
      <c r="P423" s="20"/>
      <c r="Q423" s="23"/>
      <c r="R423" s="24"/>
      <c r="T423" s="9">
        <f t="shared" si="31"/>
        <v>0</v>
      </c>
    </row>
    <row r="424" spans="1:20" ht="12.75">
      <c r="A424" s="45"/>
      <c r="B424" s="23"/>
      <c r="C424" s="23"/>
      <c r="D424" s="30" t="s">
        <v>554</v>
      </c>
      <c r="E424" s="20">
        <v>-824</v>
      </c>
      <c r="F424" s="23"/>
      <c r="G424" s="95">
        <v>0.99833</v>
      </c>
      <c r="I424" s="9">
        <f t="shared" si="29"/>
        <v>-822.62392</v>
      </c>
      <c r="J424" s="9"/>
      <c r="K424" s="18"/>
      <c r="M424" s="36">
        <f t="shared" si="30"/>
        <v>0</v>
      </c>
      <c r="N424" s="23"/>
      <c r="O424" s="23"/>
      <c r="P424" s="20"/>
      <c r="Q424" s="23"/>
      <c r="R424" s="24"/>
      <c r="T424" s="9">
        <f t="shared" si="31"/>
        <v>0</v>
      </c>
    </row>
    <row r="425" spans="1:20" ht="12.75">
      <c r="A425" s="45"/>
      <c r="B425" s="23"/>
      <c r="C425" s="23"/>
      <c r="D425" s="30" t="s">
        <v>555</v>
      </c>
      <c r="E425" s="20">
        <v>-24313</v>
      </c>
      <c r="F425" s="23"/>
      <c r="G425" s="95">
        <v>0.99833</v>
      </c>
      <c r="I425" s="9">
        <f t="shared" si="29"/>
        <v>-24272.39729</v>
      </c>
      <c r="J425" s="9"/>
      <c r="K425" s="18"/>
      <c r="M425" s="36">
        <f t="shared" si="30"/>
        <v>0</v>
      </c>
      <c r="N425" s="23"/>
      <c r="O425" s="23"/>
      <c r="P425" s="20"/>
      <c r="Q425" s="23"/>
      <c r="R425" s="24"/>
      <c r="T425" s="9">
        <f t="shared" si="31"/>
        <v>0</v>
      </c>
    </row>
    <row r="426" spans="1:20" ht="12.75">
      <c r="A426" s="45"/>
      <c r="B426" s="23"/>
      <c r="C426" s="23"/>
      <c r="D426" s="30" t="s">
        <v>556</v>
      </c>
      <c r="E426" s="20">
        <v>-117</v>
      </c>
      <c r="F426" s="23"/>
      <c r="G426" s="95">
        <v>0.99833</v>
      </c>
      <c r="I426" s="9">
        <f t="shared" si="29"/>
        <v>-116.80461000000001</v>
      </c>
      <c r="J426" s="9"/>
      <c r="K426" s="18"/>
      <c r="M426" s="36">
        <f t="shared" si="30"/>
        <v>0</v>
      </c>
      <c r="N426" s="23"/>
      <c r="O426" s="23"/>
      <c r="P426" s="20"/>
      <c r="Q426" s="23"/>
      <c r="R426" s="24"/>
      <c r="T426" s="9">
        <f t="shared" si="31"/>
        <v>0</v>
      </c>
    </row>
    <row r="427" spans="1:20" ht="12.75">
      <c r="A427" s="45"/>
      <c r="B427" s="23"/>
      <c r="C427" s="23"/>
      <c r="D427" s="30" t="s">
        <v>557</v>
      </c>
      <c r="E427" s="20">
        <v>-6618</v>
      </c>
      <c r="F427" s="23"/>
      <c r="G427" s="95">
        <v>0.99833</v>
      </c>
      <c r="I427" s="9">
        <f t="shared" si="29"/>
        <v>-6606.94794</v>
      </c>
      <c r="J427" s="9"/>
      <c r="K427" s="18"/>
      <c r="M427" s="36">
        <f t="shared" si="30"/>
        <v>0</v>
      </c>
      <c r="N427" s="23"/>
      <c r="O427" s="23"/>
      <c r="P427" s="20"/>
      <c r="Q427" s="23"/>
      <c r="R427" s="24"/>
      <c r="T427" s="9">
        <f t="shared" si="31"/>
        <v>0</v>
      </c>
    </row>
    <row r="428" spans="1:20" ht="12.75">
      <c r="A428" s="45"/>
      <c r="B428" s="23"/>
      <c r="C428" s="23"/>
      <c r="D428" s="30" t="s">
        <v>558</v>
      </c>
      <c r="E428" s="20">
        <v>-30603</v>
      </c>
      <c r="F428" s="23"/>
      <c r="G428" s="95">
        <v>0.99833</v>
      </c>
      <c r="I428" s="9">
        <f t="shared" si="29"/>
        <v>-30551.89299</v>
      </c>
      <c r="J428" s="9"/>
      <c r="K428" s="18"/>
      <c r="M428" s="36">
        <f t="shared" si="30"/>
        <v>0</v>
      </c>
      <c r="O428" s="23"/>
      <c r="P428" s="32"/>
      <c r="Q428" s="23"/>
      <c r="R428" s="24"/>
      <c r="T428" s="9">
        <f t="shared" si="31"/>
        <v>0</v>
      </c>
    </row>
    <row r="429" spans="1:20" ht="12.75">
      <c r="A429" s="45"/>
      <c r="B429" s="23"/>
      <c r="C429" s="23"/>
      <c r="D429" s="30" t="s">
        <v>559</v>
      </c>
      <c r="E429" s="20">
        <v>-5971</v>
      </c>
      <c r="F429" s="23"/>
      <c r="G429" s="95">
        <v>0.99833</v>
      </c>
      <c r="I429" s="9">
        <f t="shared" si="29"/>
        <v>-5961.02843</v>
      </c>
      <c r="J429" s="9"/>
      <c r="K429" s="18"/>
      <c r="M429" s="36">
        <f t="shared" si="30"/>
        <v>0</v>
      </c>
      <c r="O429" s="23"/>
      <c r="P429" s="20"/>
      <c r="Q429" s="23"/>
      <c r="R429" s="24"/>
      <c r="T429" s="9">
        <f t="shared" si="31"/>
        <v>0</v>
      </c>
    </row>
    <row r="430" spans="1:20" ht="12.75">
      <c r="A430" s="45"/>
      <c r="B430" s="23"/>
      <c r="C430" s="23"/>
      <c r="D430" s="30" t="s">
        <v>560</v>
      </c>
      <c r="E430" s="20">
        <v>-225</v>
      </c>
      <c r="F430" s="23"/>
      <c r="G430" s="95">
        <v>0.99833</v>
      </c>
      <c r="I430" s="9">
        <f t="shared" si="29"/>
        <v>-224.62425000000002</v>
      </c>
      <c r="J430" s="9"/>
      <c r="K430" s="18"/>
      <c r="M430" s="36">
        <f t="shared" si="30"/>
        <v>0</v>
      </c>
      <c r="O430" s="23"/>
      <c r="P430" s="20"/>
      <c r="Q430" s="23"/>
      <c r="R430" s="24"/>
      <c r="T430" s="9">
        <f t="shared" si="31"/>
        <v>0</v>
      </c>
    </row>
    <row r="431" spans="1:20" ht="12.75">
      <c r="A431" s="45"/>
      <c r="B431" s="23"/>
      <c r="C431" s="23"/>
      <c r="D431" s="30" t="s">
        <v>561</v>
      </c>
      <c r="E431" s="20">
        <v>-3571</v>
      </c>
      <c r="F431" s="23"/>
      <c r="G431" s="95">
        <v>0.99833</v>
      </c>
      <c r="I431" s="9">
        <f t="shared" si="29"/>
        <v>-3565.03643</v>
      </c>
      <c r="J431" s="9"/>
      <c r="K431" s="18"/>
      <c r="M431" s="36">
        <f t="shared" si="30"/>
        <v>0</v>
      </c>
      <c r="O431" s="23"/>
      <c r="P431" s="20"/>
      <c r="Q431" s="23"/>
      <c r="R431" s="24"/>
      <c r="T431" s="9">
        <f t="shared" si="31"/>
        <v>0</v>
      </c>
    </row>
    <row r="432" spans="1:21" ht="12.75">
      <c r="A432" s="45"/>
      <c r="B432" s="23"/>
      <c r="C432" s="23"/>
      <c r="D432" s="30" t="s">
        <v>562</v>
      </c>
      <c r="E432" s="20">
        <v>-103</v>
      </c>
      <c r="F432" s="23"/>
      <c r="G432" s="95">
        <v>0.99833</v>
      </c>
      <c r="I432" s="9">
        <f t="shared" si="29"/>
        <v>-102.82799</v>
      </c>
      <c r="J432" s="9"/>
      <c r="K432" s="20"/>
      <c r="M432" s="36">
        <f t="shared" si="30"/>
        <v>0</v>
      </c>
      <c r="N432" s="23"/>
      <c r="O432" s="23"/>
      <c r="P432" s="32"/>
      <c r="Q432" s="23"/>
      <c r="R432" s="24"/>
      <c r="T432" s="9">
        <f t="shared" si="31"/>
        <v>0</v>
      </c>
      <c r="U432" s="9"/>
    </row>
    <row r="433" spans="1:21" ht="12.75">
      <c r="A433" s="45"/>
      <c r="B433" s="23"/>
      <c r="C433" s="23"/>
      <c r="D433" s="30" t="s">
        <v>563</v>
      </c>
      <c r="E433" s="20">
        <v>-1769</v>
      </c>
      <c r="F433" s="23"/>
      <c r="G433" s="95">
        <v>0.99833</v>
      </c>
      <c r="I433" s="9">
        <f t="shared" si="29"/>
        <v>-1766.0457700000002</v>
      </c>
      <c r="J433" s="9"/>
      <c r="K433" s="9"/>
      <c r="M433" s="36">
        <f t="shared" si="30"/>
        <v>0</v>
      </c>
      <c r="N433" s="23"/>
      <c r="O433" s="23"/>
      <c r="P433" s="20"/>
      <c r="Q433" s="23"/>
      <c r="R433" s="24"/>
      <c r="T433" s="9">
        <f t="shared" si="31"/>
        <v>0</v>
      </c>
      <c r="U433" s="9"/>
    </row>
    <row r="434" spans="1:20" ht="12.75">
      <c r="A434" s="45"/>
      <c r="B434" s="23"/>
      <c r="C434" s="23"/>
      <c r="D434" s="30" t="s">
        <v>564</v>
      </c>
      <c r="E434" s="20">
        <v>-1068</v>
      </c>
      <c r="F434" s="23"/>
      <c r="G434" s="95">
        <v>0.81025</v>
      </c>
      <c r="I434" s="9">
        <f t="shared" si="29"/>
        <v>-865.347</v>
      </c>
      <c r="J434" s="9"/>
      <c r="K434" s="9"/>
      <c r="M434" s="36">
        <f t="shared" si="30"/>
        <v>0</v>
      </c>
      <c r="N434" s="23"/>
      <c r="O434" s="23"/>
      <c r="P434" s="20"/>
      <c r="Q434" s="23"/>
      <c r="R434" s="24"/>
      <c r="T434" s="9">
        <f t="shared" si="31"/>
        <v>0</v>
      </c>
    </row>
    <row r="435" spans="1:20" ht="12.75">
      <c r="A435" s="45"/>
      <c r="B435" s="23"/>
      <c r="C435" s="23"/>
      <c r="D435" s="30" t="s">
        <v>565</v>
      </c>
      <c r="E435" s="20">
        <v>-11675</v>
      </c>
      <c r="F435" s="23"/>
      <c r="G435" s="95">
        <v>0.86549</v>
      </c>
      <c r="I435" s="9">
        <f t="shared" si="29"/>
        <v>-10104.59575</v>
      </c>
      <c r="J435" s="9"/>
      <c r="K435" s="9"/>
      <c r="M435" s="36">
        <f t="shared" si="30"/>
        <v>0</v>
      </c>
      <c r="N435" s="23"/>
      <c r="O435" s="23"/>
      <c r="P435" s="20"/>
      <c r="Q435" s="23"/>
      <c r="R435" s="24"/>
      <c r="T435" s="9">
        <f t="shared" si="31"/>
        <v>0</v>
      </c>
    </row>
    <row r="436" spans="1:20" ht="12.75">
      <c r="A436" s="45"/>
      <c r="B436" s="23"/>
      <c r="C436" s="23"/>
      <c r="D436" s="30" t="s">
        <v>566</v>
      </c>
      <c r="E436" s="20">
        <v>-34008</v>
      </c>
      <c r="F436" s="23"/>
      <c r="G436" s="95">
        <v>0.81323</v>
      </c>
      <c r="I436" s="9">
        <f t="shared" si="29"/>
        <v>-27656.32584</v>
      </c>
      <c r="J436" s="9"/>
      <c r="K436" s="9"/>
      <c r="M436" s="36">
        <f t="shared" si="30"/>
        <v>0</v>
      </c>
      <c r="N436" s="23"/>
      <c r="O436" s="23"/>
      <c r="P436" s="20"/>
      <c r="Q436" s="23"/>
      <c r="R436" s="24"/>
      <c r="T436" s="9">
        <f t="shared" si="31"/>
        <v>0</v>
      </c>
    </row>
    <row r="437" spans="1:20" ht="12.75">
      <c r="A437" s="45"/>
      <c r="B437" s="23"/>
      <c r="C437" s="23"/>
      <c r="D437" s="30" t="s">
        <v>567</v>
      </c>
      <c r="E437" s="20">
        <v>-5193</v>
      </c>
      <c r="F437" s="23"/>
      <c r="G437" s="95">
        <v>0.86271</v>
      </c>
      <c r="I437" s="9">
        <f t="shared" si="29"/>
        <v>-4480.05303</v>
      </c>
      <c r="J437" s="9"/>
      <c r="K437" s="9"/>
      <c r="M437" s="36">
        <f t="shared" si="30"/>
        <v>0</v>
      </c>
      <c r="N437" s="23"/>
      <c r="O437" s="23"/>
      <c r="P437" s="20"/>
      <c r="Q437" s="23"/>
      <c r="R437" s="24"/>
      <c r="T437" s="9">
        <f t="shared" si="31"/>
        <v>0</v>
      </c>
    </row>
    <row r="438" spans="1:20" ht="12.75">
      <c r="A438" s="45"/>
      <c r="B438" s="23"/>
      <c r="C438" s="23"/>
      <c r="D438" s="30" t="s">
        <v>568</v>
      </c>
      <c r="E438" s="20">
        <v>-831</v>
      </c>
      <c r="F438" s="23"/>
      <c r="G438" s="95">
        <v>0.81752</v>
      </c>
      <c r="I438" s="9">
        <f t="shared" si="29"/>
        <v>-679.3591200000001</v>
      </c>
      <c r="J438" s="9"/>
      <c r="K438" s="9"/>
      <c r="M438" s="36">
        <f t="shared" si="30"/>
        <v>0</v>
      </c>
      <c r="N438" s="23"/>
      <c r="O438" s="23"/>
      <c r="P438" s="20"/>
      <c r="Q438" s="23"/>
      <c r="R438" s="24"/>
      <c r="T438" s="9">
        <f t="shared" si="31"/>
        <v>0</v>
      </c>
    </row>
    <row r="439" spans="1:20" ht="12.75">
      <c r="A439" s="45"/>
      <c r="B439" s="23"/>
      <c r="C439" s="23"/>
      <c r="D439" s="30" t="s">
        <v>569</v>
      </c>
      <c r="E439" s="20">
        <v>-619</v>
      </c>
      <c r="F439" s="23"/>
      <c r="G439" s="95">
        <v>0.80421</v>
      </c>
      <c r="I439" s="9">
        <f t="shared" si="29"/>
        <v>-497.80599</v>
      </c>
      <c r="J439" s="9"/>
      <c r="K439" s="9"/>
      <c r="M439" s="36">
        <f t="shared" si="30"/>
        <v>0</v>
      </c>
      <c r="N439" s="23"/>
      <c r="O439" s="23"/>
      <c r="P439" s="20"/>
      <c r="Q439" s="23"/>
      <c r="R439" s="24"/>
      <c r="T439" s="9">
        <f t="shared" si="31"/>
        <v>0</v>
      </c>
    </row>
    <row r="440" spans="1:20" ht="12.75">
      <c r="A440" s="45"/>
      <c r="B440" s="23"/>
      <c r="C440" s="23"/>
      <c r="D440" s="30" t="s">
        <v>570</v>
      </c>
      <c r="E440" s="20">
        <v>-942</v>
      </c>
      <c r="F440" s="23"/>
      <c r="G440" s="95">
        <v>0.84214</v>
      </c>
      <c r="I440" s="9">
        <f t="shared" si="29"/>
        <v>-793.29588</v>
      </c>
      <c r="J440" s="9"/>
      <c r="K440" s="9"/>
      <c r="M440" s="36">
        <f t="shared" si="30"/>
        <v>0</v>
      </c>
      <c r="N440" s="23"/>
      <c r="O440" s="23"/>
      <c r="P440" s="20"/>
      <c r="Q440" s="23"/>
      <c r="R440" s="24"/>
      <c r="T440" s="9">
        <f t="shared" si="31"/>
        <v>0</v>
      </c>
    </row>
    <row r="441" spans="1:20" ht="12.75">
      <c r="A441" s="45"/>
      <c r="B441" s="23"/>
      <c r="C441" s="23"/>
      <c r="D441" s="30" t="s">
        <v>571</v>
      </c>
      <c r="E441" s="20">
        <v>-652</v>
      </c>
      <c r="F441" s="23"/>
      <c r="G441" s="95">
        <v>1</v>
      </c>
      <c r="I441" s="9">
        <f t="shared" si="29"/>
        <v>-652</v>
      </c>
      <c r="J441" s="9"/>
      <c r="K441" s="9"/>
      <c r="M441" s="36">
        <f t="shared" si="30"/>
        <v>0</v>
      </c>
      <c r="N441" s="23"/>
      <c r="O441" s="23"/>
      <c r="P441" s="20"/>
      <c r="Q441" s="23"/>
      <c r="R441" s="24"/>
      <c r="T441" s="9">
        <f t="shared" si="31"/>
        <v>0</v>
      </c>
    </row>
    <row r="442" spans="1:20" ht="12.75">
      <c r="A442" s="45"/>
      <c r="B442" s="23"/>
      <c r="C442" s="23"/>
      <c r="D442" s="30" t="s">
        <v>572</v>
      </c>
      <c r="E442" s="20">
        <v>-72</v>
      </c>
      <c r="F442" s="23"/>
      <c r="G442" s="95">
        <v>0.90241</v>
      </c>
      <c r="I442" s="9">
        <f t="shared" si="29"/>
        <v>-64.97352000000001</v>
      </c>
      <c r="J442" s="9"/>
      <c r="K442" s="9"/>
      <c r="M442" s="36">
        <f t="shared" si="30"/>
        <v>0</v>
      </c>
      <c r="N442" s="23"/>
      <c r="O442" s="23"/>
      <c r="P442" s="20"/>
      <c r="Q442" s="23"/>
      <c r="R442" s="24"/>
      <c r="T442" s="9">
        <f t="shared" si="31"/>
        <v>0</v>
      </c>
    </row>
    <row r="443" spans="1:20" ht="12.75">
      <c r="A443" s="45"/>
      <c r="B443" s="23"/>
      <c r="C443" s="23"/>
      <c r="D443" s="30" t="s">
        <v>573</v>
      </c>
      <c r="E443" s="20">
        <v>-3672</v>
      </c>
      <c r="F443" s="23"/>
      <c r="G443" s="95">
        <v>0.94019</v>
      </c>
      <c r="I443" s="9">
        <f t="shared" si="29"/>
        <v>-3452.37768</v>
      </c>
      <c r="J443" s="9"/>
      <c r="K443" s="9"/>
      <c r="M443" s="36">
        <f t="shared" si="30"/>
        <v>0</v>
      </c>
      <c r="O443" s="23"/>
      <c r="P443" s="32"/>
      <c r="Q443" s="23"/>
      <c r="R443" s="24"/>
      <c r="T443" s="9">
        <f t="shared" si="31"/>
        <v>0</v>
      </c>
    </row>
    <row r="444" spans="1:20" ht="12.75">
      <c r="A444" s="45"/>
      <c r="B444" s="23"/>
      <c r="C444" s="23"/>
      <c r="D444" s="30" t="s">
        <v>574</v>
      </c>
      <c r="E444" s="20">
        <v>-117868</v>
      </c>
      <c r="F444" s="23"/>
      <c r="G444" s="95">
        <v>0.84171</v>
      </c>
      <c r="I444" s="9">
        <f t="shared" si="29"/>
        <v>-99210.67427999999</v>
      </c>
      <c r="J444" s="9"/>
      <c r="K444" s="9"/>
      <c r="M444" s="36">
        <f t="shared" si="30"/>
        <v>0</v>
      </c>
      <c r="O444" s="23"/>
      <c r="P444" s="20"/>
      <c r="Q444" s="23"/>
      <c r="R444" s="24"/>
      <c r="T444" s="9">
        <f t="shared" si="31"/>
        <v>0</v>
      </c>
    </row>
    <row r="445" spans="1:20" ht="12.75">
      <c r="A445" s="45"/>
      <c r="B445" s="23"/>
      <c r="C445" s="23"/>
      <c r="D445" s="30" t="s">
        <v>575</v>
      </c>
      <c r="E445" s="20">
        <v>-81</v>
      </c>
      <c r="F445" s="23"/>
      <c r="G445" s="95">
        <v>0.87456</v>
      </c>
      <c r="I445" s="9">
        <f t="shared" si="29"/>
        <v>-70.83936</v>
      </c>
      <c r="J445" s="9"/>
      <c r="K445" s="9"/>
      <c r="M445" s="36">
        <f t="shared" si="30"/>
        <v>0</v>
      </c>
      <c r="O445" s="23"/>
      <c r="P445" s="20"/>
      <c r="Q445" s="23"/>
      <c r="R445" s="24"/>
      <c r="T445" s="9">
        <f t="shared" si="31"/>
        <v>0</v>
      </c>
    </row>
    <row r="446" spans="1:20" ht="12.75">
      <c r="A446" s="45"/>
      <c r="B446" s="23"/>
      <c r="C446" s="23"/>
      <c r="D446" s="30" t="s">
        <v>576</v>
      </c>
      <c r="E446" s="20">
        <v>-624</v>
      </c>
      <c r="F446" s="23"/>
      <c r="G446" s="95">
        <v>0.86714</v>
      </c>
      <c r="I446" s="9">
        <f t="shared" si="29"/>
        <v>-541.09536</v>
      </c>
      <c r="J446" s="9"/>
      <c r="K446" s="20"/>
      <c r="M446" s="36">
        <f t="shared" si="30"/>
        <v>0</v>
      </c>
      <c r="N446" s="23"/>
      <c r="O446" s="23"/>
      <c r="P446" s="20"/>
      <c r="Q446" s="23"/>
      <c r="R446" s="24"/>
      <c r="T446" s="9">
        <f t="shared" si="31"/>
        <v>0</v>
      </c>
    </row>
    <row r="447" spans="1:20" ht="12.75">
      <c r="A447" s="45"/>
      <c r="B447" s="23"/>
      <c r="C447" s="23"/>
      <c r="D447" s="30" t="s">
        <v>577</v>
      </c>
      <c r="E447" s="20">
        <v>-1264</v>
      </c>
      <c r="F447" s="23"/>
      <c r="G447" s="95">
        <v>0.92298</v>
      </c>
      <c r="I447" s="9">
        <f t="shared" si="29"/>
        <v>-1166.64672</v>
      </c>
      <c r="J447" s="9"/>
      <c r="K447" s="9"/>
      <c r="M447" s="36">
        <f t="shared" si="30"/>
        <v>0</v>
      </c>
      <c r="N447" s="23"/>
      <c r="O447" s="23"/>
      <c r="P447" s="20"/>
      <c r="Q447" s="23"/>
      <c r="R447" s="24"/>
      <c r="T447" s="9">
        <f t="shared" si="31"/>
        <v>0</v>
      </c>
    </row>
    <row r="448" spans="1:20" ht="12.75">
      <c r="A448" s="45"/>
      <c r="B448" s="23"/>
      <c r="C448" s="23"/>
      <c r="D448" s="30"/>
      <c r="E448" s="20"/>
      <c r="F448" s="23"/>
      <c r="G448" s="95"/>
      <c r="I448" s="9">
        <f t="shared" si="29"/>
        <v>0</v>
      </c>
      <c r="J448" s="9"/>
      <c r="K448" s="9"/>
      <c r="M448" s="36">
        <f t="shared" si="30"/>
        <v>0</v>
      </c>
      <c r="N448" s="23"/>
      <c r="O448" s="23"/>
      <c r="P448" s="20"/>
      <c r="Q448" s="23"/>
      <c r="R448" s="24"/>
      <c r="T448" s="9">
        <f t="shared" si="31"/>
        <v>0</v>
      </c>
    </row>
    <row r="449" spans="1:21" ht="12.75">
      <c r="A449" s="45"/>
      <c r="B449" s="23"/>
      <c r="C449" s="23"/>
      <c r="D449" s="30"/>
      <c r="E449" s="32" t="s">
        <v>134</v>
      </c>
      <c r="F449" s="23"/>
      <c r="G449" s="95"/>
      <c r="I449" s="32" t="s">
        <v>134</v>
      </c>
      <c r="J449" s="9"/>
      <c r="K449" s="9"/>
      <c r="M449" s="36">
        <f>+B449</f>
        <v>0</v>
      </c>
      <c r="N449" s="23"/>
      <c r="O449" s="23"/>
      <c r="P449" s="32" t="s">
        <v>134</v>
      </c>
      <c r="Q449" s="23"/>
      <c r="R449" s="95"/>
      <c r="T449" s="32" t="s">
        <v>134</v>
      </c>
      <c r="U449" s="9"/>
    </row>
    <row r="450" spans="1:21" ht="12.75">
      <c r="A450" s="45">
        <f>+A390</f>
        <v>46</v>
      </c>
      <c r="B450" s="30" t="s">
        <v>425</v>
      </c>
      <c r="C450" s="23"/>
      <c r="D450" s="30"/>
      <c r="E450" s="20">
        <f>SUM(E390:E449)</f>
        <v>-422238</v>
      </c>
      <c r="F450" s="23"/>
      <c r="G450" s="95"/>
      <c r="I450" s="20">
        <f>SUM(I390:I449)</f>
        <v>-391950.21088999993</v>
      </c>
      <c r="J450" s="9"/>
      <c r="K450" s="9">
        <f>+A450</f>
        <v>46</v>
      </c>
      <c r="M450" s="36" t="str">
        <f>+B450</f>
        <v>Total Adjustment</v>
      </c>
      <c r="N450" s="23"/>
      <c r="O450" s="23"/>
      <c r="P450" s="20">
        <f>SUM(P390:P449)</f>
        <v>0</v>
      </c>
      <c r="Q450" s="23"/>
      <c r="R450" s="95"/>
      <c r="T450" s="20">
        <f>SUM(T390:T449)</f>
        <v>0</v>
      </c>
      <c r="U450" s="9"/>
    </row>
    <row r="451" spans="1:21" ht="12.75">
      <c r="A451" s="45"/>
      <c r="B451" s="29"/>
      <c r="C451" s="29"/>
      <c r="D451" s="30"/>
      <c r="E451" s="20"/>
      <c r="F451" s="23"/>
      <c r="G451" s="95"/>
      <c r="H451" s="23"/>
      <c r="I451" s="9"/>
      <c r="J451" s="9"/>
      <c r="K451" s="9"/>
      <c r="M451" s="36"/>
      <c r="N451" s="23"/>
      <c r="O451" s="23"/>
      <c r="P451" s="20"/>
      <c r="Q451" s="23"/>
      <c r="R451" s="24"/>
      <c r="T451" s="9"/>
      <c r="U451" s="9"/>
    </row>
    <row r="452" spans="1:21" ht="12.75">
      <c r="A452" s="45">
        <f>+A450+1</f>
        <v>47</v>
      </c>
      <c r="B452" s="29" t="s">
        <v>357</v>
      </c>
      <c r="C452" s="29"/>
      <c r="D452" s="30"/>
      <c r="E452" s="20"/>
      <c r="F452" s="23"/>
      <c r="G452" s="95"/>
      <c r="H452" s="23"/>
      <c r="I452" s="9"/>
      <c r="J452" s="9"/>
      <c r="K452" s="9">
        <f>+A452</f>
        <v>47</v>
      </c>
      <c r="M452" s="35" t="str">
        <f aca="true" t="shared" si="32" ref="M452:M461">+B452</f>
        <v>Annualize Depreciation Expense</v>
      </c>
      <c r="N452" s="23"/>
      <c r="O452" s="23"/>
      <c r="P452" s="20"/>
      <c r="Q452" s="23"/>
      <c r="R452" s="24"/>
      <c r="T452" s="9"/>
      <c r="U452" s="9"/>
    </row>
    <row r="453" spans="1:21" ht="12.75">
      <c r="A453" s="45"/>
      <c r="B453" s="48" t="s">
        <v>357</v>
      </c>
      <c r="C453" s="29"/>
      <c r="D453" s="30" t="s">
        <v>793</v>
      </c>
      <c r="E453" s="20">
        <v>-6403886</v>
      </c>
      <c r="F453" s="23"/>
      <c r="G453" s="95">
        <v>1</v>
      </c>
      <c r="H453" s="23"/>
      <c r="I453" s="9">
        <f aca="true" t="shared" si="33" ref="I453:I459">+E453*G453</f>
        <v>-6403886</v>
      </c>
      <c r="J453" s="9"/>
      <c r="K453" s="9"/>
      <c r="M453" s="36" t="str">
        <f t="shared" si="32"/>
        <v>Annualize Depreciation Expense</v>
      </c>
      <c r="N453" s="23"/>
      <c r="O453" s="23"/>
      <c r="P453" s="20">
        <v>11133970</v>
      </c>
      <c r="Q453" s="23"/>
      <c r="R453" s="24">
        <v>1</v>
      </c>
      <c r="T453" s="9">
        <f aca="true" t="shared" si="34" ref="T453:T459">+P453*R453</f>
        <v>11133970</v>
      </c>
      <c r="U453" s="9"/>
    </row>
    <row r="454" spans="1:21" ht="12.75">
      <c r="A454" s="45"/>
      <c r="B454" s="23" t="s">
        <v>460</v>
      </c>
      <c r="C454" s="29"/>
      <c r="D454" s="30"/>
      <c r="E454" s="20"/>
      <c r="F454" s="23"/>
      <c r="G454" s="95">
        <v>1</v>
      </c>
      <c r="H454" s="23"/>
      <c r="I454" s="9">
        <f t="shared" si="33"/>
        <v>0</v>
      </c>
      <c r="J454" s="9"/>
      <c r="K454" s="9"/>
      <c r="M454" s="36" t="str">
        <f t="shared" si="32"/>
        <v>Merger Synergies</v>
      </c>
      <c r="N454" s="23"/>
      <c r="O454" s="23"/>
      <c r="P454" s="20">
        <v>178093</v>
      </c>
      <c r="Q454" s="23"/>
      <c r="R454" s="24">
        <v>1</v>
      </c>
      <c r="T454" s="9">
        <f>+P454*R454</f>
        <v>178093</v>
      </c>
      <c r="U454" s="9"/>
    </row>
    <row r="455" spans="2:20" ht="12.75">
      <c r="B455" s="23" t="s">
        <v>460</v>
      </c>
      <c r="C455" s="23"/>
      <c r="D455" s="30"/>
      <c r="E455" s="20">
        <v>0</v>
      </c>
      <c r="F455" s="23"/>
      <c r="G455" s="95">
        <v>1</v>
      </c>
      <c r="H455" s="23"/>
      <c r="I455" s="9">
        <f t="shared" si="33"/>
        <v>0</v>
      </c>
      <c r="J455" s="9"/>
      <c r="K455" s="9"/>
      <c r="M455" s="36" t="str">
        <f>+B455</f>
        <v>Merger Synergies</v>
      </c>
      <c r="N455" s="23"/>
      <c r="O455" s="23"/>
      <c r="P455" s="20"/>
      <c r="Q455" s="23"/>
      <c r="R455" s="24">
        <v>1</v>
      </c>
      <c r="T455" s="9">
        <f t="shared" si="34"/>
        <v>0</v>
      </c>
    </row>
    <row r="456" spans="1:20" ht="12.75">
      <c r="A456" s="45"/>
      <c r="B456" s="23" t="s">
        <v>460</v>
      </c>
      <c r="C456" s="52"/>
      <c r="E456" s="20">
        <v>0</v>
      </c>
      <c r="F456" s="23"/>
      <c r="G456" s="95">
        <v>1</v>
      </c>
      <c r="H456" s="23"/>
      <c r="I456" s="9">
        <f t="shared" si="33"/>
        <v>0</v>
      </c>
      <c r="J456" s="9"/>
      <c r="K456" s="9"/>
      <c r="M456" s="36" t="str">
        <f>+B456</f>
        <v>Merger Synergies</v>
      </c>
      <c r="N456" s="23"/>
      <c r="O456" s="23"/>
      <c r="P456" s="20"/>
      <c r="Q456" s="23"/>
      <c r="R456" s="24">
        <v>1</v>
      </c>
      <c r="T456" s="9">
        <f t="shared" si="34"/>
        <v>0</v>
      </c>
    </row>
    <row r="457" spans="1:20" ht="12.75">
      <c r="A457" s="45"/>
      <c r="B457" s="23" t="s">
        <v>460</v>
      </c>
      <c r="C457" s="23"/>
      <c r="E457" s="20">
        <v>0</v>
      </c>
      <c r="F457" s="23"/>
      <c r="G457" s="95">
        <v>1</v>
      </c>
      <c r="H457" s="23"/>
      <c r="I457" s="9">
        <f t="shared" si="33"/>
        <v>0</v>
      </c>
      <c r="J457" s="9"/>
      <c r="K457" s="9"/>
      <c r="M457" s="36" t="str">
        <f>+B457</f>
        <v>Merger Synergies</v>
      </c>
      <c r="N457" s="23"/>
      <c r="O457" s="23"/>
      <c r="P457" s="20"/>
      <c r="Q457" s="23"/>
      <c r="R457" s="24">
        <v>1</v>
      </c>
      <c r="T457" s="9">
        <f t="shared" si="34"/>
        <v>0</v>
      </c>
    </row>
    <row r="458" spans="1:20" ht="12.75">
      <c r="A458" s="45"/>
      <c r="B458" s="55"/>
      <c r="C458" s="23"/>
      <c r="D458" s="30"/>
      <c r="E458" s="20"/>
      <c r="F458" s="23"/>
      <c r="G458" s="95">
        <v>1</v>
      </c>
      <c r="H458" s="23"/>
      <c r="I458" s="9">
        <f t="shared" si="33"/>
        <v>0</v>
      </c>
      <c r="J458" s="9"/>
      <c r="K458" s="9"/>
      <c r="M458" s="36">
        <f>+B458</f>
        <v>0</v>
      </c>
      <c r="N458" s="23"/>
      <c r="O458" s="23"/>
      <c r="P458" s="20"/>
      <c r="Q458" s="23"/>
      <c r="R458" s="24">
        <v>1</v>
      </c>
      <c r="T458" s="9">
        <f t="shared" si="34"/>
        <v>0</v>
      </c>
    </row>
    <row r="459" spans="1:20" ht="12.75">
      <c r="A459" s="45"/>
      <c r="B459" s="23"/>
      <c r="C459" s="23"/>
      <c r="D459" s="30"/>
      <c r="E459" s="20"/>
      <c r="F459" s="23"/>
      <c r="G459" s="95">
        <v>0.99385</v>
      </c>
      <c r="H459" s="23"/>
      <c r="I459" s="9">
        <f t="shared" si="33"/>
        <v>0</v>
      </c>
      <c r="J459" s="9"/>
      <c r="K459" s="9"/>
      <c r="M459" s="36">
        <f>+B459</f>
        <v>0</v>
      </c>
      <c r="N459" s="23"/>
      <c r="O459" s="23"/>
      <c r="P459" s="20">
        <v>0</v>
      </c>
      <c r="Q459" s="23"/>
      <c r="R459" s="24">
        <v>1</v>
      </c>
      <c r="T459" s="9">
        <f t="shared" si="34"/>
        <v>0</v>
      </c>
    </row>
    <row r="460" spans="1:21" ht="12.75">
      <c r="A460" s="45"/>
      <c r="B460" s="25" t="s">
        <v>186</v>
      </c>
      <c r="C460" s="23"/>
      <c r="D460" s="30"/>
      <c r="E460" s="73" t="s">
        <v>135</v>
      </c>
      <c r="F460" s="23"/>
      <c r="G460" s="95"/>
      <c r="I460" s="73" t="s">
        <v>135</v>
      </c>
      <c r="J460" s="9"/>
      <c r="K460" s="9"/>
      <c r="M460" s="36" t="str">
        <f t="shared" si="32"/>
        <v>----------------------------------------------------</v>
      </c>
      <c r="O460" s="23"/>
      <c r="P460" s="73" t="s">
        <v>135</v>
      </c>
      <c r="Q460" s="23"/>
      <c r="R460" s="95"/>
      <c r="T460" s="73" t="s">
        <v>135</v>
      </c>
      <c r="U460" s="9"/>
    </row>
    <row r="461" spans="1:21" ht="12.75">
      <c r="A461" s="45">
        <f>+A452</f>
        <v>47</v>
      </c>
      <c r="B461" s="30" t="s">
        <v>424</v>
      </c>
      <c r="C461" s="23"/>
      <c r="D461" s="30"/>
      <c r="E461" s="20">
        <f>SUM(E453:E460)</f>
        <v>-6403886</v>
      </c>
      <c r="F461" s="23"/>
      <c r="G461" s="95"/>
      <c r="I461" s="20">
        <f>SUM(I453:I460)</f>
        <v>-6403886</v>
      </c>
      <c r="J461" s="9"/>
      <c r="K461" s="9">
        <f>+A461</f>
        <v>47</v>
      </c>
      <c r="M461" s="43" t="str">
        <f t="shared" si="32"/>
        <v>Total Adjustment </v>
      </c>
      <c r="O461" s="23"/>
      <c r="P461" s="20">
        <f>SUM(P452:P460)</f>
        <v>11312063</v>
      </c>
      <c r="Q461" s="23"/>
      <c r="R461" s="95">
        <f>+T461/P461</f>
        <v>1</v>
      </c>
      <c r="T461" s="20">
        <f>SUM(T452:T460)</f>
        <v>11312063</v>
      </c>
      <c r="U461" s="9"/>
    </row>
    <row r="462" spans="1:20" ht="12.75">
      <c r="A462" s="45"/>
      <c r="B462" s="23"/>
      <c r="C462" s="23"/>
      <c r="D462" s="30"/>
      <c r="E462" s="32"/>
      <c r="F462" s="23"/>
      <c r="G462" s="95"/>
      <c r="I462" s="8"/>
      <c r="J462" s="9"/>
      <c r="K462" s="9"/>
      <c r="M462" s="36"/>
      <c r="O462" s="23"/>
      <c r="P462" s="32"/>
      <c r="Q462" s="23"/>
      <c r="R462" s="24"/>
      <c r="T462" s="8"/>
    </row>
    <row r="463" spans="1:20" ht="12.75">
      <c r="A463" s="45">
        <f>+A461+1</f>
        <v>48</v>
      </c>
      <c r="B463" s="52" t="s">
        <v>344</v>
      </c>
      <c r="C463" s="52"/>
      <c r="D463" s="30"/>
      <c r="E463" s="20"/>
      <c r="F463" s="23"/>
      <c r="G463" s="95">
        <v>1</v>
      </c>
      <c r="I463" s="9">
        <f aca="true" t="shared" si="35" ref="I463:I524">+E463*G463</f>
        <v>0</v>
      </c>
      <c r="J463" s="9"/>
      <c r="K463" s="20">
        <f>+A463</f>
        <v>48</v>
      </c>
      <c r="M463" s="35" t="str">
        <f>+B463</f>
        <v>Annualize Incentive Compensation</v>
      </c>
      <c r="N463" s="3"/>
      <c r="O463" s="23"/>
      <c r="P463" s="20"/>
      <c r="Q463" s="23"/>
      <c r="R463" s="24"/>
      <c r="T463" s="9"/>
    </row>
    <row r="464" spans="1:26" ht="12.75">
      <c r="A464" s="45"/>
      <c r="B464" s="25"/>
      <c r="C464" s="23"/>
      <c r="D464" s="30"/>
      <c r="E464" s="20"/>
      <c r="F464" s="23"/>
      <c r="G464" s="95">
        <v>1</v>
      </c>
      <c r="I464" s="9">
        <f t="shared" si="35"/>
        <v>0</v>
      </c>
      <c r="J464" s="20"/>
      <c r="K464" s="20"/>
      <c r="L464" s="23"/>
      <c r="M464" s="37">
        <f>+B464</f>
        <v>0</v>
      </c>
      <c r="N464" s="23"/>
      <c r="O464" s="23"/>
      <c r="P464" s="32">
        <v>210</v>
      </c>
      <c r="Q464" s="23"/>
      <c r="R464" s="24">
        <v>1</v>
      </c>
      <c r="S464" s="23"/>
      <c r="T464" s="32">
        <f>+P464*R464</f>
        <v>210</v>
      </c>
      <c r="U464" s="23"/>
      <c r="V464" s="23"/>
      <c r="W464" s="23"/>
      <c r="X464" s="23"/>
      <c r="Y464" s="23"/>
      <c r="Z464" s="23"/>
    </row>
    <row r="465" spans="1:26" ht="12.75">
      <c r="A465" s="45"/>
      <c r="B465" s="41"/>
      <c r="C465" s="53"/>
      <c r="D465" s="30"/>
      <c r="E465" s="20"/>
      <c r="F465" s="23"/>
      <c r="G465" s="95">
        <v>1</v>
      </c>
      <c r="I465" s="9">
        <f t="shared" si="35"/>
        <v>0</v>
      </c>
      <c r="J465" s="20"/>
      <c r="K465" s="20"/>
      <c r="L465" s="23"/>
      <c r="M465" s="37">
        <f aca="true" t="shared" si="36" ref="M465:M525">+B465</f>
        <v>0</v>
      </c>
      <c r="N465" s="23"/>
      <c r="O465" s="23"/>
      <c r="P465" s="32">
        <v>11950</v>
      </c>
      <c r="Q465" s="23"/>
      <c r="R465" s="24">
        <v>1</v>
      </c>
      <c r="S465" s="23"/>
      <c r="T465" s="32">
        <f>+P465*R465</f>
        <v>11950</v>
      </c>
      <c r="U465" s="23"/>
      <c r="V465" s="23"/>
      <c r="W465" s="23"/>
      <c r="X465" s="23"/>
      <c r="Y465" s="23"/>
      <c r="Z465" s="23"/>
    </row>
    <row r="466" spans="1:26" ht="12.75">
      <c r="A466" s="53"/>
      <c r="B466" s="23"/>
      <c r="C466" s="53"/>
      <c r="D466" s="30"/>
      <c r="E466" s="20"/>
      <c r="F466" s="23"/>
      <c r="G466" s="95">
        <v>1</v>
      </c>
      <c r="I466" s="9">
        <f t="shared" si="35"/>
        <v>0</v>
      </c>
      <c r="J466" s="20"/>
      <c r="K466" s="20"/>
      <c r="L466" s="23"/>
      <c r="M466" s="37">
        <f t="shared" si="36"/>
        <v>0</v>
      </c>
      <c r="N466" s="23"/>
      <c r="O466" s="23"/>
      <c r="P466" s="32">
        <v>60805</v>
      </c>
      <c r="Q466" s="23"/>
      <c r="R466" s="24">
        <v>1</v>
      </c>
      <c r="S466" s="23"/>
      <c r="T466" s="32">
        <f aca="true" t="shared" si="37" ref="T466:T524">+P466*R466</f>
        <v>60805</v>
      </c>
      <c r="U466" s="23"/>
      <c r="V466" s="23"/>
      <c r="W466" s="23"/>
      <c r="X466" s="23"/>
      <c r="Y466" s="23"/>
      <c r="Z466" s="23"/>
    </row>
    <row r="467" spans="1:26" ht="12.75">
      <c r="A467" s="53"/>
      <c r="B467" s="23"/>
      <c r="C467" s="53"/>
      <c r="D467" s="30"/>
      <c r="E467" s="20"/>
      <c r="F467" s="23"/>
      <c r="G467" s="95">
        <v>1</v>
      </c>
      <c r="I467" s="9">
        <f t="shared" si="35"/>
        <v>0</v>
      </c>
      <c r="J467" s="20"/>
      <c r="K467" s="20"/>
      <c r="L467" s="23"/>
      <c r="M467" s="37">
        <f t="shared" si="36"/>
        <v>0</v>
      </c>
      <c r="N467" s="23"/>
      <c r="O467" s="23"/>
      <c r="P467" s="32">
        <v>10702</v>
      </c>
      <c r="Q467" s="23"/>
      <c r="R467" s="24">
        <v>1</v>
      </c>
      <c r="S467" s="23"/>
      <c r="T467" s="32">
        <f t="shared" si="37"/>
        <v>10702</v>
      </c>
      <c r="U467" s="23"/>
      <c r="V467" s="23"/>
      <c r="W467" s="23"/>
      <c r="X467" s="23"/>
      <c r="Y467" s="23"/>
      <c r="Z467" s="23"/>
    </row>
    <row r="468" spans="1:26" ht="12.75">
      <c r="A468" s="53"/>
      <c r="B468" s="23"/>
      <c r="C468" s="53"/>
      <c r="D468" s="30"/>
      <c r="E468" s="20"/>
      <c r="F468" s="23"/>
      <c r="G468" s="95">
        <v>1</v>
      </c>
      <c r="I468" s="9">
        <f t="shared" si="35"/>
        <v>0</v>
      </c>
      <c r="J468" s="20"/>
      <c r="K468" s="20"/>
      <c r="L468" s="23"/>
      <c r="M468" s="37">
        <f t="shared" si="36"/>
        <v>0</v>
      </c>
      <c r="N468" s="23"/>
      <c r="O468" s="23"/>
      <c r="P468" s="32">
        <v>403</v>
      </c>
      <c r="Q468" s="23"/>
      <c r="R468" s="24">
        <v>1</v>
      </c>
      <c r="S468" s="23"/>
      <c r="T468" s="32">
        <f t="shared" si="37"/>
        <v>403</v>
      </c>
      <c r="U468" s="23"/>
      <c r="V468" s="23"/>
      <c r="W468" s="23"/>
      <c r="X468" s="23"/>
      <c r="Y468" s="23"/>
      <c r="Z468" s="23"/>
    </row>
    <row r="469" spans="1:26" ht="12.75">
      <c r="A469" s="53"/>
      <c r="B469" s="23"/>
      <c r="C469" s="53"/>
      <c r="D469" s="30"/>
      <c r="E469" s="20"/>
      <c r="F469" s="23"/>
      <c r="G469" s="95">
        <v>1</v>
      </c>
      <c r="I469" s="9">
        <f t="shared" si="35"/>
        <v>0</v>
      </c>
      <c r="J469" s="20"/>
      <c r="K469" s="20"/>
      <c r="L469" s="23"/>
      <c r="M469" s="37">
        <f t="shared" si="36"/>
        <v>0</v>
      </c>
      <c r="N469" s="23"/>
      <c r="O469" s="23"/>
      <c r="P469" s="32">
        <v>6394</v>
      </c>
      <c r="Q469" s="23"/>
      <c r="R469" s="24">
        <v>1</v>
      </c>
      <c r="S469" s="23"/>
      <c r="T469" s="32">
        <f t="shared" si="37"/>
        <v>6394</v>
      </c>
      <c r="U469" s="23"/>
      <c r="V469" s="23"/>
      <c r="W469" s="23"/>
      <c r="X469" s="23"/>
      <c r="Y469" s="23"/>
      <c r="Z469" s="23"/>
    </row>
    <row r="470" spans="1:26" ht="12.75">
      <c r="A470" s="53"/>
      <c r="B470" s="23"/>
      <c r="C470" s="53"/>
      <c r="D470" s="30"/>
      <c r="E470" s="20"/>
      <c r="F470" s="23"/>
      <c r="G470" s="95">
        <v>1</v>
      </c>
      <c r="I470" s="9">
        <f t="shared" si="35"/>
        <v>0</v>
      </c>
      <c r="J470" s="20"/>
      <c r="K470" s="20"/>
      <c r="L470" s="23"/>
      <c r="M470" s="37">
        <f t="shared" si="36"/>
        <v>0</v>
      </c>
      <c r="N470" s="23"/>
      <c r="O470" s="23"/>
      <c r="P470" s="32">
        <v>174</v>
      </c>
      <c r="Q470" s="23"/>
      <c r="R470" s="24">
        <v>1</v>
      </c>
      <c r="S470" s="23"/>
      <c r="T470" s="32">
        <f t="shared" si="37"/>
        <v>174</v>
      </c>
      <c r="U470" s="23"/>
      <c r="V470" s="23"/>
      <c r="W470" s="23"/>
      <c r="X470" s="23"/>
      <c r="Y470" s="23"/>
      <c r="Z470" s="23"/>
    </row>
    <row r="471" spans="1:26" ht="12.75">
      <c r="A471" s="53"/>
      <c r="B471" s="23"/>
      <c r="C471" s="53"/>
      <c r="D471" s="30"/>
      <c r="E471" s="20"/>
      <c r="F471" s="23"/>
      <c r="G471" s="95">
        <v>1</v>
      </c>
      <c r="I471" s="9">
        <f t="shared" si="35"/>
        <v>0</v>
      </c>
      <c r="J471" s="20"/>
      <c r="K471" s="20"/>
      <c r="L471" s="23"/>
      <c r="M471" s="37">
        <f t="shared" si="36"/>
        <v>0</v>
      </c>
      <c r="N471" s="23"/>
      <c r="O471" s="23"/>
      <c r="P471" s="32">
        <v>3201</v>
      </c>
      <c r="Q471" s="23"/>
      <c r="R471" s="24">
        <v>1</v>
      </c>
      <c r="S471" s="23"/>
      <c r="T471" s="32">
        <f t="shared" si="37"/>
        <v>3201</v>
      </c>
      <c r="U471" s="23"/>
      <c r="V471" s="23"/>
      <c r="W471" s="23"/>
      <c r="X471" s="23"/>
      <c r="Y471" s="23"/>
      <c r="Z471" s="23"/>
    </row>
    <row r="472" spans="1:26" ht="12.75">
      <c r="A472" s="53"/>
      <c r="B472" s="23"/>
      <c r="C472" s="53"/>
      <c r="D472" s="30"/>
      <c r="E472" s="20"/>
      <c r="F472" s="23"/>
      <c r="G472" s="95">
        <v>1</v>
      </c>
      <c r="I472" s="9">
        <f t="shared" si="35"/>
        <v>0</v>
      </c>
      <c r="J472" s="20"/>
      <c r="K472" s="20"/>
      <c r="L472" s="23"/>
      <c r="M472" s="37">
        <f t="shared" si="36"/>
        <v>0</v>
      </c>
      <c r="N472" s="23"/>
      <c r="O472" s="23"/>
      <c r="P472" s="32">
        <v>-412</v>
      </c>
      <c r="Q472" s="23"/>
      <c r="R472" s="24">
        <v>1</v>
      </c>
      <c r="S472" s="23"/>
      <c r="T472" s="32">
        <f t="shared" si="37"/>
        <v>-412</v>
      </c>
      <c r="U472" s="23"/>
      <c r="V472" s="23"/>
      <c r="W472" s="23"/>
      <c r="X472" s="23"/>
      <c r="Y472" s="23"/>
      <c r="Z472" s="23"/>
    </row>
    <row r="473" spans="1:26" ht="12.75">
      <c r="A473" s="53"/>
      <c r="B473" s="23"/>
      <c r="C473" s="53"/>
      <c r="D473" s="30"/>
      <c r="E473" s="20"/>
      <c r="F473" s="23"/>
      <c r="G473" s="95">
        <v>1</v>
      </c>
      <c r="I473" s="9">
        <f t="shared" si="35"/>
        <v>0</v>
      </c>
      <c r="J473" s="20"/>
      <c r="K473" s="20"/>
      <c r="L473" s="23"/>
      <c r="M473" s="37">
        <f t="shared" si="36"/>
        <v>0</v>
      </c>
      <c r="N473" s="23"/>
      <c r="O473" s="23"/>
      <c r="P473" s="32">
        <v>18593</v>
      </c>
      <c r="Q473" s="23"/>
      <c r="R473" s="24">
        <v>1</v>
      </c>
      <c r="S473" s="23"/>
      <c r="T473" s="32">
        <f t="shared" si="37"/>
        <v>18593</v>
      </c>
      <c r="U473" s="23"/>
      <c r="V473" s="23"/>
      <c r="W473" s="23"/>
      <c r="X473" s="23"/>
      <c r="Y473" s="23"/>
      <c r="Z473" s="23"/>
    </row>
    <row r="474" spans="1:26" ht="12.75">
      <c r="A474" s="53"/>
      <c r="B474" s="23"/>
      <c r="C474" s="53"/>
      <c r="D474" s="30"/>
      <c r="E474" s="20"/>
      <c r="F474" s="23"/>
      <c r="G474" s="95">
        <v>1</v>
      </c>
      <c r="I474" s="9">
        <f t="shared" si="35"/>
        <v>0</v>
      </c>
      <c r="J474" s="20"/>
      <c r="K474" s="20"/>
      <c r="L474" s="23"/>
      <c r="M474" s="37">
        <f t="shared" si="36"/>
        <v>0</v>
      </c>
      <c r="N474" s="23"/>
      <c r="O474" s="23"/>
      <c r="P474" s="32">
        <v>35788</v>
      </c>
      <c r="Q474" s="23"/>
      <c r="R474" s="24">
        <v>1</v>
      </c>
      <c r="S474" s="23"/>
      <c r="T474" s="32">
        <f t="shared" si="37"/>
        <v>35788</v>
      </c>
      <c r="U474" s="23"/>
      <c r="V474" s="23"/>
      <c r="W474" s="23"/>
      <c r="X474" s="23"/>
      <c r="Y474" s="23"/>
      <c r="Z474" s="23"/>
    </row>
    <row r="475" spans="1:26" ht="12.75">
      <c r="A475" s="53"/>
      <c r="B475" s="23"/>
      <c r="C475" s="53"/>
      <c r="D475" s="30"/>
      <c r="E475" s="20"/>
      <c r="F475" s="23"/>
      <c r="G475" s="95">
        <v>1</v>
      </c>
      <c r="I475" s="9">
        <f t="shared" si="35"/>
        <v>0</v>
      </c>
      <c r="J475" s="20"/>
      <c r="K475" s="20"/>
      <c r="L475" s="23"/>
      <c r="M475" s="37">
        <f t="shared" si="36"/>
        <v>0</v>
      </c>
      <c r="N475" s="23"/>
      <c r="O475" s="23"/>
      <c r="P475" s="32">
        <v>5072</v>
      </c>
      <c r="Q475" s="23"/>
      <c r="R475" s="24">
        <v>1</v>
      </c>
      <c r="S475" s="23"/>
      <c r="T475" s="32">
        <f t="shared" si="37"/>
        <v>5072</v>
      </c>
      <c r="U475" s="23"/>
      <c r="V475" s="23"/>
      <c r="W475" s="23"/>
      <c r="X475" s="23"/>
      <c r="Y475" s="23"/>
      <c r="Z475" s="23"/>
    </row>
    <row r="476" spans="1:26" ht="12.75">
      <c r="A476" s="53"/>
      <c r="B476" s="23"/>
      <c r="C476" s="53"/>
      <c r="D476" s="30"/>
      <c r="E476" s="20"/>
      <c r="F476" s="23"/>
      <c r="G476" s="95">
        <v>1</v>
      </c>
      <c r="I476" s="9">
        <f t="shared" si="35"/>
        <v>0</v>
      </c>
      <c r="J476" s="20"/>
      <c r="K476" s="20"/>
      <c r="L476" s="23"/>
      <c r="M476" s="37">
        <f t="shared" si="36"/>
        <v>0</v>
      </c>
      <c r="N476" s="23"/>
      <c r="O476" s="23"/>
      <c r="P476" s="32">
        <v>866</v>
      </c>
      <c r="Q476" s="23"/>
      <c r="R476" s="24">
        <v>1</v>
      </c>
      <c r="S476" s="23"/>
      <c r="T476" s="32">
        <f t="shared" si="37"/>
        <v>866</v>
      </c>
      <c r="U476" s="23"/>
      <c r="V476" s="23"/>
      <c r="W476" s="23"/>
      <c r="X476" s="23"/>
      <c r="Y476" s="23"/>
      <c r="Z476" s="23"/>
    </row>
    <row r="477" spans="1:26" ht="12.75">
      <c r="A477" s="53"/>
      <c r="B477" s="23"/>
      <c r="C477" s="53"/>
      <c r="D477" s="30"/>
      <c r="E477" s="20"/>
      <c r="F477" s="23"/>
      <c r="G477" s="95">
        <v>1</v>
      </c>
      <c r="I477" s="9">
        <f t="shared" si="35"/>
        <v>0</v>
      </c>
      <c r="J477" s="20"/>
      <c r="K477" s="20"/>
      <c r="L477" s="23"/>
      <c r="M477" s="37">
        <f t="shared" si="36"/>
        <v>0</v>
      </c>
      <c r="N477" s="23"/>
      <c r="O477" s="23"/>
      <c r="P477" s="32">
        <v>899</v>
      </c>
      <c r="Q477" s="23"/>
      <c r="R477" s="24">
        <v>1</v>
      </c>
      <c r="S477" s="23"/>
      <c r="T477" s="32">
        <f t="shared" si="37"/>
        <v>899</v>
      </c>
      <c r="U477" s="23"/>
      <c r="V477" s="23"/>
      <c r="W477" s="23"/>
      <c r="X477" s="23"/>
      <c r="Y477" s="23"/>
      <c r="Z477" s="23"/>
    </row>
    <row r="478" spans="1:26" ht="12.75">
      <c r="A478" s="53"/>
      <c r="B478" s="23"/>
      <c r="C478" s="53"/>
      <c r="D478" s="30"/>
      <c r="E478" s="20"/>
      <c r="F478" s="23"/>
      <c r="G478" s="95">
        <v>1</v>
      </c>
      <c r="I478" s="9">
        <f t="shared" si="35"/>
        <v>0</v>
      </c>
      <c r="J478" s="20"/>
      <c r="K478" s="20"/>
      <c r="L478" s="23"/>
      <c r="M478" s="37">
        <f t="shared" si="36"/>
        <v>0</v>
      </c>
      <c r="N478" s="23"/>
      <c r="O478" s="23"/>
      <c r="P478" s="32">
        <v>1425</v>
      </c>
      <c r="Q478" s="23"/>
      <c r="R478" s="24">
        <v>1</v>
      </c>
      <c r="S478" s="23"/>
      <c r="T478" s="32">
        <f t="shared" si="37"/>
        <v>1425</v>
      </c>
      <c r="U478" s="23"/>
      <c r="V478" s="23"/>
      <c r="W478" s="23"/>
      <c r="X478" s="23"/>
      <c r="Y478" s="23"/>
      <c r="Z478" s="23"/>
    </row>
    <row r="479" spans="1:26" ht="12.75">
      <c r="A479" s="53"/>
      <c r="B479" s="23"/>
      <c r="C479" s="53"/>
      <c r="D479" s="30"/>
      <c r="E479" s="20"/>
      <c r="F479" s="23"/>
      <c r="G479" s="95">
        <v>1</v>
      </c>
      <c r="I479" s="9">
        <f t="shared" si="35"/>
        <v>0</v>
      </c>
      <c r="J479" s="20"/>
      <c r="K479" s="20"/>
      <c r="L479" s="23"/>
      <c r="M479" s="37">
        <f t="shared" si="36"/>
        <v>0</v>
      </c>
      <c r="N479" s="23"/>
      <c r="O479" s="23"/>
      <c r="P479" s="32">
        <v>29710</v>
      </c>
      <c r="Q479" s="23"/>
      <c r="R479" s="24">
        <v>1</v>
      </c>
      <c r="S479" s="23"/>
      <c r="T479" s="32">
        <f t="shared" si="37"/>
        <v>29710</v>
      </c>
      <c r="U479" s="23"/>
      <c r="V479" s="23"/>
      <c r="W479" s="23"/>
      <c r="X479" s="23"/>
      <c r="Y479" s="23"/>
      <c r="Z479" s="23"/>
    </row>
    <row r="480" spans="1:26" ht="12.75">
      <c r="A480" s="53"/>
      <c r="B480" s="23"/>
      <c r="C480" s="53"/>
      <c r="D480" s="30"/>
      <c r="E480" s="20"/>
      <c r="F480" s="23"/>
      <c r="G480" s="95">
        <v>1</v>
      </c>
      <c r="I480" s="9">
        <f t="shared" si="35"/>
        <v>0</v>
      </c>
      <c r="J480" s="23"/>
      <c r="K480" s="23"/>
      <c r="L480" s="23"/>
      <c r="M480" s="37">
        <f t="shared" si="36"/>
        <v>0</v>
      </c>
      <c r="N480" s="23"/>
      <c r="O480" s="23"/>
      <c r="P480" s="20">
        <v>126</v>
      </c>
      <c r="Q480" s="23"/>
      <c r="R480" s="24">
        <v>1</v>
      </c>
      <c r="S480" s="23"/>
      <c r="T480" s="32">
        <f t="shared" si="37"/>
        <v>126</v>
      </c>
      <c r="U480" s="23"/>
      <c r="V480" s="23"/>
      <c r="W480" s="23"/>
      <c r="X480" s="23"/>
      <c r="Y480" s="23"/>
      <c r="Z480" s="23"/>
    </row>
    <row r="481" spans="1:23" ht="12.75">
      <c r="A481" s="53"/>
      <c r="B481" s="23"/>
      <c r="C481" s="53"/>
      <c r="D481" s="30"/>
      <c r="E481" s="20"/>
      <c r="F481" s="23"/>
      <c r="G481" s="95">
        <v>1</v>
      </c>
      <c r="I481" s="9">
        <f t="shared" si="35"/>
        <v>0</v>
      </c>
      <c r="J481" s="20"/>
      <c r="K481" s="20"/>
      <c r="L481" s="23"/>
      <c r="M481" s="37">
        <f t="shared" si="36"/>
        <v>0</v>
      </c>
      <c r="N481" s="23"/>
      <c r="O481" s="23"/>
      <c r="P481" s="20">
        <v>-21942</v>
      </c>
      <c r="Q481" s="23"/>
      <c r="R481" s="24">
        <v>1</v>
      </c>
      <c r="S481" s="23"/>
      <c r="T481" s="32">
        <f t="shared" si="37"/>
        <v>-21942</v>
      </c>
      <c r="U481" s="23"/>
      <c r="V481" s="23"/>
      <c r="W481" s="23"/>
    </row>
    <row r="482" spans="1:23" ht="12.75">
      <c r="A482" s="53"/>
      <c r="B482" s="52"/>
      <c r="C482" s="53"/>
      <c r="D482" s="30"/>
      <c r="E482" s="20"/>
      <c r="F482" s="23"/>
      <c r="G482" s="95">
        <v>1</v>
      </c>
      <c r="I482" s="9">
        <f t="shared" si="35"/>
        <v>0</v>
      </c>
      <c r="J482" s="20"/>
      <c r="K482" s="20"/>
      <c r="L482" s="23"/>
      <c r="M482" s="37">
        <f t="shared" si="36"/>
        <v>0</v>
      </c>
      <c r="N482" s="23"/>
      <c r="O482" s="23"/>
      <c r="P482" s="20">
        <v>-54001</v>
      </c>
      <c r="Q482" s="23"/>
      <c r="R482" s="24">
        <v>1</v>
      </c>
      <c r="S482" s="23"/>
      <c r="T482" s="32">
        <f t="shared" si="37"/>
        <v>-54001</v>
      </c>
      <c r="U482" s="23"/>
      <c r="V482" s="23"/>
      <c r="W482" s="23"/>
    </row>
    <row r="483" spans="1:23" ht="12.75">
      <c r="A483" s="53"/>
      <c r="B483" s="25"/>
      <c r="C483" s="53"/>
      <c r="D483" s="30"/>
      <c r="E483" s="20"/>
      <c r="F483" s="23"/>
      <c r="G483" s="95">
        <v>1</v>
      </c>
      <c r="I483" s="9">
        <f t="shared" si="35"/>
        <v>0</v>
      </c>
      <c r="J483" s="20"/>
      <c r="K483" s="20"/>
      <c r="L483" s="23"/>
      <c r="M483" s="37">
        <f t="shared" si="36"/>
        <v>0</v>
      </c>
      <c r="N483" s="23"/>
      <c r="O483" s="23"/>
      <c r="P483" s="20">
        <v>127</v>
      </c>
      <c r="Q483" s="23"/>
      <c r="R483" s="24">
        <v>1</v>
      </c>
      <c r="S483" s="23"/>
      <c r="T483" s="32">
        <f t="shared" si="37"/>
        <v>127</v>
      </c>
      <c r="U483" s="23"/>
      <c r="V483" s="23"/>
      <c r="W483" s="23"/>
    </row>
    <row r="484" spans="1:20" ht="12.75">
      <c r="A484" s="53"/>
      <c r="B484" s="23"/>
      <c r="C484" s="53"/>
      <c r="D484" s="30"/>
      <c r="E484" s="20"/>
      <c r="F484" s="23"/>
      <c r="G484" s="95">
        <v>1</v>
      </c>
      <c r="I484" s="9">
        <f t="shared" si="35"/>
        <v>0</v>
      </c>
      <c r="J484" s="9"/>
      <c r="K484" s="9"/>
      <c r="M484" s="37">
        <f t="shared" si="36"/>
        <v>0</v>
      </c>
      <c r="N484" s="23"/>
      <c r="O484" s="23"/>
      <c r="P484" s="20">
        <v>120</v>
      </c>
      <c r="Q484" s="23"/>
      <c r="R484" s="24">
        <v>1</v>
      </c>
      <c r="S484" s="23"/>
      <c r="T484" s="32">
        <f t="shared" si="37"/>
        <v>120</v>
      </c>
    </row>
    <row r="485" spans="1:20" ht="12.75">
      <c r="A485" s="53"/>
      <c r="B485" s="23"/>
      <c r="C485" s="53"/>
      <c r="D485" s="30"/>
      <c r="E485" s="20"/>
      <c r="F485" s="23"/>
      <c r="G485" s="95">
        <v>1</v>
      </c>
      <c r="I485" s="9">
        <f t="shared" si="35"/>
        <v>0</v>
      </c>
      <c r="J485" s="9"/>
      <c r="K485" s="9"/>
      <c r="M485" s="37">
        <f t="shared" si="36"/>
        <v>0</v>
      </c>
      <c r="N485" s="23"/>
      <c r="O485" s="23"/>
      <c r="P485" s="20">
        <v>8344</v>
      </c>
      <c r="Q485" s="23"/>
      <c r="R485" s="24">
        <v>1</v>
      </c>
      <c r="S485" s="23"/>
      <c r="T485" s="32">
        <f t="shared" si="37"/>
        <v>8344</v>
      </c>
    </row>
    <row r="486" spans="1:20" ht="12.75">
      <c r="A486" s="53"/>
      <c r="B486" s="23"/>
      <c r="C486" s="53"/>
      <c r="D486" s="30"/>
      <c r="E486" s="20"/>
      <c r="F486" s="23"/>
      <c r="G486" s="95">
        <v>1</v>
      </c>
      <c r="I486" s="9">
        <f t="shared" si="35"/>
        <v>0</v>
      </c>
      <c r="J486" s="9"/>
      <c r="K486" s="9"/>
      <c r="M486" s="37">
        <f t="shared" si="36"/>
        <v>0</v>
      </c>
      <c r="O486" s="23"/>
      <c r="P486" s="32">
        <v>966</v>
      </c>
      <c r="Q486" s="23"/>
      <c r="R486" s="24">
        <v>1</v>
      </c>
      <c r="S486" s="23"/>
      <c r="T486" s="32">
        <f t="shared" si="37"/>
        <v>966</v>
      </c>
    </row>
    <row r="487" spans="1:20" ht="12.75">
      <c r="A487" s="45"/>
      <c r="B487" s="23"/>
      <c r="C487" s="53"/>
      <c r="D487" s="30"/>
      <c r="E487" s="20"/>
      <c r="F487" s="23"/>
      <c r="G487" s="95">
        <v>1</v>
      </c>
      <c r="I487" s="9">
        <f t="shared" si="35"/>
        <v>0</v>
      </c>
      <c r="J487" s="9"/>
      <c r="K487" s="9"/>
      <c r="M487" s="37">
        <f t="shared" si="36"/>
        <v>0</v>
      </c>
      <c r="O487" s="23"/>
      <c r="P487" s="20">
        <v>752</v>
      </c>
      <c r="Q487" s="23"/>
      <c r="R487" s="24">
        <v>1</v>
      </c>
      <c r="S487" s="23"/>
      <c r="T487" s="32">
        <f t="shared" si="37"/>
        <v>752</v>
      </c>
    </row>
    <row r="488" spans="1:20" ht="12.75">
      <c r="A488" s="45"/>
      <c r="B488" s="23"/>
      <c r="C488" s="53"/>
      <c r="D488" s="30"/>
      <c r="E488" s="20"/>
      <c r="F488" s="23"/>
      <c r="G488" s="95">
        <v>1</v>
      </c>
      <c r="I488" s="9">
        <f t="shared" si="35"/>
        <v>0</v>
      </c>
      <c r="J488" s="9"/>
      <c r="K488" s="9"/>
      <c r="M488" s="37">
        <f t="shared" si="36"/>
        <v>0</v>
      </c>
      <c r="O488" s="23"/>
      <c r="P488" s="20">
        <v>2097</v>
      </c>
      <c r="Q488" s="23"/>
      <c r="R488" s="24">
        <v>1</v>
      </c>
      <c r="S488" s="23"/>
      <c r="T488" s="32">
        <f t="shared" si="37"/>
        <v>2097</v>
      </c>
    </row>
    <row r="489" spans="1:20" ht="12.75">
      <c r="A489" s="45"/>
      <c r="B489" s="41"/>
      <c r="C489" s="53"/>
      <c r="D489" s="30"/>
      <c r="E489" s="20"/>
      <c r="F489" s="23"/>
      <c r="G489" s="95">
        <v>1</v>
      </c>
      <c r="I489" s="9">
        <f t="shared" si="35"/>
        <v>0</v>
      </c>
      <c r="J489" s="9"/>
      <c r="K489" s="9"/>
      <c r="M489" s="37">
        <f t="shared" si="36"/>
        <v>0</v>
      </c>
      <c r="O489" s="23"/>
      <c r="P489" s="32">
        <v>35243</v>
      </c>
      <c r="Q489" s="23"/>
      <c r="R489" s="24">
        <v>1</v>
      </c>
      <c r="T489" s="32">
        <f t="shared" si="37"/>
        <v>35243</v>
      </c>
    </row>
    <row r="490" spans="1:20" ht="12.75">
      <c r="A490" s="45"/>
      <c r="B490" s="23"/>
      <c r="C490" s="53"/>
      <c r="D490" s="30"/>
      <c r="E490" s="20"/>
      <c r="F490" s="23"/>
      <c r="G490" s="95">
        <v>1</v>
      </c>
      <c r="I490" s="9">
        <f t="shared" si="35"/>
        <v>0</v>
      </c>
      <c r="J490" s="9"/>
      <c r="K490" s="9"/>
      <c r="M490" s="37">
        <f t="shared" si="36"/>
        <v>0</v>
      </c>
      <c r="O490" s="23"/>
      <c r="P490" s="32">
        <v>23509</v>
      </c>
      <c r="Q490" s="23"/>
      <c r="R490" s="24">
        <v>1</v>
      </c>
      <c r="T490" s="32">
        <f t="shared" si="37"/>
        <v>23509</v>
      </c>
    </row>
    <row r="491" spans="1:20" ht="12.75">
      <c r="A491" s="45"/>
      <c r="B491" s="41"/>
      <c r="C491" s="53"/>
      <c r="D491" s="30"/>
      <c r="E491" s="20"/>
      <c r="F491" s="23"/>
      <c r="G491" s="95">
        <v>1</v>
      </c>
      <c r="I491" s="9">
        <f t="shared" si="35"/>
        <v>0</v>
      </c>
      <c r="J491" s="9"/>
      <c r="K491" s="9"/>
      <c r="M491" s="37">
        <f t="shared" si="36"/>
        <v>0</v>
      </c>
      <c r="N491" s="3"/>
      <c r="O491" s="23"/>
      <c r="P491" s="20">
        <v>8215</v>
      </c>
      <c r="Q491" s="23"/>
      <c r="R491" s="24">
        <v>1</v>
      </c>
      <c r="T491" s="32">
        <f t="shared" si="37"/>
        <v>8215</v>
      </c>
    </row>
    <row r="492" spans="1:20" ht="12.75">
      <c r="A492" s="45"/>
      <c r="B492" s="64"/>
      <c r="C492" s="53"/>
      <c r="D492" s="30"/>
      <c r="E492" s="20"/>
      <c r="F492" s="23"/>
      <c r="G492" s="95">
        <v>1</v>
      </c>
      <c r="I492" s="9">
        <f t="shared" si="35"/>
        <v>0</v>
      </c>
      <c r="J492" s="9"/>
      <c r="K492" s="9"/>
      <c r="M492" s="37">
        <f t="shared" si="36"/>
        <v>0</v>
      </c>
      <c r="N492" s="3"/>
      <c r="O492" s="23"/>
      <c r="P492" s="20">
        <v>27908</v>
      </c>
      <c r="Q492" s="23"/>
      <c r="R492" s="24">
        <v>1</v>
      </c>
      <c r="T492" s="32">
        <f t="shared" si="37"/>
        <v>27908</v>
      </c>
    </row>
    <row r="493" spans="1:20" ht="12.75">
      <c r="A493" s="53"/>
      <c r="B493" s="23"/>
      <c r="C493" s="53"/>
      <c r="D493" s="30"/>
      <c r="E493" s="20"/>
      <c r="F493" s="23"/>
      <c r="G493" s="95">
        <v>1</v>
      </c>
      <c r="I493" s="9">
        <f t="shared" si="35"/>
        <v>0</v>
      </c>
      <c r="J493" s="9"/>
      <c r="K493" s="9"/>
      <c r="M493" s="37">
        <f t="shared" si="36"/>
        <v>0</v>
      </c>
      <c r="N493" s="23"/>
      <c r="O493" s="23"/>
      <c r="P493" s="20">
        <v>25359</v>
      </c>
      <c r="Q493" s="23"/>
      <c r="R493" s="24">
        <v>1</v>
      </c>
      <c r="T493" s="32">
        <f t="shared" si="37"/>
        <v>25359</v>
      </c>
    </row>
    <row r="494" spans="1:20" ht="12.75">
      <c r="A494" s="53"/>
      <c r="B494" s="29"/>
      <c r="C494" s="53"/>
      <c r="D494" s="30"/>
      <c r="E494" s="20"/>
      <c r="F494" s="23"/>
      <c r="G494" s="95">
        <v>1</v>
      </c>
      <c r="I494" s="9">
        <f t="shared" si="35"/>
        <v>0</v>
      </c>
      <c r="J494" s="9"/>
      <c r="K494" s="9"/>
      <c r="M494" s="37">
        <f t="shared" si="36"/>
        <v>0</v>
      </c>
      <c r="N494" s="23"/>
      <c r="O494" s="23"/>
      <c r="P494" s="20">
        <v>4718</v>
      </c>
      <c r="Q494" s="23"/>
      <c r="R494" s="24">
        <v>1</v>
      </c>
      <c r="S494" s="23"/>
      <c r="T494" s="32">
        <f t="shared" si="37"/>
        <v>4718</v>
      </c>
    </row>
    <row r="495" spans="1:20" ht="12.75">
      <c r="A495" s="53"/>
      <c r="B495" s="23"/>
      <c r="C495" s="53"/>
      <c r="D495" s="30"/>
      <c r="E495" s="20"/>
      <c r="F495" s="23"/>
      <c r="G495" s="95">
        <v>1</v>
      </c>
      <c r="I495" s="9">
        <f t="shared" si="35"/>
        <v>0</v>
      </c>
      <c r="J495" s="9"/>
      <c r="K495" s="9"/>
      <c r="M495" s="37">
        <f t="shared" si="36"/>
        <v>0</v>
      </c>
      <c r="N495" s="23"/>
      <c r="O495" s="23"/>
      <c r="P495" s="20">
        <v>38489</v>
      </c>
      <c r="Q495" s="23"/>
      <c r="R495" s="24">
        <v>1</v>
      </c>
      <c r="S495" s="23"/>
      <c r="T495" s="32">
        <f t="shared" si="37"/>
        <v>38489</v>
      </c>
    </row>
    <row r="496" spans="1:20" ht="12.75">
      <c r="A496" s="53"/>
      <c r="B496" s="52"/>
      <c r="C496" s="53"/>
      <c r="D496" s="30"/>
      <c r="E496" s="20"/>
      <c r="F496" s="23"/>
      <c r="G496" s="95">
        <v>1</v>
      </c>
      <c r="I496" s="9">
        <f t="shared" si="35"/>
        <v>0</v>
      </c>
      <c r="J496" s="9"/>
      <c r="K496" s="9"/>
      <c r="M496" s="37">
        <f t="shared" si="36"/>
        <v>0</v>
      </c>
      <c r="N496" s="23"/>
      <c r="O496" s="23"/>
      <c r="P496" s="20">
        <v>10469</v>
      </c>
      <c r="Q496" s="23"/>
      <c r="R496" s="24">
        <v>1</v>
      </c>
      <c r="S496" s="23"/>
      <c r="T496" s="32">
        <f t="shared" si="37"/>
        <v>10469</v>
      </c>
    </row>
    <row r="497" spans="1:20" ht="12.75">
      <c r="A497" s="53"/>
      <c r="B497" s="23"/>
      <c r="C497" s="53"/>
      <c r="D497" s="30"/>
      <c r="E497" s="20"/>
      <c r="F497" s="23"/>
      <c r="G497" s="95">
        <v>1</v>
      </c>
      <c r="I497" s="9">
        <f t="shared" si="35"/>
        <v>0</v>
      </c>
      <c r="J497" s="9"/>
      <c r="K497" s="9"/>
      <c r="M497" s="37">
        <f t="shared" si="36"/>
        <v>0</v>
      </c>
      <c r="N497" s="23"/>
      <c r="O497" s="23"/>
      <c r="P497" s="20">
        <v>2572</v>
      </c>
      <c r="Q497" s="23"/>
      <c r="R497" s="24">
        <v>1</v>
      </c>
      <c r="S497" s="23"/>
      <c r="T497" s="32">
        <f t="shared" si="37"/>
        <v>2572</v>
      </c>
    </row>
    <row r="498" spans="1:20" ht="12.75">
      <c r="A498" s="53"/>
      <c r="B498" s="29"/>
      <c r="C498" s="53"/>
      <c r="D498" s="30"/>
      <c r="E498" s="20"/>
      <c r="F498" s="23"/>
      <c r="G498" s="95">
        <v>1</v>
      </c>
      <c r="I498" s="9">
        <f t="shared" si="35"/>
        <v>0</v>
      </c>
      <c r="J498" s="9"/>
      <c r="K498" s="9"/>
      <c r="M498" s="37">
        <f t="shared" si="36"/>
        <v>0</v>
      </c>
      <c r="N498" s="23"/>
      <c r="O498" s="23"/>
      <c r="P498" s="20">
        <v>2198</v>
      </c>
      <c r="Q498" s="23"/>
      <c r="R498" s="24">
        <v>1</v>
      </c>
      <c r="S498" s="23"/>
      <c r="T498" s="32">
        <f t="shared" si="37"/>
        <v>2198</v>
      </c>
    </row>
    <row r="499" spans="1:20" ht="12.75">
      <c r="A499" s="53"/>
      <c r="B499" s="25"/>
      <c r="C499" s="53"/>
      <c r="D499" s="30"/>
      <c r="E499" s="20"/>
      <c r="F499" s="23"/>
      <c r="G499" s="95">
        <v>1</v>
      </c>
      <c r="I499" s="9">
        <f t="shared" si="35"/>
        <v>0</v>
      </c>
      <c r="J499" s="9"/>
      <c r="K499" s="9"/>
      <c r="M499" s="37">
        <f t="shared" si="36"/>
        <v>0</v>
      </c>
      <c r="N499" s="23"/>
      <c r="O499" s="23"/>
      <c r="P499" s="20">
        <v>2580</v>
      </c>
      <c r="Q499" s="23"/>
      <c r="R499" s="24">
        <v>1</v>
      </c>
      <c r="S499" s="23"/>
      <c r="T499" s="32">
        <f t="shared" si="37"/>
        <v>2580</v>
      </c>
    </row>
    <row r="500" spans="1:20" ht="12.75">
      <c r="A500" s="53"/>
      <c r="B500" s="23"/>
      <c r="C500" s="53"/>
      <c r="D500" s="30"/>
      <c r="E500" s="20"/>
      <c r="F500" s="23"/>
      <c r="G500" s="95">
        <v>1</v>
      </c>
      <c r="I500" s="9">
        <f t="shared" si="35"/>
        <v>0</v>
      </c>
      <c r="J500" s="9"/>
      <c r="K500" s="9"/>
      <c r="M500" s="37">
        <f t="shared" si="36"/>
        <v>0</v>
      </c>
      <c r="N500" s="23"/>
      <c r="O500" s="23"/>
      <c r="P500" s="20">
        <v>3920</v>
      </c>
      <c r="Q500" s="23"/>
      <c r="R500" s="24">
        <v>1</v>
      </c>
      <c r="S500" s="23"/>
      <c r="T500" s="32">
        <f t="shared" si="37"/>
        <v>3920</v>
      </c>
    </row>
    <row r="501" spans="1:20" ht="12.75">
      <c r="A501" s="53"/>
      <c r="B501" s="23"/>
      <c r="C501" s="53"/>
      <c r="D501" s="30"/>
      <c r="E501" s="20"/>
      <c r="F501" s="23"/>
      <c r="G501" s="95">
        <v>1</v>
      </c>
      <c r="I501" s="9">
        <f t="shared" si="35"/>
        <v>0</v>
      </c>
      <c r="J501" s="9"/>
      <c r="K501" s="9"/>
      <c r="M501" s="37">
        <f t="shared" si="36"/>
        <v>0</v>
      </c>
      <c r="N501" s="23"/>
      <c r="O501" s="23"/>
      <c r="P501" s="20">
        <v>510</v>
      </c>
      <c r="Q501" s="23"/>
      <c r="R501" s="24">
        <v>1</v>
      </c>
      <c r="S501" s="23"/>
      <c r="T501" s="32">
        <f t="shared" si="37"/>
        <v>510</v>
      </c>
    </row>
    <row r="502" spans="1:20" ht="12.75">
      <c r="A502" s="53"/>
      <c r="B502" s="23"/>
      <c r="C502" s="53"/>
      <c r="D502" s="30"/>
      <c r="E502" s="20"/>
      <c r="F502" s="23"/>
      <c r="G502" s="95">
        <v>1</v>
      </c>
      <c r="I502" s="9">
        <f t="shared" si="35"/>
        <v>0</v>
      </c>
      <c r="J502" s="9"/>
      <c r="K502" s="9"/>
      <c r="M502" s="37">
        <f t="shared" si="36"/>
        <v>0</v>
      </c>
      <c r="N502" s="23"/>
      <c r="O502" s="23"/>
      <c r="P502" s="20">
        <v>477</v>
      </c>
      <c r="Q502" s="23"/>
      <c r="R502" s="24">
        <v>1</v>
      </c>
      <c r="S502" s="23"/>
      <c r="T502" s="32">
        <f t="shared" si="37"/>
        <v>477</v>
      </c>
    </row>
    <row r="503" spans="1:20" ht="12.75">
      <c r="A503" s="53"/>
      <c r="B503" s="23"/>
      <c r="C503" s="53"/>
      <c r="D503" s="30"/>
      <c r="E503" s="20"/>
      <c r="F503" s="23"/>
      <c r="G503" s="95">
        <v>1</v>
      </c>
      <c r="I503" s="9">
        <f t="shared" si="35"/>
        <v>0</v>
      </c>
      <c r="J503" s="9"/>
      <c r="K503" s="9"/>
      <c r="M503" s="37">
        <f t="shared" si="36"/>
        <v>0</v>
      </c>
      <c r="N503" s="23"/>
      <c r="O503" s="23"/>
      <c r="P503" s="32">
        <v>3517</v>
      </c>
      <c r="Q503" s="23"/>
      <c r="R503" s="24">
        <v>1</v>
      </c>
      <c r="T503" s="32">
        <f t="shared" si="37"/>
        <v>3517</v>
      </c>
    </row>
    <row r="504" spans="1:20" ht="12.75">
      <c r="A504" s="45"/>
      <c r="B504" s="23"/>
      <c r="C504" s="53"/>
      <c r="D504" s="30"/>
      <c r="E504" s="20"/>
      <c r="F504" s="23"/>
      <c r="G504" s="95">
        <v>1</v>
      </c>
      <c r="I504" s="9">
        <f t="shared" si="35"/>
        <v>0</v>
      </c>
      <c r="J504" s="9"/>
      <c r="K504" s="9"/>
      <c r="M504" s="37">
        <f t="shared" si="36"/>
        <v>0</v>
      </c>
      <c r="N504" s="36"/>
      <c r="O504" s="23"/>
      <c r="P504" s="20">
        <v>49012.2</v>
      </c>
      <c r="Q504" s="23"/>
      <c r="R504" s="24">
        <v>1</v>
      </c>
      <c r="T504" s="32">
        <f t="shared" si="37"/>
        <v>49012.2</v>
      </c>
    </row>
    <row r="505" spans="1:20" ht="12.75">
      <c r="A505" s="45"/>
      <c r="B505" s="23"/>
      <c r="C505" s="53"/>
      <c r="D505" s="30"/>
      <c r="E505" s="20"/>
      <c r="F505" s="23"/>
      <c r="G505" s="95">
        <v>1</v>
      </c>
      <c r="I505" s="9">
        <f t="shared" si="35"/>
        <v>0</v>
      </c>
      <c r="J505" s="9"/>
      <c r="K505" s="9"/>
      <c r="M505" s="37">
        <f t="shared" si="36"/>
        <v>0</v>
      </c>
      <c r="O505" s="23"/>
      <c r="P505" s="32">
        <v>81004</v>
      </c>
      <c r="Q505" s="23"/>
      <c r="R505" s="24">
        <v>1</v>
      </c>
      <c r="T505" s="32">
        <f t="shared" si="37"/>
        <v>81004</v>
      </c>
    </row>
    <row r="506" spans="1:20" ht="12.75">
      <c r="A506" s="45"/>
      <c r="B506" s="41"/>
      <c r="C506" s="53"/>
      <c r="D506" s="30"/>
      <c r="E506" s="20"/>
      <c r="F506" s="23"/>
      <c r="G506" s="95">
        <v>1</v>
      </c>
      <c r="I506" s="9">
        <f t="shared" si="35"/>
        <v>0</v>
      </c>
      <c r="J506" s="9"/>
      <c r="K506" s="9"/>
      <c r="M506" s="37">
        <f t="shared" si="36"/>
        <v>0</v>
      </c>
      <c r="N506" s="3"/>
      <c r="O506" s="23"/>
      <c r="P506" s="20">
        <v>109</v>
      </c>
      <c r="Q506" s="23"/>
      <c r="R506" s="24">
        <v>1</v>
      </c>
      <c r="T506" s="32">
        <f t="shared" si="37"/>
        <v>109</v>
      </c>
    </row>
    <row r="507" spans="1:20" ht="12.75">
      <c r="A507" s="45"/>
      <c r="B507" s="25"/>
      <c r="C507" s="53"/>
      <c r="D507" s="30"/>
      <c r="E507" s="20"/>
      <c r="F507" s="23"/>
      <c r="G507" s="95">
        <v>1</v>
      </c>
      <c r="I507" s="9">
        <f t="shared" si="35"/>
        <v>0</v>
      </c>
      <c r="J507" s="9"/>
      <c r="K507" s="9"/>
      <c r="M507" s="37">
        <f t="shared" si="36"/>
        <v>0</v>
      </c>
      <c r="O507" s="23"/>
      <c r="P507" s="20">
        <v>10846</v>
      </c>
      <c r="Q507" s="23"/>
      <c r="R507" s="24">
        <v>1</v>
      </c>
      <c r="S507" s="23"/>
      <c r="T507" s="32">
        <f t="shared" si="37"/>
        <v>10846</v>
      </c>
    </row>
    <row r="508" spans="1:20" ht="12.75">
      <c r="A508" s="53"/>
      <c r="B508" s="29"/>
      <c r="C508" s="53"/>
      <c r="D508" s="30"/>
      <c r="E508" s="20"/>
      <c r="F508" s="23"/>
      <c r="G508" s="95">
        <v>1</v>
      </c>
      <c r="I508" s="9">
        <f t="shared" si="35"/>
        <v>0</v>
      </c>
      <c r="J508" s="9"/>
      <c r="K508" s="9"/>
      <c r="M508" s="37">
        <f t="shared" si="36"/>
        <v>0</v>
      </c>
      <c r="N508" s="23"/>
      <c r="O508" s="23"/>
      <c r="P508" s="23">
        <v>267</v>
      </c>
      <c r="Q508" s="23"/>
      <c r="R508" s="24">
        <v>1</v>
      </c>
      <c r="S508" s="23"/>
      <c r="T508" s="32">
        <f t="shared" si="37"/>
        <v>267</v>
      </c>
    </row>
    <row r="509" spans="1:20" ht="12.75">
      <c r="A509" s="53"/>
      <c r="B509" s="23"/>
      <c r="C509" s="53"/>
      <c r="D509" s="30"/>
      <c r="E509" s="20"/>
      <c r="F509" s="23"/>
      <c r="G509" s="95">
        <v>1</v>
      </c>
      <c r="I509" s="9">
        <f t="shared" si="35"/>
        <v>0</v>
      </c>
      <c r="J509" s="9"/>
      <c r="K509" s="9"/>
      <c r="M509" s="37">
        <f t="shared" si="36"/>
        <v>0</v>
      </c>
      <c r="N509" s="23"/>
      <c r="O509" s="23"/>
      <c r="P509" s="23">
        <v>393</v>
      </c>
      <c r="Q509" s="23"/>
      <c r="R509" s="24">
        <v>1</v>
      </c>
      <c r="S509" s="23"/>
      <c r="T509" s="32">
        <f t="shared" si="37"/>
        <v>393</v>
      </c>
    </row>
    <row r="510" spans="1:20" ht="12.75">
      <c r="A510" s="53"/>
      <c r="B510" s="23"/>
      <c r="C510" s="53"/>
      <c r="D510" s="30"/>
      <c r="E510" s="20"/>
      <c r="F510" s="23"/>
      <c r="G510" s="95">
        <v>1</v>
      </c>
      <c r="I510" s="9">
        <f t="shared" si="35"/>
        <v>0</v>
      </c>
      <c r="J510" s="9"/>
      <c r="K510" s="9"/>
      <c r="M510" s="37">
        <f t="shared" si="36"/>
        <v>0</v>
      </c>
      <c r="N510" s="23"/>
      <c r="O510" s="23"/>
      <c r="P510" s="197">
        <v>12538</v>
      </c>
      <c r="Q510" s="23"/>
      <c r="R510" s="24">
        <v>1</v>
      </c>
      <c r="S510" s="23"/>
      <c r="T510" s="32">
        <f t="shared" si="37"/>
        <v>12538</v>
      </c>
    </row>
    <row r="511" spans="1:20" ht="12.75">
      <c r="A511" s="53"/>
      <c r="B511" s="23"/>
      <c r="C511" s="53"/>
      <c r="D511" s="30"/>
      <c r="E511" s="20"/>
      <c r="F511" s="23"/>
      <c r="G511" s="95">
        <v>1</v>
      </c>
      <c r="I511" s="9">
        <f t="shared" si="35"/>
        <v>0</v>
      </c>
      <c r="J511" s="9"/>
      <c r="K511" s="9"/>
      <c r="M511" s="37">
        <f t="shared" si="36"/>
        <v>0</v>
      </c>
      <c r="N511" s="23"/>
      <c r="O511" s="23"/>
      <c r="P511" s="23">
        <v>401</v>
      </c>
      <c r="Q511" s="23"/>
      <c r="R511" s="24">
        <v>1</v>
      </c>
      <c r="S511" s="23"/>
      <c r="T511" s="32">
        <f t="shared" si="37"/>
        <v>401</v>
      </c>
    </row>
    <row r="512" spans="1:20" ht="12.75">
      <c r="A512" s="53"/>
      <c r="B512" s="23"/>
      <c r="C512" s="53"/>
      <c r="D512" s="30"/>
      <c r="E512" s="20"/>
      <c r="F512" s="23"/>
      <c r="G512" s="95">
        <v>1</v>
      </c>
      <c r="I512" s="9">
        <f t="shared" si="35"/>
        <v>0</v>
      </c>
      <c r="J512" s="9"/>
      <c r="K512" s="9"/>
      <c r="M512" s="37">
        <f t="shared" si="36"/>
        <v>0</v>
      </c>
      <c r="N512" s="23"/>
      <c r="O512" s="23"/>
      <c r="P512" s="23">
        <v>6</v>
      </c>
      <c r="Q512" s="23"/>
      <c r="R512" s="24">
        <v>1</v>
      </c>
      <c r="T512" s="32">
        <f t="shared" si="37"/>
        <v>6</v>
      </c>
    </row>
    <row r="513" spans="1:20" ht="12.75">
      <c r="A513" s="53"/>
      <c r="B513" s="29"/>
      <c r="C513" s="53"/>
      <c r="D513" s="30"/>
      <c r="E513" s="20"/>
      <c r="F513" s="23"/>
      <c r="G513" s="95">
        <v>1</v>
      </c>
      <c r="I513" s="9">
        <f t="shared" si="35"/>
        <v>0</v>
      </c>
      <c r="J513" s="9"/>
      <c r="K513" s="9"/>
      <c r="M513" s="37">
        <f t="shared" si="36"/>
        <v>0</v>
      </c>
      <c r="N513" s="23"/>
      <c r="O513" s="23"/>
      <c r="P513" s="197">
        <v>3688</v>
      </c>
      <c r="Q513" s="23"/>
      <c r="R513" s="24">
        <v>1</v>
      </c>
      <c r="T513" s="32">
        <f t="shared" si="37"/>
        <v>3688</v>
      </c>
    </row>
    <row r="514" spans="1:23" ht="12.75">
      <c r="A514" s="53"/>
      <c r="B514" s="29"/>
      <c r="C514" s="53"/>
      <c r="D514" s="30"/>
      <c r="E514" s="20"/>
      <c r="F514" s="23"/>
      <c r="G514" s="95">
        <v>1</v>
      </c>
      <c r="I514" s="9">
        <f t="shared" si="35"/>
        <v>0</v>
      </c>
      <c r="J514" s="20"/>
      <c r="K514" s="20"/>
      <c r="L514" s="23"/>
      <c r="M514" s="37">
        <f t="shared" si="36"/>
        <v>0</v>
      </c>
      <c r="N514" s="23"/>
      <c r="O514" s="23"/>
      <c r="P514" s="23">
        <v>905</v>
      </c>
      <c r="Q514" s="23"/>
      <c r="R514" s="24">
        <v>1</v>
      </c>
      <c r="S514" s="23"/>
      <c r="T514" s="32">
        <f t="shared" si="37"/>
        <v>905</v>
      </c>
      <c r="U514" s="23"/>
      <c r="V514" s="23"/>
      <c r="W514" s="23"/>
    </row>
    <row r="515" spans="1:23" ht="12.75">
      <c r="A515" s="53"/>
      <c r="B515" s="48"/>
      <c r="C515" s="53"/>
      <c r="D515" s="30"/>
      <c r="E515" s="20"/>
      <c r="F515" s="23"/>
      <c r="G515" s="95">
        <v>1</v>
      </c>
      <c r="I515" s="9">
        <f t="shared" si="35"/>
        <v>0</v>
      </c>
      <c r="J515" s="20"/>
      <c r="K515" s="20"/>
      <c r="L515" s="23"/>
      <c r="M515" s="37">
        <f t="shared" si="36"/>
        <v>0</v>
      </c>
      <c r="N515" s="23"/>
      <c r="O515" s="23"/>
      <c r="P515" s="20">
        <v>1253</v>
      </c>
      <c r="Q515" s="23"/>
      <c r="R515" s="24">
        <v>1</v>
      </c>
      <c r="S515" s="23"/>
      <c r="T515" s="32">
        <f t="shared" si="37"/>
        <v>1253</v>
      </c>
      <c r="U515" s="23"/>
      <c r="V515" s="23"/>
      <c r="W515" s="23"/>
    </row>
    <row r="516" spans="1:23" ht="12.75">
      <c r="A516" s="53"/>
      <c r="B516" s="29"/>
      <c r="C516" s="53"/>
      <c r="D516" s="30"/>
      <c r="E516" s="20"/>
      <c r="F516" s="23"/>
      <c r="G516" s="95">
        <v>1</v>
      </c>
      <c r="I516" s="9">
        <f t="shared" si="35"/>
        <v>0</v>
      </c>
      <c r="J516" s="20"/>
      <c r="K516" s="20"/>
      <c r="L516" s="23"/>
      <c r="M516" s="37">
        <f t="shared" si="36"/>
        <v>0</v>
      </c>
      <c r="N516" s="23"/>
      <c r="O516" s="23"/>
      <c r="P516" s="20">
        <v>32485</v>
      </c>
      <c r="Q516" s="23"/>
      <c r="R516" s="24">
        <v>1</v>
      </c>
      <c r="S516" s="23"/>
      <c r="T516" s="32">
        <f t="shared" si="37"/>
        <v>32485</v>
      </c>
      <c r="U516" s="23"/>
      <c r="V516" s="23"/>
      <c r="W516" s="23"/>
    </row>
    <row r="517" spans="1:23" ht="12.75">
      <c r="A517" s="53"/>
      <c r="B517" s="29"/>
      <c r="C517" s="53"/>
      <c r="D517" s="30"/>
      <c r="E517" s="20"/>
      <c r="F517" s="23"/>
      <c r="G517" s="95">
        <v>1</v>
      </c>
      <c r="I517" s="9">
        <f t="shared" si="35"/>
        <v>0</v>
      </c>
      <c r="J517" s="20"/>
      <c r="K517" s="20"/>
      <c r="L517" s="23"/>
      <c r="M517" s="37">
        <f t="shared" si="36"/>
        <v>0</v>
      </c>
      <c r="N517" s="23"/>
      <c r="O517" s="23"/>
      <c r="P517" s="20">
        <v>2175</v>
      </c>
      <c r="Q517" s="23"/>
      <c r="R517" s="24">
        <v>1</v>
      </c>
      <c r="S517" s="23"/>
      <c r="T517" s="32">
        <f t="shared" si="37"/>
        <v>2175</v>
      </c>
      <c r="U517" s="23"/>
      <c r="V517" s="23"/>
      <c r="W517" s="23"/>
    </row>
    <row r="518" spans="1:23" ht="12.75">
      <c r="A518" s="53"/>
      <c r="B518" s="29"/>
      <c r="C518" s="53"/>
      <c r="D518" s="30"/>
      <c r="E518" s="20"/>
      <c r="F518" s="23"/>
      <c r="G518" s="95">
        <v>1</v>
      </c>
      <c r="I518" s="9">
        <f t="shared" si="35"/>
        <v>0</v>
      </c>
      <c r="J518" s="20"/>
      <c r="K518" s="20"/>
      <c r="L518" s="23"/>
      <c r="M518" s="37">
        <f t="shared" si="36"/>
        <v>0</v>
      </c>
      <c r="N518" s="23"/>
      <c r="O518" s="23"/>
      <c r="P518" s="20">
        <v>1301.4</v>
      </c>
      <c r="Q518" s="23"/>
      <c r="R518" s="24">
        <v>1</v>
      </c>
      <c r="S518" s="23"/>
      <c r="T518" s="32">
        <f t="shared" si="37"/>
        <v>1301.4</v>
      </c>
      <c r="U518" s="23"/>
      <c r="V518" s="23"/>
      <c r="W518" s="23"/>
    </row>
    <row r="519" spans="1:23" ht="12.75">
      <c r="A519" s="53"/>
      <c r="B519" s="29"/>
      <c r="C519" s="53"/>
      <c r="D519" s="30"/>
      <c r="E519" s="20"/>
      <c r="F519" s="23"/>
      <c r="G519" s="95">
        <v>1</v>
      </c>
      <c r="I519" s="9">
        <f t="shared" si="35"/>
        <v>0</v>
      </c>
      <c r="J519" s="20"/>
      <c r="K519" s="20"/>
      <c r="L519" s="23"/>
      <c r="M519" s="37">
        <f t="shared" si="36"/>
        <v>0</v>
      </c>
      <c r="N519" s="23"/>
      <c r="O519" s="23"/>
      <c r="P519" s="20">
        <v>2439</v>
      </c>
      <c r="Q519" s="23"/>
      <c r="R519" s="24">
        <v>1</v>
      </c>
      <c r="S519" s="23"/>
      <c r="T519" s="32">
        <f t="shared" si="37"/>
        <v>2439</v>
      </c>
      <c r="U519" s="23"/>
      <c r="V519" s="23"/>
      <c r="W519" s="23"/>
    </row>
    <row r="520" spans="1:23" ht="12.75">
      <c r="A520" s="53"/>
      <c r="B520" s="29"/>
      <c r="C520" s="53"/>
      <c r="D520" s="30"/>
      <c r="E520" s="20"/>
      <c r="F520" s="23"/>
      <c r="G520" s="95">
        <v>1</v>
      </c>
      <c r="I520" s="9">
        <f t="shared" si="35"/>
        <v>0</v>
      </c>
      <c r="J520" s="20"/>
      <c r="K520" s="20"/>
      <c r="L520" s="23"/>
      <c r="M520" s="37">
        <f t="shared" si="36"/>
        <v>0</v>
      </c>
      <c r="N520" s="23"/>
      <c r="O520" s="23"/>
      <c r="P520" s="20">
        <v>9088</v>
      </c>
      <c r="Q520" s="23"/>
      <c r="R520" s="24">
        <v>1</v>
      </c>
      <c r="S520" s="23"/>
      <c r="T520" s="32">
        <f t="shared" si="37"/>
        <v>9088</v>
      </c>
      <c r="U520" s="23"/>
      <c r="V520" s="23"/>
      <c r="W520" s="23"/>
    </row>
    <row r="521" spans="1:23" ht="12.75">
      <c r="A521" s="53"/>
      <c r="B521" s="29"/>
      <c r="C521" s="53"/>
      <c r="D521" s="30"/>
      <c r="E521" s="20"/>
      <c r="F521" s="23"/>
      <c r="G521" s="95">
        <v>1</v>
      </c>
      <c r="I521" s="9">
        <f t="shared" si="35"/>
        <v>0</v>
      </c>
      <c r="J521" s="20"/>
      <c r="K521" s="20"/>
      <c r="L521" s="23"/>
      <c r="M521" s="37">
        <f t="shared" si="36"/>
        <v>0</v>
      </c>
      <c r="N521" s="23"/>
      <c r="O521" s="23"/>
      <c r="P521" s="20">
        <v>4</v>
      </c>
      <c r="Q521" s="23"/>
      <c r="R521" s="24">
        <v>1</v>
      </c>
      <c r="S521" s="23"/>
      <c r="T521" s="32">
        <f t="shared" si="37"/>
        <v>4</v>
      </c>
      <c r="U521" s="23"/>
      <c r="V521" s="23"/>
      <c r="W521" s="23"/>
    </row>
    <row r="522" spans="1:23" ht="12.75">
      <c r="A522" s="53"/>
      <c r="B522" s="29"/>
      <c r="C522" s="53"/>
      <c r="D522" s="30"/>
      <c r="E522" s="20"/>
      <c r="F522" s="23"/>
      <c r="G522" s="95">
        <v>1</v>
      </c>
      <c r="I522" s="9">
        <f t="shared" si="35"/>
        <v>0</v>
      </c>
      <c r="J522" s="20"/>
      <c r="K522" s="20"/>
      <c r="L522" s="23"/>
      <c r="M522" s="37">
        <f t="shared" si="36"/>
        <v>0</v>
      </c>
      <c r="N522" s="23"/>
      <c r="O522" s="23"/>
      <c r="P522" s="20">
        <v>27080</v>
      </c>
      <c r="Q522" s="23"/>
      <c r="R522" s="24">
        <v>1</v>
      </c>
      <c r="S522" s="23"/>
      <c r="T522" s="32">
        <f t="shared" si="37"/>
        <v>27080</v>
      </c>
      <c r="U522" s="23"/>
      <c r="V522" s="23"/>
      <c r="W522" s="23"/>
    </row>
    <row r="523" spans="1:23" ht="12.75">
      <c r="A523" s="53"/>
      <c r="B523" s="29"/>
      <c r="C523" s="53"/>
      <c r="D523" s="30"/>
      <c r="E523" s="20"/>
      <c r="F523" s="23"/>
      <c r="G523" s="95">
        <v>1</v>
      </c>
      <c r="I523" s="9">
        <f t="shared" si="35"/>
        <v>0</v>
      </c>
      <c r="J523" s="20"/>
      <c r="K523" s="20"/>
      <c r="L523" s="23"/>
      <c r="M523" s="37">
        <f t="shared" si="36"/>
        <v>0</v>
      </c>
      <c r="N523" s="23"/>
      <c r="O523" s="23"/>
      <c r="P523" s="32">
        <v>1477</v>
      </c>
      <c r="Q523" s="23"/>
      <c r="R523" s="24">
        <v>1</v>
      </c>
      <c r="S523" s="23"/>
      <c r="T523" s="32">
        <f t="shared" si="37"/>
        <v>1477</v>
      </c>
      <c r="U523" s="23"/>
      <c r="V523" s="23"/>
      <c r="W523" s="23"/>
    </row>
    <row r="524" spans="1:23" ht="12.75">
      <c r="A524" s="53"/>
      <c r="B524" s="29"/>
      <c r="C524" s="53"/>
      <c r="D524" s="30"/>
      <c r="E524" s="20"/>
      <c r="F524" s="23"/>
      <c r="G524" s="95">
        <v>1</v>
      </c>
      <c r="I524" s="9">
        <f t="shared" si="35"/>
        <v>0</v>
      </c>
      <c r="J524" s="20"/>
      <c r="K524" s="20"/>
      <c r="L524" s="23"/>
      <c r="M524" s="37">
        <f t="shared" si="36"/>
        <v>0</v>
      </c>
      <c r="N524" s="23"/>
      <c r="O524" s="23"/>
      <c r="P524" s="20">
        <v>53279</v>
      </c>
      <c r="Q524" s="23"/>
      <c r="R524" s="24">
        <v>1</v>
      </c>
      <c r="S524" s="23"/>
      <c r="T524" s="32">
        <f t="shared" si="37"/>
        <v>53279</v>
      </c>
      <c r="U524" s="23"/>
      <c r="V524" s="23"/>
      <c r="W524" s="23"/>
    </row>
    <row r="525" spans="1:23" ht="12.75">
      <c r="A525" s="53"/>
      <c r="B525" s="29"/>
      <c r="C525" s="53"/>
      <c r="D525" s="30"/>
      <c r="E525" s="32" t="s">
        <v>134</v>
      </c>
      <c r="F525" s="23"/>
      <c r="G525" s="95"/>
      <c r="I525" s="32" t="s">
        <v>134</v>
      </c>
      <c r="J525" s="20"/>
      <c r="K525" s="20"/>
      <c r="L525" s="23"/>
      <c r="M525" s="37">
        <f t="shared" si="36"/>
        <v>0</v>
      </c>
      <c r="N525" s="23"/>
      <c r="O525" s="23"/>
      <c r="P525" s="32" t="s">
        <v>134</v>
      </c>
      <c r="Q525" s="23"/>
      <c r="R525" s="95"/>
      <c r="T525" s="32" t="s">
        <v>134</v>
      </c>
      <c r="U525" s="20"/>
      <c r="V525" s="23"/>
      <c r="W525" s="23"/>
    </row>
    <row r="526" spans="1:23" ht="12.75">
      <c r="A526" s="53">
        <f>+A463</f>
        <v>48</v>
      </c>
      <c r="B526" s="54" t="s">
        <v>425</v>
      </c>
      <c r="C526" s="53"/>
      <c r="D526" s="30"/>
      <c r="E526" s="20">
        <f>SUM(E463:E525)</f>
        <v>0</v>
      </c>
      <c r="F526" s="23"/>
      <c r="G526" s="95"/>
      <c r="I526" s="20">
        <f>SUM(I463:I525)</f>
        <v>0</v>
      </c>
      <c r="J526" s="20"/>
      <c r="K526" s="20">
        <f>+A526</f>
        <v>48</v>
      </c>
      <c r="L526" s="23"/>
      <c r="M526" s="37" t="str">
        <f>+B526</f>
        <v>Total Adjustment</v>
      </c>
      <c r="N526" s="23"/>
      <c r="O526" s="23"/>
      <c r="P526" s="20">
        <f>SUM(P463:P525)</f>
        <v>601803.6000000001</v>
      </c>
      <c r="Q526" s="23"/>
      <c r="R526" s="95"/>
      <c r="T526" s="20">
        <f>SUM(T463:T525)</f>
        <v>601803.6000000001</v>
      </c>
      <c r="U526" s="20"/>
      <c r="V526" s="23"/>
      <c r="W526" s="23"/>
    </row>
    <row r="527" spans="1:23" ht="12.75">
      <c r="A527" s="53"/>
      <c r="B527" s="29"/>
      <c r="C527" s="53"/>
      <c r="D527" s="30"/>
      <c r="E527" s="20"/>
      <c r="F527" s="23"/>
      <c r="G527" s="95"/>
      <c r="H527" s="23"/>
      <c r="I527" s="9"/>
      <c r="J527" s="20"/>
      <c r="K527" s="20"/>
      <c r="L527" s="23"/>
      <c r="M527" s="35"/>
      <c r="N527" s="23"/>
      <c r="O527" s="23"/>
      <c r="P527" s="20"/>
      <c r="Q527" s="23"/>
      <c r="R527" s="24"/>
      <c r="S527" s="23"/>
      <c r="T527" s="9"/>
      <c r="U527" s="23"/>
      <c r="V527" s="23"/>
      <c r="W527" s="23"/>
    </row>
    <row r="528" spans="1:23" ht="12.75">
      <c r="A528" s="53"/>
      <c r="B528" s="29"/>
      <c r="C528" s="53"/>
      <c r="D528" s="30"/>
      <c r="E528" s="20"/>
      <c r="F528" s="23"/>
      <c r="G528" s="95"/>
      <c r="H528" s="23"/>
      <c r="I528" s="9"/>
      <c r="J528" s="20"/>
      <c r="K528" s="20"/>
      <c r="L528" s="23"/>
      <c r="M528" s="35"/>
      <c r="N528" s="23"/>
      <c r="O528" s="23"/>
      <c r="P528" s="20"/>
      <c r="Q528" s="23"/>
      <c r="R528" s="24"/>
      <c r="S528" s="23"/>
      <c r="T528" s="9"/>
      <c r="U528" s="23"/>
      <c r="V528" s="23"/>
      <c r="W528" s="23"/>
    </row>
    <row r="529" spans="1:23" ht="12.75">
      <c r="A529" s="53">
        <f>+A526+1</f>
        <v>49</v>
      </c>
      <c r="B529" s="29" t="s">
        <v>639</v>
      </c>
      <c r="C529" s="53"/>
      <c r="D529" s="30" t="s">
        <v>640</v>
      </c>
      <c r="E529" s="20">
        <v>-509</v>
      </c>
      <c r="F529" s="23"/>
      <c r="G529" s="95">
        <v>0.9869</v>
      </c>
      <c r="H529" s="23"/>
      <c r="I529" s="9">
        <f aca="true" t="shared" si="38" ref="I529:I534">+E529*G529</f>
        <v>-502.3321</v>
      </c>
      <c r="J529" s="20"/>
      <c r="K529" s="20">
        <f>+A529</f>
        <v>49</v>
      </c>
      <c r="L529" s="23"/>
      <c r="M529" s="35" t="str">
        <f>+B529</f>
        <v>Eliminate - Non-Labor Restructuring</v>
      </c>
      <c r="N529" s="23"/>
      <c r="O529" s="23"/>
      <c r="P529" s="20"/>
      <c r="Q529" s="23"/>
      <c r="R529" s="24"/>
      <c r="S529" s="23"/>
      <c r="T529" s="9"/>
      <c r="U529" s="23"/>
      <c r="V529" s="23"/>
      <c r="W529" s="23"/>
    </row>
    <row r="530" spans="1:23" ht="12.75">
      <c r="A530" s="45"/>
      <c r="B530" s="48"/>
      <c r="C530" s="53"/>
      <c r="D530" s="30" t="s">
        <v>641</v>
      </c>
      <c r="E530" s="102">
        <v>-1</v>
      </c>
      <c r="F530" s="23"/>
      <c r="G530" s="95">
        <v>0.9869</v>
      </c>
      <c r="H530" s="23"/>
      <c r="I530" s="9">
        <f t="shared" si="38"/>
        <v>-0.9869</v>
      </c>
      <c r="J530" s="20"/>
      <c r="K530" s="20"/>
      <c r="L530" s="23"/>
      <c r="M530" s="37">
        <f>+B530</f>
        <v>0</v>
      </c>
      <c r="N530" s="48"/>
      <c r="O530" s="23"/>
      <c r="P530" s="32"/>
      <c r="Q530" s="23"/>
      <c r="R530" s="24"/>
      <c r="S530" s="23"/>
      <c r="T530" s="32">
        <f aca="true" t="shared" si="39" ref="T530:T563">+P530*R530</f>
        <v>0</v>
      </c>
      <c r="U530" s="23"/>
      <c r="V530" s="23"/>
      <c r="W530" s="23"/>
    </row>
    <row r="531" spans="1:23" ht="12.75">
      <c r="A531" s="45"/>
      <c r="B531" s="29"/>
      <c r="C531" s="53"/>
      <c r="D531" s="30" t="s">
        <v>642</v>
      </c>
      <c r="E531" s="20">
        <v>-2</v>
      </c>
      <c r="F531" s="23"/>
      <c r="G531" s="95">
        <v>0.9869</v>
      </c>
      <c r="H531" s="23"/>
      <c r="I531" s="9">
        <f t="shared" si="38"/>
        <v>-1.9738</v>
      </c>
      <c r="J531" s="20"/>
      <c r="K531" s="20"/>
      <c r="L531" s="23"/>
      <c r="M531" s="37">
        <f aca="true" t="shared" si="40" ref="M531:M580">+B531</f>
        <v>0</v>
      </c>
      <c r="N531" s="29"/>
      <c r="O531" s="23"/>
      <c r="P531" s="20"/>
      <c r="Q531" s="23"/>
      <c r="R531" s="24"/>
      <c r="S531" s="23"/>
      <c r="T531" s="32">
        <f t="shared" si="39"/>
        <v>0</v>
      </c>
      <c r="U531" s="23"/>
      <c r="V531" s="23"/>
      <c r="W531" s="23"/>
    </row>
    <row r="532" spans="1:23" ht="12.75">
      <c r="A532" s="45"/>
      <c r="B532" s="23"/>
      <c r="C532" s="53"/>
      <c r="D532" s="30" t="s">
        <v>643</v>
      </c>
      <c r="E532" s="20">
        <v>-168</v>
      </c>
      <c r="F532" s="23"/>
      <c r="G532" s="95">
        <v>0.9869</v>
      </c>
      <c r="H532" s="23"/>
      <c r="I532" s="9">
        <f t="shared" si="38"/>
        <v>-165.7992</v>
      </c>
      <c r="J532" s="23"/>
      <c r="K532" s="23"/>
      <c r="L532" s="23"/>
      <c r="M532" s="37">
        <f t="shared" si="40"/>
        <v>0</v>
      </c>
      <c r="N532" s="23"/>
      <c r="O532" s="23"/>
      <c r="P532" s="20"/>
      <c r="Q532" s="23"/>
      <c r="R532" s="24"/>
      <c r="S532" s="23"/>
      <c r="T532" s="32">
        <f t="shared" si="39"/>
        <v>0</v>
      </c>
      <c r="U532" s="23"/>
      <c r="V532" s="23"/>
      <c r="W532" s="23"/>
    </row>
    <row r="533" spans="1:23" ht="12.75">
      <c r="A533" s="45"/>
      <c r="B533" s="29"/>
      <c r="C533" s="53"/>
      <c r="D533" s="30" t="s">
        <v>644</v>
      </c>
      <c r="E533" s="20">
        <v>-1852</v>
      </c>
      <c r="F533" s="23"/>
      <c r="G533" s="95">
        <v>0.9869</v>
      </c>
      <c r="H533" s="23"/>
      <c r="I533" s="9">
        <f t="shared" si="38"/>
        <v>-1827.7388</v>
      </c>
      <c r="J533" s="23"/>
      <c r="K533" s="23"/>
      <c r="L533" s="23"/>
      <c r="M533" s="37">
        <f t="shared" si="40"/>
        <v>0</v>
      </c>
      <c r="N533" s="23"/>
      <c r="O533" s="23"/>
      <c r="P533" s="20"/>
      <c r="Q533" s="23"/>
      <c r="R533" s="24"/>
      <c r="S533" s="23"/>
      <c r="T533" s="32">
        <f t="shared" si="39"/>
        <v>0</v>
      </c>
      <c r="U533" s="23"/>
      <c r="V533" s="23"/>
      <c r="W533" s="23"/>
    </row>
    <row r="534" spans="1:23" ht="12.75">
      <c r="A534" s="45"/>
      <c r="B534" s="25"/>
      <c r="C534" s="53"/>
      <c r="D534" s="30" t="s">
        <v>645</v>
      </c>
      <c r="E534" s="20">
        <v>-321</v>
      </c>
      <c r="F534" s="23"/>
      <c r="G534" s="95">
        <v>0.9869</v>
      </c>
      <c r="H534" s="23"/>
      <c r="I534" s="9">
        <f t="shared" si="38"/>
        <v>-316.7949</v>
      </c>
      <c r="J534" s="20"/>
      <c r="K534" s="20"/>
      <c r="L534" s="23"/>
      <c r="M534" s="37">
        <f t="shared" si="40"/>
        <v>0</v>
      </c>
      <c r="N534" s="23"/>
      <c r="O534" s="23"/>
      <c r="P534" s="20"/>
      <c r="Q534" s="23"/>
      <c r="R534" s="24"/>
      <c r="S534" s="23"/>
      <c r="T534" s="32">
        <f t="shared" si="39"/>
        <v>0</v>
      </c>
      <c r="U534" s="23"/>
      <c r="V534" s="23"/>
      <c r="W534" s="23"/>
    </row>
    <row r="535" spans="1:23" ht="12.75">
      <c r="A535" s="53"/>
      <c r="B535" s="29"/>
      <c r="C535" s="53"/>
      <c r="D535" s="30" t="s">
        <v>646</v>
      </c>
      <c r="E535" s="20">
        <v>-2452</v>
      </c>
      <c r="F535" s="23"/>
      <c r="G535" s="95">
        <v>0.9847</v>
      </c>
      <c r="H535" s="23"/>
      <c r="I535" s="9">
        <f aca="true" t="shared" si="41" ref="I535:I579">+E535*G535</f>
        <v>-2414.4844</v>
      </c>
      <c r="J535" s="20"/>
      <c r="K535" s="20"/>
      <c r="L535" s="23"/>
      <c r="M535" s="37">
        <f t="shared" si="40"/>
        <v>0</v>
      </c>
      <c r="N535" s="23"/>
      <c r="O535" s="23"/>
      <c r="P535" s="20"/>
      <c r="Q535" s="23"/>
      <c r="R535" s="24"/>
      <c r="S535" s="23"/>
      <c r="T535" s="32">
        <f t="shared" si="39"/>
        <v>0</v>
      </c>
      <c r="U535" s="23"/>
      <c r="V535" s="23"/>
      <c r="W535" s="23"/>
    </row>
    <row r="536" spans="1:20" ht="12.75">
      <c r="A536" s="53"/>
      <c r="B536" s="23"/>
      <c r="C536" s="53"/>
      <c r="D536" s="30" t="s">
        <v>647</v>
      </c>
      <c r="E536" s="20">
        <v>-3935</v>
      </c>
      <c r="F536" s="23"/>
      <c r="G536" s="95">
        <v>0.9847</v>
      </c>
      <c r="I536" s="9">
        <f t="shared" si="41"/>
        <v>-3874.7945</v>
      </c>
      <c r="J536" s="9"/>
      <c r="K536" s="9"/>
      <c r="M536" s="37">
        <f t="shared" si="40"/>
        <v>0</v>
      </c>
      <c r="N536" s="23"/>
      <c r="O536" s="23"/>
      <c r="P536" s="20"/>
      <c r="Q536" s="23"/>
      <c r="R536" s="24"/>
      <c r="S536" s="23"/>
      <c r="T536" s="32">
        <f t="shared" si="39"/>
        <v>0</v>
      </c>
    </row>
    <row r="537" spans="1:20" ht="12.75">
      <c r="A537" s="53"/>
      <c r="B537" s="23"/>
      <c r="C537" s="53"/>
      <c r="D537" s="30" t="s">
        <v>648</v>
      </c>
      <c r="E537" s="20">
        <v>-22</v>
      </c>
      <c r="F537" s="23"/>
      <c r="G537" s="95">
        <v>0.9869</v>
      </c>
      <c r="I537" s="9">
        <f t="shared" si="41"/>
        <v>-21.7118</v>
      </c>
      <c r="J537" s="9"/>
      <c r="K537" s="9"/>
      <c r="M537" s="37">
        <f t="shared" si="40"/>
        <v>0</v>
      </c>
      <c r="N537" s="23"/>
      <c r="O537" s="23"/>
      <c r="P537" s="20"/>
      <c r="Q537" s="23"/>
      <c r="R537" s="24"/>
      <c r="S537" s="23"/>
      <c r="T537" s="32">
        <f t="shared" si="39"/>
        <v>0</v>
      </c>
    </row>
    <row r="538" spans="1:20" ht="12.75">
      <c r="A538" s="53"/>
      <c r="B538" s="23"/>
      <c r="C538" s="53"/>
      <c r="D538" s="30" t="s">
        <v>649</v>
      </c>
      <c r="E538" s="20">
        <v>-311</v>
      </c>
      <c r="F538" s="23"/>
      <c r="G538" s="95">
        <v>0.9869</v>
      </c>
      <c r="I538" s="9">
        <f t="shared" si="41"/>
        <v>-306.9259</v>
      </c>
      <c r="J538" s="9"/>
      <c r="K538" s="9"/>
      <c r="M538" s="37">
        <f t="shared" si="40"/>
        <v>0</v>
      </c>
      <c r="N538" s="23"/>
      <c r="O538" s="23"/>
      <c r="P538" s="20"/>
      <c r="Q538" s="23"/>
      <c r="R538" s="24"/>
      <c r="S538" s="23"/>
      <c r="T538" s="32">
        <f t="shared" si="39"/>
        <v>0</v>
      </c>
    </row>
    <row r="539" spans="1:20" ht="12.75">
      <c r="A539" s="53"/>
      <c r="B539" s="23"/>
      <c r="C539" s="53"/>
      <c r="D539" s="30" t="s">
        <v>650</v>
      </c>
      <c r="E539" s="20">
        <v>-527</v>
      </c>
      <c r="F539" s="23"/>
      <c r="G539" s="95">
        <v>0.9869</v>
      </c>
      <c r="I539" s="9">
        <f t="shared" si="41"/>
        <v>-520.0963</v>
      </c>
      <c r="J539" s="9"/>
      <c r="K539" s="9"/>
      <c r="M539" s="37">
        <f t="shared" si="40"/>
        <v>0</v>
      </c>
      <c r="N539" s="23"/>
      <c r="O539" s="23"/>
      <c r="P539" s="20"/>
      <c r="Q539" s="23"/>
      <c r="R539" s="24"/>
      <c r="S539" s="23"/>
      <c r="T539" s="32">
        <f t="shared" si="39"/>
        <v>0</v>
      </c>
    </row>
    <row r="540" spans="1:20" ht="12.75">
      <c r="A540" s="53"/>
      <c r="B540" s="23"/>
      <c r="C540" s="53"/>
      <c r="D540" s="30" t="s">
        <v>651</v>
      </c>
      <c r="E540" s="20">
        <v>-4098</v>
      </c>
      <c r="F540" s="23"/>
      <c r="G540" s="95">
        <v>0.9869</v>
      </c>
      <c r="I540" s="9">
        <f t="shared" si="41"/>
        <v>-4044.3162</v>
      </c>
      <c r="J540" s="9"/>
      <c r="K540" s="9"/>
      <c r="M540" s="37">
        <f t="shared" si="40"/>
        <v>0</v>
      </c>
      <c r="N540" s="23"/>
      <c r="O540" s="23"/>
      <c r="P540" s="20"/>
      <c r="Q540" s="23"/>
      <c r="R540" s="24"/>
      <c r="S540" s="23"/>
      <c r="T540" s="32">
        <f t="shared" si="39"/>
        <v>0</v>
      </c>
    </row>
    <row r="541" spans="1:20" ht="12.75">
      <c r="A541" s="53"/>
      <c r="B541" s="23"/>
      <c r="C541" s="53"/>
      <c r="D541" s="30" t="s">
        <v>652</v>
      </c>
      <c r="E541" s="20">
        <v>-382</v>
      </c>
      <c r="F541" s="23"/>
      <c r="G541" s="95">
        <v>0.9869</v>
      </c>
      <c r="I541" s="9">
        <f t="shared" si="41"/>
        <v>-376.9958</v>
      </c>
      <c r="J541" s="9"/>
      <c r="K541" s="9"/>
      <c r="M541" s="37">
        <f t="shared" si="40"/>
        <v>0</v>
      </c>
      <c r="N541" s="23"/>
      <c r="O541" s="23"/>
      <c r="P541" s="20"/>
      <c r="Q541" s="23"/>
      <c r="R541" s="24"/>
      <c r="S541" s="23"/>
      <c r="T541" s="32">
        <f t="shared" si="39"/>
        <v>0</v>
      </c>
    </row>
    <row r="542" spans="1:20" ht="12.75">
      <c r="A542" s="53"/>
      <c r="B542" s="23"/>
      <c r="C542" s="53"/>
      <c r="D542" s="30" t="s">
        <v>653</v>
      </c>
      <c r="E542" s="20">
        <v>-176</v>
      </c>
      <c r="F542" s="23"/>
      <c r="G542" s="95">
        <v>0.9869</v>
      </c>
      <c r="I542" s="9">
        <f t="shared" si="41"/>
        <v>-173.6944</v>
      </c>
      <c r="J542" s="9"/>
      <c r="K542" s="9"/>
      <c r="M542" s="37">
        <f t="shared" si="40"/>
        <v>0</v>
      </c>
      <c r="N542" s="23"/>
      <c r="O542" s="23"/>
      <c r="P542" s="20"/>
      <c r="Q542" s="23"/>
      <c r="R542" s="24"/>
      <c r="S542" s="23"/>
      <c r="T542" s="32">
        <f t="shared" si="39"/>
        <v>0</v>
      </c>
    </row>
    <row r="543" spans="1:20" ht="12.75">
      <c r="A543" s="53"/>
      <c r="B543" s="23"/>
      <c r="C543" s="53"/>
      <c r="D543" s="30" t="s">
        <v>654</v>
      </c>
      <c r="E543" s="20">
        <v>-20</v>
      </c>
      <c r="F543" s="23"/>
      <c r="G543" s="95">
        <v>0.9869</v>
      </c>
      <c r="I543" s="9">
        <f t="shared" si="41"/>
        <v>-19.738</v>
      </c>
      <c r="J543" s="9"/>
      <c r="K543" s="9"/>
      <c r="M543" s="37">
        <f t="shared" si="40"/>
        <v>0</v>
      </c>
      <c r="N543" s="23"/>
      <c r="O543" s="23"/>
      <c r="P543" s="20"/>
      <c r="Q543" s="23"/>
      <c r="R543" s="24"/>
      <c r="S543" s="23"/>
      <c r="T543" s="32">
        <f t="shared" si="39"/>
        <v>0</v>
      </c>
    </row>
    <row r="544" spans="1:20" ht="12.75">
      <c r="A544" s="53"/>
      <c r="B544" s="23"/>
      <c r="C544" s="53"/>
      <c r="D544" s="30" t="s">
        <v>655</v>
      </c>
      <c r="E544" s="20">
        <v>-1310</v>
      </c>
      <c r="F544" s="23"/>
      <c r="G544" s="95">
        <v>0.9869</v>
      </c>
      <c r="I544" s="9">
        <f t="shared" si="41"/>
        <v>-1292.839</v>
      </c>
      <c r="J544" s="9"/>
      <c r="K544" s="9"/>
      <c r="M544" s="37">
        <f t="shared" si="40"/>
        <v>0</v>
      </c>
      <c r="N544" s="23"/>
      <c r="O544" s="23"/>
      <c r="P544" s="20"/>
      <c r="Q544" s="23"/>
      <c r="R544" s="24"/>
      <c r="S544" s="23"/>
      <c r="T544" s="32">
        <f t="shared" si="39"/>
        <v>0</v>
      </c>
    </row>
    <row r="545" spans="1:20" ht="12.75">
      <c r="A545" s="53"/>
      <c r="B545" s="23"/>
      <c r="C545" s="53"/>
      <c r="D545" s="30" t="s">
        <v>656</v>
      </c>
      <c r="E545" s="20">
        <v>-536</v>
      </c>
      <c r="F545" s="23"/>
      <c r="G545" s="95">
        <v>0.99833</v>
      </c>
      <c r="I545" s="9">
        <f t="shared" si="41"/>
        <v>-535.10488</v>
      </c>
      <c r="J545" s="9"/>
      <c r="K545" s="9"/>
      <c r="M545" s="37">
        <f t="shared" si="40"/>
        <v>0</v>
      </c>
      <c r="N545" s="23"/>
      <c r="O545" s="23"/>
      <c r="P545" s="20"/>
      <c r="Q545" s="23"/>
      <c r="R545" s="24"/>
      <c r="S545" s="23"/>
      <c r="T545" s="32">
        <f t="shared" si="39"/>
        <v>0</v>
      </c>
    </row>
    <row r="546" spans="1:20" ht="12.75">
      <c r="A546" s="53"/>
      <c r="B546" s="23"/>
      <c r="C546" s="53"/>
      <c r="D546" s="30" t="s">
        <v>657</v>
      </c>
      <c r="E546" s="20">
        <v>-396</v>
      </c>
      <c r="F546" s="23"/>
      <c r="G546" s="95">
        <v>0.99833</v>
      </c>
      <c r="I546" s="9">
        <f t="shared" si="41"/>
        <v>-395.33868</v>
      </c>
      <c r="J546" s="9"/>
      <c r="K546" s="9"/>
      <c r="M546" s="37">
        <f t="shared" si="40"/>
        <v>0</v>
      </c>
      <c r="N546" s="23"/>
      <c r="O546" s="23"/>
      <c r="P546" s="20"/>
      <c r="Q546" s="23"/>
      <c r="R546" s="24"/>
      <c r="S546" s="23"/>
      <c r="T546" s="32">
        <f t="shared" si="39"/>
        <v>0</v>
      </c>
    </row>
    <row r="547" spans="1:20" ht="12.75">
      <c r="A547" s="53"/>
      <c r="B547" s="23"/>
      <c r="C547" s="53"/>
      <c r="D547" s="30" t="s">
        <v>658</v>
      </c>
      <c r="E547" s="20">
        <v>-5</v>
      </c>
      <c r="F547" s="23"/>
      <c r="G547" s="95">
        <v>0.99833</v>
      </c>
      <c r="I547" s="9">
        <f t="shared" si="41"/>
        <v>-4.99165</v>
      </c>
      <c r="J547" s="9"/>
      <c r="K547" s="9"/>
      <c r="M547" s="37">
        <f t="shared" si="40"/>
        <v>0</v>
      </c>
      <c r="N547" s="23"/>
      <c r="O547" s="23"/>
      <c r="P547" s="20"/>
      <c r="Q547" s="23"/>
      <c r="R547" s="24"/>
      <c r="S547" s="23"/>
      <c r="T547" s="32">
        <f t="shared" si="39"/>
        <v>0</v>
      </c>
    </row>
    <row r="548" spans="1:20" ht="12.75">
      <c r="A548" s="53"/>
      <c r="B548" s="23"/>
      <c r="C548" s="53"/>
      <c r="D548" s="30" t="s">
        <v>659</v>
      </c>
      <c r="E548" s="20">
        <v>-7</v>
      </c>
      <c r="F548" s="23"/>
      <c r="G548" s="95">
        <v>0.99833</v>
      </c>
      <c r="I548" s="9">
        <f t="shared" si="41"/>
        <v>-6.98831</v>
      </c>
      <c r="J548" s="9"/>
      <c r="K548" s="9"/>
      <c r="M548" s="37">
        <f t="shared" si="40"/>
        <v>0</v>
      </c>
      <c r="N548" s="23"/>
      <c r="O548" s="23"/>
      <c r="P548" s="20"/>
      <c r="Q548" s="23"/>
      <c r="R548" s="24"/>
      <c r="S548" s="23"/>
      <c r="T548" s="32">
        <f t="shared" si="39"/>
        <v>0</v>
      </c>
    </row>
    <row r="549" spans="1:20" ht="12.75">
      <c r="A549" s="53"/>
      <c r="B549" s="23"/>
      <c r="C549" s="53"/>
      <c r="D549" s="30" t="s">
        <v>660</v>
      </c>
      <c r="E549" s="20">
        <v>8508</v>
      </c>
      <c r="F549" s="23"/>
      <c r="G549" s="95">
        <v>0.99833</v>
      </c>
      <c r="I549" s="9">
        <f t="shared" si="41"/>
        <v>8493.791640000001</v>
      </c>
      <c r="J549" s="9"/>
      <c r="K549" s="9"/>
      <c r="M549" s="37">
        <f t="shared" si="40"/>
        <v>0</v>
      </c>
      <c r="N549" s="23"/>
      <c r="O549" s="23"/>
      <c r="P549" s="20"/>
      <c r="Q549" s="23"/>
      <c r="R549" s="24"/>
      <c r="S549" s="23"/>
      <c r="T549" s="32">
        <f t="shared" si="39"/>
        <v>0</v>
      </c>
    </row>
    <row r="550" spans="1:20" ht="12.75">
      <c r="A550" s="53"/>
      <c r="B550" s="23"/>
      <c r="C550" s="53"/>
      <c r="D550" s="30" t="s">
        <v>661</v>
      </c>
      <c r="E550" s="20">
        <v>-15</v>
      </c>
      <c r="F550" s="23"/>
      <c r="G550" s="95">
        <v>0.99833</v>
      </c>
      <c r="I550" s="9">
        <f t="shared" si="41"/>
        <v>-14.974950000000002</v>
      </c>
      <c r="J550" s="9"/>
      <c r="K550" s="9"/>
      <c r="M550" s="37">
        <f t="shared" si="40"/>
        <v>0</v>
      </c>
      <c r="N550" s="23"/>
      <c r="O550" s="23"/>
      <c r="P550" s="20"/>
      <c r="Q550" s="23"/>
      <c r="R550" s="24"/>
      <c r="S550" s="23"/>
      <c r="T550" s="32">
        <f t="shared" si="39"/>
        <v>0</v>
      </c>
    </row>
    <row r="551" spans="1:20" ht="12.75">
      <c r="A551" s="53"/>
      <c r="B551" s="23"/>
      <c r="C551" s="53"/>
      <c r="D551" s="30" t="s">
        <v>662</v>
      </c>
      <c r="E551" s="20">
        <v>-39177</v>
      </c>
      <c r="F551" s="23"/>
      <c r="G551" s="95">
        <v>0.99833</v>
      </c>
      <c r="I551" s="9">
        <f t="shared" si="41"/>
        <v>-39111.57441</v>
      </c>
      <c r="J551" s="9"/>
      <c r="K551" s="9"/>
      <c r="M551" s="37">
        <f t="shared" si="40"/>
        <v>0</v>
      </c>
      <c r="N551" s="23"/>
      <c r="O551" s="23"/>
      <c r="P551" s="20"/>
      <c r="Q551" s="23"/>
      <c r="R551" s="24"/>
      <c r="S551" s="23"/>
      <c r="T551" s="32">
        <f t="shared" si="39"/>
        <v>0</v>
      </c>
    </row>
    <row r="552" spans="1:20" ht="12.75">
      <c r="A552" s="53"/>
      <c r="B552" s="23"/>
      <c r="C552" s="53"/>
      <c r="D552" s="30" t="s">
        <v>663</v>
      </c>
      <c r="E552" s="20">
        <v>-6</v>
      </c>
      <c r="F552" s="23"/>
      <c r="G552" s="95">
        <v>0.99833</v>
      </c>
      <c r="I552" s="9">
        <f t="shared" si="41"/>
        <v>-5.98998</v>
      </c>
      <c r="J552" s="9"/>
      <c r="K552" s="9"/>
      <c r="M552" s="37">
        <f t="shared" si="40"/>
        <v>0</v>
      </c>
      <c r="N552" s="23"/>
      <c r="O552" s="23"/>
      <c r="P552" s="20"/>
      <c r="Q552" s="23"/>
      <c r="R552" s="24"/>
      <c r="S552" s="23"/>
      <c r="T552" s="32">
        <f t="shared" si="39"/>
        <v>0</v>
      </c>
    </row>
    <row r="553" spans="1:20" ht="12.75">
      <c r="A553" s="53"/>
      <c r="B553" s="23"/>
      <c r="C553" s="53"/>
      <c r="D553" s="30" t="s">
        <v>664</v>
      </c>
      <c r="E553" s="20">
        <v>-214</v>
      </c>
      <c r="F553" s="23"/>
      <c r="G553" s="95">
        <v>0.99833</v>
      </c>
      <c r="I553" s="9">
        <f t="shared" si="41"/>
        <v>-213.64262000000002</v>
      </c>
      <c r="J553" s="9"/>
      <c r="K553" s="9"/>
      <c r="M553" s="37">
        <f t="shared" si="40"/>
        <v>0</v>
      </c>
      <c r="N553" s="23"/>
      <c r="O553" s="23"/>
      <c r="P553" s="20"/>
      <c r="Q553" s="23"/>
      <c r="R553" s="24"/>
      <c r="S553" s="23"/>
      <c r="T553" s="32">
        <f t="shared" si="39"/>
        <v>0</v>
      </c>
    </row>
    <row r="554" spans="1:20" ht="12.75">
      <c r="A554" s="53"/>
      <c r="B554" s="23"/>
      <c r="C554" s="53"/>
      <c r="D554" s="30" t="s">
        <v>665</v>
      </c>
      <c r="E554" s="20">
        <v>-484</v>
      </c>
      <c r="F554" s="23"/>
      <c r="G554" s="95">
        <v>0.99833</v>
      </c>
      <c r="I554" s="9">
        <f t="shared" si="41"/>
        <v>-483.19172000000003</v>
      </c>
      <c r="J554" s="9"/>
      <c r="K554" s="9"/>
      <c r="M554" s="37">
        <f t="shared" si="40"/>
        <v>0</v>
      </c>
      <c r="N554" s="23"/>
      <c r="O554" s="23"/>
      <c r="P554" s="20"/>
      <c r="Q554" s="23"/>
      <c r="R554" s="24"/>
      <c r="S554" s="23"/>
      <c r="T554" s="32">
        <f t="shared" si="39"/>
        <v>0</v>
      </c>
    </row>
    <row r="555" spans="1:20" ht="12.75">
      <c r="A555" s="53"/>
      <c r="B555" s="23"/>
      <c r="C555" s="53"/>
      <c r="D555" s="30" t="s">
        <v>846</v>
      </c>
      <c r="E555" s="20">
        <v>-642</v>
      </c>
      <c r="F555" s="23"/>
      <c r="G555" s="95">
        <v>0.99833</v>
      </c>
      <c r="I555" s="9">
        <f t="shared" si="41"/>
        <v>-640.92786</v>
      </c>
      <c r="J555" s="9"/>
      <c r="K555" s="9"/>
      <c r="M555" s="37">
        <f>+B555</f>
        <v>0</v>
      </c>
      <c r="N555" s="23"/>
      <c r="O555" s="23"/>
      <c r="P555" s="20"/>
      <c r="Q555" s="23"/>
      <c r="R555" s="24"/>
      <c r="S555" s="23"/>
      <c r="T555" s="32">
        <f>+P555*R555</f>
        <v>0</v>
      </c>
    </row>
    <row r="556" spans="1:20" ht="12.75">
      <c r="A556" s="53"/>
      <c r="B556" s="23"/>
      <c r="C556" s="53"/>
      <c r="D556" s="30" t="s">
        <v>666</v>
      </c>
      <c r="E556" s="20">
        <v>-1423</v>
      </c>
      <c r="F556" s="23"/>
      <c r="G556" s="95">
        <v>0.99833</v>
      </c>
      <c r="I556" s="9">
        <f t="shared" si="41"/>
        <v>-1420.6235900000001</v>
      </c>
      <c r="J556" s="9"/>
      <c r="K556" s="9"/>
      <c r="M556" s="37">
        <f t="shared" si="40"/>
        <v>0</v>
      </c>
      <c r="N556" s="23"/>
      <c r="O556" s="23"/>
      <c r="P556" s="20"/>
      <c r="Q556" s="23"/>
      <c r="R556" s="24"/>
      <c r="S556" s="23"/>
      <c r="T556" s="32">
        <f t="shared" si="39"/>
        <v>0</v>
      </c>
    </row>
    <row r="557" spans="1:20" ht="12.75">
      <c r="A557" s="53"/>
      <c r="B557" s="23"/>
      <c r="C557" s="53"/>
      <c r="D557" s="30" t="s">
        <v>667</v>
      </c>
      <c r="E557" s="20">
        <v>-4331</v>
      </c>
      <c r="F557" s="23"/>
      <c r="G557" s="95">
        <v>0.81025</v>
      </c>
      <c r="I557" s="9">
        <f t="shared" si="41"/>
        <v>-3509.19275</v>
      </c>
      <c r="J557" s="9"/>
      <c r="K557" s="9"/>
      <c r="M557" s="37">
        <f t="shared" si="40"/>
        <v>0</v>
      </c>
      <c r="N557" s="23"/>
      <c r="O557" s="23"/>
      <c r="P557" s="20"/>
      <c r="Q557" s="23"/>
      <c r="R557" s="24"/>
      <c r="S557" s="23"/>
      <c r="T557" s="32">
        <f t="shared" si="39"/>
        <v>0</v>
      </c>
    </row>
    <row r="558" spans="1:20" ht="12.75">
      <c r="A558" s="53"/>
      <c r="B558" s="23"/>
      <c r="C558" s="53"/>
      <c r="D558" s="30" t="s">
        <v>668</v>
      </c>
      <c r="E558" s="20">
        <v>-83</v>
      </c>
      <c r="F558" s="23"/>
      <c r="G558" s="95">
        <v>0.86549</v>
      </c>
      <c r="I558" s="9">
        <f t="shared" si="41"/>
        <v>-71.83567</v>
      </c>
      <c r="J558" s="9"/>
      <c r="K558" s="9"/>
      <c r="M558" s="37">
        <f t="shared" si="40"/>
        <v>0</v>
      </c>
      <c r="N558" s="23"/>
      <c r="O558" s="23"/>
      <c r="P558" s="20"/>
      <c r="Q558" s="23"/>
      <c r="R558" s="24"/>
      <c r="S558" s="23"/>
      <c r="T558" s="32">
        <f t="shared" si="39"/>
        <v>0</v>
      </c>
    </row>
    <row r="559" spans="1:20" ht="12.75">
      <c r="A559" s="53"/>
      <c r="B559" s="23"/>
      <c r="C559" s="53"/>
      <c r="D559" s="30" t="s">
        <v>669</v>
      </c>
      <c r="E559" s="20">
        <v>-51601</v>
      </c>
      <c r="F559" s="23"/>
      <c r="G559" s="95">
        <v>0.81323</v>
      </c>
      <c r="I559" s="9">
        <f t="shared" si="41"/>
        <v>-41963.48123</v>
      </c>
      <c r="J559" s="9"/>
      <c r="K559" s="9"/>
      <c r="M559" s="37">
        <f t="shared" si="40"/>
        <v>0</v>
      </c>
      <c r="N559" s="23"/>
      <c r="O559" s="23"/>
      <c r="P559" s="20"/>
      <c r="Q559" s="23"/>
      <c r="R559" s="24"/>
      <c r="S559" s="23"/>
      <c r="T559" s="32">
        <f t="shared" si="39"/>
        <v>0</v>
      </c>
    </row>
    <row r="560" spans="1:20" ht="12.75">
      <c r="A560" s="53"/>
      <c r="B560" s="23"/>
      <c r="C560" s="53"/>
      <c r="D560" s="30" t="s">
        <v>670</v>
      </c>
      <c r="E560" s="20">
        <v>15</v>
      </c>
      <c r="F560" s="23"/>
      <c r="G560" s="95">
        <v>0.66974</v>
      </c>
      <c r="I560" s="9">
        <f t="shared" si="41"/>
        <v>10.0461</v>
      </c>
      <c r="J560" s="9"/>
      <c r="K560" s="9"/>
      <c r="M560" s="37">
        <f t="shared" si="40"/>
        <v>0</v>
      </c>
      <c r="N560" s="23"/>
      <c r="O560" s="23"/>
      <c r="P560" s="20"/>
      <c r="Q560" s="23"/>
      <c r="R560" s="24"/>
      <c r="S560" s="23"/>
      <c r="T560" s="32">
        <f t="shared" si="39"/>
        <v>0</v>
      </c>
    </row>
    <row r="561" spans="1:20" ht="12.75">
      <c r="A561" s="53"/>
      <c r="B561" s="23"/>
      <c r="C561" s="53"/>
      <c r="D561" s="30" t="s">
        <v>671</v>
      </c>
      <c r="E561" s="20">
        <v>-1068</v>
      </c>
      <c r="F561" s="23"/>
      <c r="G561" s="95">
        <v>0.86271</v>
      </c>
      <c r="I561" s="9">
        <f t="shared" si="41"/>
        <v>-921.37428</v>
      </c>
      <c r="J561" s="9"/>
      <c r="K561" s="9"/>
      <c r="M561" s="37">
        <f t="shared" si="40"/>
        <v>0</v>
      </c>
      <c r="N561" s="23"/>
      <c r="O561" s="23"/>
      <c r="P561" s="20"/>
      <c r="Q561" s="23"/>
      <c r="R561" s="24"/>
      <c r="S561" s="23"/>
      <c r="T561" s="32">
        <f t="shared" si="39"/>
        <v>0</v>
      </c>
    </row>
    <row r="562" spans="1:20" ht="12.75">
      <c r="A562" s="53"/>
      <c r="B562" s="23"/>
      <c r="C562" s="53"/>
      <c r="D562" s="30" t="s">
        <v>672</v>
      </c>
      <c r="E562" s="20">
        <v>-5233</v>
      </c>
      <c r="F562" s="23"/>
      <c r="G562" s="95">
        <v>0.81752</v>
      </c>
      <c r="I562" s="9">
        <f t="shared" si="41"/>
        <v>-4278.08216</v>
      </c>
      <c r="J562" s="9"/>
      <c r="K562" s="9"/>
      <c r="M562" s="37">
        <f t="shared" si="40"/>
        <v>0</v>
      </c>
      <c r="N562" s="23"/>
      <c r="O562" s="23"/>
      <c r="P562" s="20"/>
      <c r="Q562" s="23"/>
      <c r="R562" s="24"/>
      <c r="S562" s="23"/>
      <c r="T562" s="32">
        <f t="shared" si="39"/>
        <v>0</v>
      </c>
    </row>
    <row r="563" spans="1:20" ht="12.75">
      <c r="A563" s="53"/>
      <c r="B563" s="23"/>
      <c r="C563" s="53"/>
      <c r="D563" s="30" t="s">
        <v>673</v>
      </c>
      <c r="E563" s="20">
        <v>-253</v>
      </c>
      <c r="F563" s="23"/>
      <c r="G563" s="95">
        <v>0.80421</v>
      </c>
      <c r="I563" s="9">
        <f t="shared" si="41"/>
        <v>-203.46513</v>
      </c>
      <c r="J563" s="9"/>
      <c r="K563" s="9"/>
      <c r="M563" s="37">
        <f t="shared" si="40"/>
        <v>0</v>
      </c>
      <c r="N563" s="23"/>
      <c r="O563" s="23"/>
      <c r="P563" s="20"/>
      <c r="Q563" s="23"/>
      <c r="R563" s="24"/>
      <c r="S563" s="23"/>
      <c r="T563" s="32">
        <f t="shared" si="39"/>
        <v>0</v>
      </c>
    </row>
    <row r="564" spans="1:20" ht="12.75">
      <c r="A564" s="53"/>
      <c r="B564" s="23"/>
      <c r="C564" s="53"/>
      <c r="D564" s="30" t="s">
        <v>674</v>
      </c>
      <c r="E564" s="20">
        <v>745</v>
      </c>
      <c r="F564" s="23"/>
      <c r="G564" s="95">
        <v>0.84214</v>
      </c>
      <c r="I564" s="9">
        <f t="shared" si="41"/>
        <v>627.3943</v>
      </c>
      <c r="J564" s="9"/>
      <c r="K564" s="9"/>
      <c r="M564" s="37"/>
      <c r="N564" s="23"/>
      <c r="O564" s="23"/>
      <c r="P564" s="20"/>
      <c r="Q564" s="23"/>
      <c r="R564" s="24"/>
      <c r="S564" s="23"/>
      <c r="T564" s="32"/>
    </row>
    <row r="565" spans="1:20" ht="12.75">
      <c r="A565" s="53"/>
      <c r="B565" s="23"/>
      <c r="C565" s="53"/>
      <c r="D565" s="30" t="s">
        <v>675</v>
      </c>
      <c r="E565" s="20">
        <v>-1610</v>
      </c>
      <c r="F565" s="23"/>
      <c r="G565" s="95">
        <v>1</v>
      </c>
      <c r="I565" s="9">
        <f t="shared" si="41"/>
        <v>-1610</v>
      </c>
      <c r="J565" s="9"/>
      <c r="K565" s="9"/>
      <c r="M565" s="37"/>
      <c r="N565" s="23"/>
      <c r="O565" s="23"/>
      <c r="P565" s="20"/>
      <c r="Q565" s="23"/>
      <c r="R565" s="24"/>
      <c r="S565" s="23"/>
      <c r="T565" s="32"/>
    </row>
    <row r="566" spans="1:20" ht="12.75">
      <c r="A566" s="53"/>
      <c r="B566" s="23"/>
      <c r="C566" s="53"/>
      <c r="D566" s="30" t="s">
        <v>676</v>
      </c>
      <c r="E566" s="20">
        <v>20948</v>
      </c>
      <c r="F566" s="23"/>
      <c r="G566" s="95">
        <v>0.90241</v>
      </c>
      <c r="I566" s="9">
        <f t="shared" si="41"/>
        <v>18903.684680000002</v>
      </c>
      <c r="J566" s="9"/>
      <c r="K566" s="9"/>
      <c r="M566" s="37"/>
      <c r="N566" s="23"/>
      <c r="O566" s="23"/>
      <c r="P566" s="20"/>
      <c r="Q566" s="23"/>
      <c r="R566" s="24"/>
      <c r="S566" s="23"/>
      <c r="T566" s="32"/>
    </row>
    <row r="567" spans="1:20" ht="12.75">
      <c r="A567" s="53"/>
      <c r="B567" s="23"/>
      <c r="C567" s="53"/>
      <c r="D567" s="30" t="s">
        <v>677</v>
      </c>
      <c r="E567" s="20">
        <v>-2370</v>
      </c>
      <c r="F567" s="23"/>
      <c r="G567" s="95">
        <v>0.94019</v>
      </c>
      <c r="I567" s="9">
        <f t="shared" si="41"/>
        <v>-2228.2503</v>
      </c>
      <c r="J567" s="9"/>
      <c r="K567" s="9"/>
      <c r="M567" s="37"/>
      <c r="N567" s="23"/>
      <c r="O567" s="23"/>
      <c r="P567" s="20"/>
      <c r="Q567" s="23"/>
      <c r="R567" s="24"/>
      <c r="S567" s="23"/>
      <c r="T567" s="32"/>
    </row>
    <row r="568" spans="1:20" ht="12.75">
      <c r="A568" s="53"/>
      <c r="B568" s="23"/>
      <c r="C568" s="53"/>
      <c r="D568" s="30" t="s">
        <v>678</v>
      </c>
      <c r="E568" s="20">
        <v>-32326</v>
      </c>
      <c r="F568" s="23"/>
      <c r="G568" s="95">
        <v>0.84171</v>
      </c>
      <c r="I568" s="9">
        <f t="shared" si="41"/>
        <v>-27209.117459999998</v>
      </c>
      <c r="J568" s="9"/>
      <c r="K568" s="9"/>
      <c r="M568" s="37"/>
      <c r="N568" s="23"/>
      <c r="O568" s="23"/>
      <c r="P568" s="20"/>
      <c r="Q568" s="23"/>
      <c r="R568" s="24"/>
      <c r="S568" s="23"/>
      <c r="T568" s="32"/>
    </row>
    <row r="569" spans="1:20" ht="12.75">
      <c r="A569" s="53"/>
      <c r="B569" s="23"/>
      <c r="C569" s="53"/>
      <c r="D569" s="30" t="s">
        <v>679</v>
      </c>
      <c r="E569" s="20">
        <v>-271532</v>
      </c>
      <c r="F569" s="23"/>
      <c r="G569" s="95">
        <v>0.86397</v>
      </c>
      <c r="I569" s="9">
        <f t="shared" si="41"/>
        <v>-234595.50204</v>
      </c>
      <c r="J569" s="9"/>
      <c r="K569" s="9"/>
      <c r="M569" s="37"/>
      <c r="N569" s="23"/>
      <c r="O569" s="23"/>
      <c r="P569" s="20"/>
      <c r="Q569" s="23"/>
      <c r="R569" s="24"/>
      <c r="S569" s="23"/>
      <c r="T569" s="32"/>
    </row>
    <row r="570" spans="1:20" ht="12.75">
      <c r="A570" s="53"/>
      <c r="B570" s="23"/>
      <c r="C570" s="53"/>
      <c r="D570" s="30" t="s">
        <v>680</v>
      </c>
      <c r="E570" s="20">
        <v>25122</v>
      </c>
      <c r="F570" s="23"/>
      <c r="G570" s="95">
        <v>0.87456</v>
      </c>
      <c r="I570" s="9">
        <f t="shared" si="41"/>
        <v>21970.69632</v>
      </c>
      <c r="J570" s="9"/>
      <c r="K570" s="9"/>
      <c r="M570" s="37"/>
      <c r="N570" s="23"/>
      <c r="O570" s="23"/>
      <c r="P570" s="20"/>
      <c r="Q570" s="23"/>
      <c r="R570" s="24"/>
      <c r="S570" s="23"/>
      <c r="T570" s="32"/>
    </row>
    <row r="571" spans="1:20" ht="12.75">
      <c r="A571" s="53"/>
      <c r="B571" s="23"/>
      <c r="C571" s="53"/>
      <c r="D571" s="30" t="s">
        <v>681</v>
      </c>
      <c r="E571" s="20">
        <v>-138801</v>
      </c>
      <c r="F571" s="23"/>
      <c r="G571" s="95">
        <v>0.87518</v>
      </c>
      <c r="I571" s="9">
        <f t="shared" si="41"/>
        <v>-121475.85918</v>
      </c>
      <c r="J571" s="9"/>
      <c r="K571" s="9"/>
      <c r="M571" s="37"/>
      <c r="N571" s="23"/>
      <c r="O571" s="23"/>
      <c r="P571" s="20"/>
      <c r="Q571" s="23"/>
      <c r="R571" s="24"/>
      <c r="S571" s="23"/>
      <c r="T571" s="32"/>
    </row>
    <row r="572" spans="1:20" ht="12.75">
      <c r="A572" s="53"/>
      <c r="B572" s="23"/>
      <c r="C572" s="53"/>
      <c r="D572" s="30" t="s">
        <v>682</v>
      </c>
      <c r="E572" s="20">
        <v>-21467</v>
      </c>
      <c r="F572" s="23"/>
      <c r="G572" s="95">
        <v>0.64556</v>
      </c>
      <c r="I572" s="9">
        <f t="shared" si="41"/>
        <v>-13858.23652</v>
      </c>
      <c r="J572" s="9"/>
      <c r="K572" s="9"/>
      <c r="M572" s="37"/>
      <c r="N572" s="23"/>
      <c r="O572" s="23"/>
      <c r="P572" s="20"/>
      <c r="Q572" s="23"/>
      <c r="R572" s="24"/>
      <c r="S572" s="23"/>
      <c r="T572" s="32"/>
    </row>
    <row r="573" spans="1:20" ht="12.75">
      <c r="A573" s="53"/>
      <c r="B573" s="23"/>
      <c r="C573" s="53"/>
      <c r="D573" s="30" t="s">
        <v>683</v>
      </c>
      <c r="E573" s="20">
        <v>-82804</v>
      </c>
      <c r="F573" s="23"/>
      <c r="G573" s="95">
        <v>0.86327</v>
      </c>
      <c r="I573" s="9">
        <f t="shared" si="41"/>
        <v>-71482.20908</v>
      </c>
      <c r="J573" s="9"/>
      <c r="K573" s="9"/>
      <c r="M573" s="37"/>
      <c r="N573" s="23"/>
      <c r="O573" s="23"/>
      <c r="P573" s="20"/>
      <c r="Q573" s="23"/>
      <c r="R573" s="24"/>
      <c r="S573" s="23"/>
      <c r="T573" s="32"/>
    </row>
    <row r="574" spans="1:20" ht="12.75">
      <c r="A574" s="53"/>
      <c r="B574" s="23"/>
      <c r="C574" s="53"/>
      <c r="D574" s="30" t="s">
        <v>684</v>
      </c>
      <c r="E574" s="20">
        <v>302</v>
      </c>
      <c r="F574" s="23"/>
      <c r="G574" s="95">
        <v>0.82241</v>
      </c>
      <c r="I574" s="9">
        <f t="shared" si="41"/>
        <v>248.36782</v>
      </c>
      <c r="J574" s="9"/>
      <c r="K574" s="9"/>
      <c r="M574" s="37"/>
      <c r="N574" s="23"/>
      <c r="O574" s="23"/>
      <c r="P574" s="20"/>
      <c r="Q574" s="23"/>
      <c r="R574" s="24"/>
      <c r="S574" s="23"/>
      <c r="T574" s="32"/>
    </row>
    <row r="575" spans="1:20" ht="12.75">
      <c r="A575" s="53"/>
      <c r="B575" s="23"/>
      <c r="C575" s="53"/>
      <c r="D575" s="30" t="s">
        <v>685</v>
      </c>
      <c r="E575" s="20">
        <v>-14146</v>
      </c>
      <c r="F575" s="23"/>
      <c r="G575" s="95">
        <v>0.86714</v>
      </c>
      <c r="I575" s="9">
        <f t="shared" si="41"/>
        <v>-12266.56244</v>
      </c>
      <c r="J575" s="9"/>
      <c r="K575" s="9"/>
      <c r="M575" s="37"/>
      <c r="N575" s="23"/>
      <c r="O575" s="23"/>
      <c r="P575" s="20"/>
      <c r="Q575" s="23"/>
      <c r="R575" s="24"/>
      <c r="S575" s="23"/>
      <c r="T575" s="32"/>
    </row>
    <row r="576" spans="1:20" ht="12.75">
      <c r="A576" s="53"/>
      <c r="B576" s="23"/>
      <c r="C576" s="53"/>
      <c r="D576" s="30" t="s">
        <v>686</v>
      </c>
      <c r="E576" s="20">
        <v>-233</v>
      </c>
      <c r="F576" s="23"/>
      <c r="G576" s="95">
        <v>0.86064</v>
      </c>
      <c r="I576" s="9">
        <f t="shared" si="41"/>
        <v>-200.52911999999998</v>
      </c>
      <c r="J576" s="9"/>
      <c r="K576" s="9"/>
      <c r="M576" s="37"/>
      <c r="N576" s="23"/>
      <c r="O576" s="23"/>
      <c r="P576" s="20"/>
      <c r="Q576" s="23"/>
      <c r="R576" s="24"/>
      <c r="S576" s="23"/>
      <c r="T576" s="32"/>
    </row>
    <row r="577" spans="1:20" ht="12.75">
      <c r="A577" s="53"/>
      <c r="B577" s="23"/>
      <c r="C577" s="53"/>
      <c r="D577" s="30" t="s">
        <v>796</v>
      </c>
      <c r="E577" s="20">
        <v>-11234</v>
      </c>
      <c r="F577" s="23"/>
      <c r="G577" s="95">
        <v>0.92298</v>
      </c>
      <c r="I577" s="9">
        <f t="shared" si="41"/>
        <v>-10368.75732</v>
      </c>
      <c r="J577" s="9"/>
      <c r="K577" s="9"/>
      <c r="M577" s="37"/>
      <c r="N577" s="23"/>
      <c r="O577" s="23"/>
      <c r="P577" s="20"/>
      <c r="Q577" s="23"/>
      <c r="R577" s="24"/>
      <c r="S577" s="23"/>
      <c r="T577" s="32"/>
    </row>
    <row r="578" spans="1:20" ht="12.75">
      <c r="A578" s="53"/>
      <c r="B578" s="23"/>
      <c r="C578" s="53"/>
      <c r="D578" s="30" t="s">
        <v>687</v>
      </c>
      <c r="E578" s="20">
        <v>15971</v>
      </c>
      <c r="F578" s="23"/>
      <c r="G578" s="95">
        <v>0.93106</v>
      </c>
      <c r="I578" s="9">
        <f t="shared" si="41"/>
        <v>14869.95926</v>
      </c>
      <c r="J578" s="9"/>
      <c r="K578" s="9"/>
      <c r="M578" s="37"/>
      <c r="N578" s="23"/>
      <c r="O578" s="23"/>
      <c r="P578" s="20"/>
      <c r="Q578" s="23"/>
      <c r="R578" s="24"/>
      <c r="S578" s="23"/>
      <c r="T578" s="32"/>
    </row>
    <row r="579" spans="1:20" ht="12.75">
      <c r="A579" s="53"/>
      <c r="B579" s="23"/>
      <c r="C579" s="53"/>
      <c r="D579" s="30" t="s">
        <v>855</v>
      </c>
      <c r="E579" s="20">
        <v>51323</v>
      </c>
      <c r="F579" s="23"/>
      <c r="G579" s="95">
        <v>0.86397</v>
      </c>
      <c r="I579" s="9">
        <f t="shared" si="41"/>
        <v>44341.53231</v>
      </c>
      <c r="J579" s="9"/>
      <c r="K579" s="9"/>
      <c r="M579" s="37"/>
      <c r="N579" s="23"/>
      <c r="O579" s="23"/>
      <c r="P579" s="20"/>
      <c r="Q579" s="23"/>
      <c r="R579" s="24"/>
      <c r="S579" s="23"/>
      <c r="T579" s="32"/>
    </row>
    <row r="580" spans="1:20" ht="12.75">
      <c r="A580" s="53"/>
      <c r="B580" s="23"/>
      <c r="C580" s="53"/>
      <c r="D580" s="30"/>
      <c r="E580" s="73" t="s">
        <v>135</v>
      </c>
      <c r="F580" s="23"/>
      <c r="G580" s="95"/>
      <c r="I580" s="8" t="s">
        <v>31</v>
      </c>
      <c r="J580" s="9"/>
      <c r="K580" s="9"/>
      <c r="M580" s="37">
        <f t="shared" si="40"/>
        <v>0</v>
      </c>
      <c r="O580" s="23"/>
      <c r="P580" s="73" t="s">
        <v>135</v>
      </c>
      <c r="Q580" s="23"/>
      <c r="R580" s="95"/>
      <c r="T580" s="8" t="s">
        <v>31</v>
      </c>
    </row>
    <row r="581" spans="1:21" ht="12.75">
      <c r="A581" s="45">
        <f>+A529</f>
        <v>49</v>
      </c>
      <c r="B581" s="54" t="s">
        <v>424</v>
      </c>
      <c r="C581" s="53"/>
      <c r="D581" s="30"/>
      <c r="E581" s="32">
        <f>SUM(E529:E580)</f>
        <v>-575149</v>
      </c>
      <c r="F581" s="23"/>
      <c r="G581" s="95"/>
      <c r="I581" s="8">
        <f>SUM(I529:I580)</f>
        <v>-495471.55289999984</v>
      </c>
      <c r="J581" s="9"/>
      <c r="K581" s="9">
        <f>+A581</f>
        <v>49</v>
      </c>
      <c r="M581" s="168" t="str">
        <f>+B581</f>
        <v>Total Adjustment </v>
      </c>
      <c r="O581" s="23"/>
      <c r="P581" s="32">
        <f>SUM(P529:P580)</f>
        <v>0</v>
      </c>
      <c r="Q581" s="23"/>
      <c r="R581" s="95"/>
      <c r="T581" s="8">
        <f>SUM(T529:T580)</f>
        <v>0</v>
      </c>
      <c r="U581" s="9"/>
    </row>
    <row r="582" spans="1:21" ht="12.75">
      <c r="A582" s="45"/>
      <c r="B582" s="41"/>
      <c r="C582" s="53"/>
      <c r="D582" s="30"/>
      <c r="E582" s="32"/>
      <c r="F582" s="23"/>
      <c r="G582" s="95"/>
      <c r="I582" s="8"/>
      <c r="J582" s="9"/>
      <c r="K582" s="9"/>
      <c r="M582" s="39"/>
      <c r="O582" s="23"/>
      <c r="P582" s="32"/>
      <c r="Q582" s="23"/>
      <c r="R582" s="24"/>
      <c r="T582" s="8"/>
      <c r="U582" s="9"/>
    </row>
    <row r="583" spans="1:21" ht="12.75">
      <c r="A583" s="45">
        <f>+A581+1</f>
        <v>50</v>
      </c>
      <c r="B583" s="29"/>
      <c r="C583" s="53"/>
      <c r="D583" s="30"/>
      <c r="E583" s="32"/>
      <c r="F583" s="23"/>
      <c r="G583" s="95">
        <v>1</v>
      </c>
      <c r="I583" s="9">
        <f aca="true" t="shared" si="42" ref="I583:I616">+E583*G583</f>
        <v>0</v>
      </c>
      <c r="J583" s="9"/>
      <c r="K583" s="9">
        <f>+A583</f>
        <v>50</v>
      </c>
      <c r="M583" s="35">
        <f>+B583</f>
        <v>0</v>
      </c>
      <c r="O583" s="23"/>
      <c r="P583" s="32"/>
      <c r="Q583" s="23"/>
      <c r="R583" s="24"/>
      <c r="T583" s="8"/>
      <c r="U583" s="9"/>
    </row>
    <row r="584" spans="1:21" ht="12.75">
      <c r="A584" s="45"/>
      <c r="B584" s="29"/>
      <c r="C584" s="53"/>
      <c r="D584" s="30"/>
      <c r="E584" s="32"/>
      <c r="F584" s="23"/>
      <c r="G584" s="95">
        <v>1</v>
      </c>
      <c r="I584" s="9">
        <f t="shared" si="42"/>
        <v>0</v>
      </c>
      <c r="J584" s="9"/>
      <c r="K584" s="9"/>
      <c r="M584" s="37">
        <f>+B584</f>
        <v>0</v>
      </c>
      <c r="O584" s="23"/>
      <c r="P584" s="32"/>
      <c r="Q584" s="23"/>
      <c r="R584" s="24"/>
      <c r="T584" s="32">
        <f aca="true" t="shared" si="43" ref="T584:T616">+P584*R584</f>
        <v>0</v>
      </c>
      <c r="U584" s="9"/>
    </row>
    <row r="585" spans="1:21" ht="12.75">
      <c r="A585" s="45"/>
      <c r="B585" s="50"/>
      <c r="C585" s="53"/>
      <c r="D585" s="30"/>
      <c r="E585" s="20"/>
      <c r="F585" s="23"/>
      <c r="G585" s="95">
        <v>1</v>
      </c>
      <c r="I585" s="9">
        <f t="shared" si="42"/>
        <v>0</v>
      </c>
      <c r="J585" s="9"/>
      <c r="K585" s="9"/>
      <c r="M585" s="37">
        <f aca="true" t="shared" si="44" ref="M585:M618">+B585</f>
        <v>0</v>
      </c>
      <c r="N585" s="3"/>
      <c r="O585" s="23"/>
      <c r="P585" s="20"/>
      <c r="Q585" s="23"/>
      <c r="R585" s="24"/>
      <c r="T585" s="32">
        <f t="shared" si="43"/>
        <v>0</v>
      </c>
      <c r="U585" s="9"/>
    </row>
    <row r="586" spans="1:20" ht="12.75">
      <c r="A586" s="45"/>
      <c r="B586" s="29"/>
      <c r="C586" s="53"/>
      <c r="D586" s="30"/>
      <c r="E586" s="20"/>
      <c r="F586" s="23"/>
      <c r="G586" s="95">
        <v>1</v>
      </c>
      <c r="I586" s="9">
        <f t="shared" si="42"/>
        <v>0</v>
      </c>
      <c r="J586" s="9"/>
      <c r="K586" s="9"/>
      <c r="M586" s="37">
        <f t="shared" si="44"/>
        <v>0</v>
      </c>
      <c r="N586" s="23"/>
      <c r="O586" s="23"/>
      <c r="P586" s="20"/>
      <c r="Q586" s="23"/>
      <c r="R586" s="24"/>
      <c r="T586" s="32">
        <f t="shared" si="43"/>
        <v>0</v>
      </c>
    </row>
    <row r="587" spans="1:20" ht="12.75">
      <c r="A587" s="45"/>
      <c r="B587" s="23"/>
      <c r="C587" s="53"/>
      <c r="D587" s="30"/>
      <c r="E587" s="20"/>
      <c r="F587" s="23"/>
      <c r="G587" s="95">
        <v>1</v>
      </c>
      <c r="I587" s="9">
        <f t="shared" si="42"/>
        <v>0</v>
      </c>
      <c r="J587" s="9"/>
      <c r="K587" s="9"/>
      <c r="M587" s="37">
        <f t="shared" si="44"/>
        <v>0</v>
      </c>
      <c r="N587" s="23"/>
      <c r="O587" s="23"/>
      <c r="P587" s="20"/>
      <c r="Q587" s="23"/>
      <c r="R587" s="24"/>
      <c r="S587" s="23"/>
      <c r="T587" s="32">
        <f t="shared" si="43"/>
        <v>0</v>
      </c>
    </row>
    <row r="588" spans="1:20" ht="12.75">
      <c r="A588" s="45"/>
      <c r="B588" s="23"/>
      <c r="C588" s="53"/>
      <c r="D588" s="30"/>
      <c r="E588" s="20"/>
      <c r="F588" s="23"/>
      <c r="G588" s="95">
        <v>1</v>
      </c>
      <c r="I588" s="9">
        <f t="shared" si="42"/>
        <v>0</v>
      </c>
      <c r="J588" s="9"/>
      <c r="K588" s="9"/>
      <c r="M588" s="37">
        <f t="shared" si="44"/>
        <v>0</v>
      </c>
      <c r="N588" s="23"/>
      <c r="O588" s="23"/>
      <c r="P588" s="20"/>
      <c r="Q588" s="23"/>
      <c r="R588" s="24"/>
      <c r="S588" s="23"/>
      <c r="T588" s="32">
        <f t="shared" si="43"/>
        <v>0</v>
      </c>
    </row>
    <row r="589" spans="1:20" ht="12.75">
      <c r="A589" s="45"/>
      <c r="B589" s="23"/>
      <c r="C589" s="53"/>
      <c r="D589" s="30"/>
      <c r="E589" s="20"/>
      <c r="F589" s="23"/>
      <c r="G589" s="95">
        <v>1</v>
      </c>
      <c r="I589" s="9">
        <f t="shared" si="42"/>
        <v>0</v>
      </c>
      <c r="J589" s="9"/>
      <c r="K589" s="9"/>
      <c r="M589" s="37">
        <f t="shared" si="44"/>
        <v>0</v>
      </c>
      <c r="N589" s="23"/>
      <c r="O589" s="23"/>
      <c r="P589" s="20"/>
      <c r="Q589" s="23"/>
      <c r="R589" s="24"/>
      <c r="S589" s="23"/>
      <c r="T589" s="32">
        <f t="shared" si="43"/>
        <v>0</v>
      </c>
    </row>
    <row r="590" spans="1:20" ht="12.75">
      <c r="A590" s="45"/>
      <c r="B590" s="23"/>
      <c r="C590" s="53"/>
      <c r="D590" s="30"/>
      <c r="E590" s="20"/>
      <c r="F590" s="23"/>
      <c r="G590" s="95">
        <v>1</v>
      </c>
      <c r="I590" s="9">
        <f t="shared" si="42"/>
        <v>0</v>
      </c>
      <c r="J590" s="9"/>
      <c r="K590" s="9"/>
      <c r="M590" s="37">
        <f t="shared" si="44"/>
        <v>0</v>
      </c>
      <c r="N590" s="23"/>
      <c r="O590" s="23"/>
      <c r="P590" s="20"/>
      <c r="Q590" s="23"/>
      <c r="R590" s="24"/>
      <c r="S590" s="23"/>
      <c r="T590" s="32">
        <f t="shared" si="43"/>
        <v>0</v>
      </c>
    </row>
    <row r="591" spans="1:20" ht="12.75">
      <c r="A591" s="45"/>
      <c r="B591" s="23"/>
      <c r="C591" s="53"/>
      <c r="D591" s="30"/>
      <c r="E591" s="20"/>
      <c r="F591" s="23"/>
      <c r="G591" s="95">
        <v>1</v>
      </c>
      <c r="I591" s="9">
        <f t="shared" si="42"/>
        <v>0</v>
      </c>
      <c r="J591" s="9"/>
      <c r="K591" s="9"/>
      <c r="M591" s="37">
        <f t="shared" si="44"/>
        <v>0</v>
      </c>
      <c r="N591" s="23"/>
      <c r="O591" s="23"/>
      <c r="P591" s="20"/>
      <c r="Q591" s="23"/>
      <c r="R591" s="24"/>
      <c r="S591" s="23"/>
      <c r="T591" s="32">
        <f t="shared" si="43"/>
        <v>0</v>
      </c>
    </row>
    <row r="592" spans="1:20" ht="12.75">
      <c r="A592" s="45"/>
      <c r="B592" s="23"/>
      <c r="C592" s="53"/>
      <c r="D592" s="30"/>
      <c r="E592" s="20"/>
      <c r="F592" s="23"/>
      <c r="G592" s="95">
        <v>1</v>
      </c>
      <c r="I592" s="9">
        <f t="shared" si="42"/>
        <v>0</v>
      </c>
      <c r="J592" s="9"/>
      <c r="K592" s="9"/>
      <c r="M592" s="37">
        <f t="shared" si="44"/>
        <v>0</v>
      </c>
      <c r="N592" s="23"/>
      <c r="O592" s="23"/>
      <c r="P592" s="20"/>
      <c r="Q592" s="23"/>
      <c r="R592" s="24"/>
      <c r="S592" s="23"/>
      <c r="T592" s="32">
        <f t="shared" si="43"/>
        <v>0</v>
      </c>
    </row>
    <row r="593" spans="1:20" ht="12.75">
      <c r="A593" s="45"/>
      <c r="B593" s="23"/>
      <c r="C593" s="53"/>
      <c r="D593" s="30"/>
      <c r="E593" s="20"/>
      <c r="F593" s="23"/>
      <c r="G593" s="95">
        <v>1</v>
      </c>
      <c r="I593" s="9">
        <f t="shared" si="42"/>
        <v>0</v>
      </c>
      <c r="J593" s="9"/>
      <c r="K593" s="9"/>
      <c r="M593" s="37">
        <f t="shared" si="44"/>
        <v>0</v>
      </c>
      <c r="N593" s="23"/>
      <c r="O593" s="23"/>
      <c r="P593" s="20"/>
      <c r="Q593" s="23"/>
      <c r="R593" s="24"/>
      <c r="S593" s="23"/>
      <c r="T593" s="32">
        <f t="shared" si="43"/>
        <v>0</v>
      </c>
    </row>
    <row r="594" spans="1:20" ht="12.75">
      <c r="A594" s="45"/>
      <c r="B594" s="23"/>
      <c r="C594" s="53"/>
      <c r="D594" s="30"/>
      <c r="E594" s="20"/>
      <c r="F594" s="23"/>
      <c r="G594" s="95">
        <v>1</v>
      </c>
      <c r="I594" s="9">
        <f t="shared" si="42"/>
        <v>0</v>
      </c>
      <c r="J594" s="9"/>
      <c r="K594" s="9"/>
      <c r="M594" s="37">
        <f t="shared" si="44"/>
        <v>0</v>
      </c>
      <c r="N594" s="23"/>
      <c r="O594" s="23"/>
      <c r="P594" s="20"/>
      <c r="Q594" s="23"/>
      <c r="R594" s="24"/>
      <c r="S594" s="23"/>
      <c r="T594" s="32">
        <f t="shared" si="43"/>
        <v>0</v>
      </c>
    </row>
    <row r="595" spans="1:20" ht="12.75">
      <c r="A595" s="45"/>
      <c r="B595" s="23"/>
      <c r="C595" s="53"/>
      <c r="D595" s="30"/>
      <c r="E595" s="20"/>
      <c r="F595" s="23"/>
      <c r="G595" s="95">
        <v>1</v>
      </c>
      <c r="I595" s="9">
        <f t="shared" si="42"/>
        <v>0</v>
      </c>
      <c r="J595" s="9"/>
      <c r="K595" s="9"/>
      <c r="M595" s="37">
        <f t="shared" si="44"/>
        <v>0</v>
      </c>
      <c r="N595" s="23"/>
      <c r="O595" s="23"/>
      <c r="P595" s="20"/>
      <c r="Q595" s="23"/>
      <c r="R595" s="24"/>
      <c r="S595" s="23"/>
      <c r="T595" s="32">
        <f t="shared" si="43"/>
        <v>0</v>
      </c>
    </row>
    <row r="596" spans="1:20" ht="12.75">
      <c r="A596" s="45"/>
      <c r="B596" s="23"/>
      <c r="C596" s="53"/>
      <c r="D596" s="30"/>
      <c r="E596" s="20"/>
      <c r="F596" s="23"/>
      <c r="G596" s="95">
        <v>1</v>
      </c>
      <c r="I596" s="9">
        <f t="shared" si="42"/>
        <v>0</v>
      </c>
      <c r="J596" s="9"/>
      <c r="K596" s="9"/>
      <c r="M596" s="37">
        <f t="shared" si="44"/>
        <v>0</v>
      </c>
      <c r="N596" s="23"/>
      <c r="O596" s="23"/>
      <c r="P596" s="20"/>
      <c r="Q596" s="23"/>
      <c r="R596" s="24"/>
      <c r="S596" s="23"/>
      <c r="T596" s="32">
        <f t="shared" si="43"/>
        <v>0</v>
      </c>
    </row>
    <row r="597" spans="1:20" ht="12.75">
      <c r="A597" s="45"/>
      <c r="B597" s="23"/>
      <c r="C597" s="53"/>
      <c r="D597" s="30"/>
      <c r="E597" s="20"/>
      <c r="F597" s="23"/>
      <c r="G597" s="95">
        <v>1</v>
      </c>
      <c r="I597" s="9">
        <f t="shared" si="42"/>
        <v>0</v>
      </c>
      <c r="J597" s="9"/>
      <c r="K597" s="9"/>
      <c r="M597" s="37">
        <f t="shared" si="44"/>
        <v>0</v>
      </c>
      <c r="N597" s="23"/>
      <c r="O597" s="23"/>
      <c r="P597" s="20"/>
      <c r="Q597" s="23"/>
      <c r="R597" s="24"/>
      <c r="S597" s="23"/>
      <c r="T597" s="32">
        <f t="shared" si="43"/>
        <v>0</v>
      </c>
    </row>
    <row r="598" spans="1:20" ht="12.75">
      <c r="A598" s="45"/>
      <c r="B598" s="23"/>
      <c r="C598" s="53"/>
      <c r="D598" s="30"/>
      <c r="E598" s="20"/>
      <c r="F598" s="23"/>
      <c r="G598" s="95">
        <v>1</v>
      </c>
      <c r="I598" s="9">
        <f t="shared" si="42"/>
        <v>0</v>
      </c>
      <c r="J598" s="9"/>
      <c r="K598" s="9"/>
      <c r="M598" s="37">
        <f t="shared" si="44"/>
        <v>0</v>
      </c>
      <c r="N598" s="23"/>
      <c r="O598" s="23"/>
      <c r="P598" s="20"/>
      <c r="Q598" s="23"/>
      <c r="R598" s="24"/>
      <c r="S598" s="23"/>
      <c r="T598" s="32">
        <f t="shared" si="43"/>
        <v>0</v>
      </c>
    </row>
    <row r="599" spans="1:20" ht="12.75">
      <c r="A599" s="45"/>
      <c r="B599" s="23"/>
      <c r="C599" s="53"/>
      <c r="D599" s="30"/>
      <c r="E599" s="20"/>
      <c r="F599" s="23"/>
      <c r="G599" s="95">
        <v>1</v>
      </c>
      <c r="I599" s="9">
        <f t="shared" si="42"/>
        <v>0</v>
      </c>
      <c r="J599" s="9"/>
      <c r="K599" s="9"/>
      <c r="M599" s="37">
        <f t="shared" si="44"/>
        <v>0</v>
      </c>
      <c r="N599" s="23"/>
      <c r="O599" s="23"/>
      <c r="P599" s="20"/>
      <c r="Q599" s="23"/>
      <c r="R599" s="24"/>
      <c r="S599" s="23"/>
      <c r="T599" s="32">
        <f t="shared" si="43"/>
        <v>0</v>
      </c>
    </row>
    <row r="600" spans="1:20" ht="12.75">
      <c r="A600" s="45"/>
      <c r="B600" s="23"/>
      <c r="C600" s="53"/>
      <c r="D600" s="30"/>
      <c r="E600" s="20"/>
      <c r="F600" s="23"/>
      <c r="G600" s="95">
        <v>1</v>
      </c>
      <c r="I600" s="9">
        <f t="shared" si="42"/>
        <v>0</v>
      </c>
      <c r="J600" s="9"/>
      <c r="K600" s="9"/>
      <c r="M600" s="37">
        <f t="shared" si="44"/>
        <v>0</v>
      </c>
      <c r="N600" s="23"/>
      <c r="O600" s="23"/>
      <c r="P600" s="20"/>
      <c r="Q600" s="23"/>
      <c r="R600" s="24"/>
      <c r="S600" s="23"/>
      <c r="T600" s="32">
        <f t="shared" si="43"/>
        <v>0</v>
      </c>
    </row>
    <row r="601" spans="1:20" ht="12.75">
      <c r="A601" s="45"/>
      <c r="B601" s="23"/>
      <c r="C601" s="53"/>
      <c r="D601" s="30"/>
      <c r="E601" s="20"/>
      <c r="F601" s="23"/>
      <c r="G601" s="95">
        <v>1</v>
      </c>
      <c r="I601" s="9">
        <f t="shared" si="42"/>
        <v>0</v>
      </c>
      <c r="J601" s="9"/>
      <c r="K601" s="9"/>
      <c r="M601" s="37">
        <f t="shared" si="44"/>
        <v>0</v>
      </c>
      <c r="N601" s="23"/>
      <c r="O601" s="23"/>
      <c r="P601" s="20"/>
      <c r="Q601" s="23"/>
      <c r="R601" s="24"/>
      <c r="S601" s="23"/>
      <c r="T601" s="32">
        <f t="shared" si="43"/>
        <v>0</v>
      </c>
    </row>
    <row r="602" spans="1:20" ht="12.75">
      <c r="A602" s="45"/>
      <c r="B602" s="23"/>
      <c r="C602" s="53"/>
      <c r="D602" s="30"/>
      <c r="E602" s="20"/>
      <c r="F602" s="23"/>
      <c r="G602" s="95">
        <v>1</v>
      </c>
      <c r="I602" s="9">
        <f t="shared" si="42"/>
        <v>0</v>
      </c>
      <c r="J602" s="9"/>
      <c r="K602" s="9"/>
      <c r="M602" s="37">
        <f t="shared" si="44"/>
        <v>0</v>
      </c>
      <c r="N602" s="23"/>
      <c r="O602" s="23"/>
      <c r="P602" s="20"/>
      <c r="Q602" s="23"/>
      <c r="R602" s="24"/>
      <c r="S602" s="23"/>
      <c r="T602" s="32">
        <f t="shared" si="43"/>
        <v>0</v>
      </c>
    </row>
    <row r="603" spans="1:20" ht="12.75">
      <c r="A603" s="45"/>
      <c r="B603" s="23"/>
      <c r="C603" s="53"/>
      <c r="D603" s="30"/>
      <c r="E603" s="20"/>
      <c r="F603" s="23"/>
      <c r="G603" s="95">
        <v>1</v>
      </c>
      <c r="I603" s="9">
        <f t="shared" si="42"/>
        <v>0</v>
      </c>
      <c r="J603" s="9"/>
      <c r="K603" s="9"/>
      <c r="M603" s="37">
        <f t="shared" si="44"/>
        <v>0</v>
      </c>
      <c r="N603" s="23"/>
      <c r="O603" s="23"/>
      <c r="P603" s="20"/>
      <c r="Q603" s="23"/>
      <c r="R603" s="24"/>
      <c r="S603" s="23"/>
      <c r="T603" s="32">
        <f t="shared" si="43"/>
        <v>0</v>
      </c>
    </row>
    <row r="604" spans="1:20" ht="12.75">
      <c r="A604" s="45"/>
      <c r="B604" s="23"/>
      <c r="C604" s="53"/>
      <c r="D604" s="30"/>
      <c r="E604" s="20"/>
      <c r="F604" s="23"/>
      <c r="G604" s="95">
        <v>1</v>
      </c>
      <c r="I604" s="9">
        <f t="shared" si="42"/>
        <v>0</v>
      </c>
      <c r="J604" s="9"/>
      <c r="K604" s="9"/>
      <c r="M604" s="37">
        <f t="shared" si="44"/>
        <v>0</v>
      </c>
      <c r="N604" s="23"/>
      <c r="O604" s="23"/>
      <c r="P604" s="20"/>
      <c r="Q604" s="23"/>
      <c r="R604" s="24"/>
      <c r="S604" s="23"/>
      <c r="T604" s="32">
        <f t="shared" si="43"/>
        <v>0</v>
      </c>
    </row>
    <row r="605" spans="1:20" ht="12.75">
      <c r="A605" s="45"/>
      <c r="B605" s="23"/>
      <c r="C605" s="53"/>
      <c r="D605" s="30"/>
      <c r="E605" s="20"/>
      <c r="F605" s="23"/>
      <c r="G605" s="95">
        <v>1</v>
      </c>
      <c r="I605" s="9">
        <f t="shared" si="42"/>
        <v>0</v>
      </c>
      <c r="J605" s="9"/>
      <c r="K605" s="9"/>
      <c r="M605" s="37">
        <f t="shared" si="44"/>
        <v>0</v>
      </c>
      <c r="N605" s="23"/>
      <c r="O605" s="23"/>
      <c r="P605" s="20"/>
      <c r="Q605" s="23"/>
      <c r="R605" s="24"/>
      <c r="S605" s="23"/>
      <c r="T605" s="32">
        <f t="shared" si="43"/>
        <v>0</v>
      </c>
    </row>
    <row r="606" spans="1:20" ht="12.75">
      <c r="A606" s="45"/>
      <c r="B606" s="23"/>
      <c r="C606" s="53"/>
      <c r="D606" s="30"/>
      <c r="E606" s="20"/>
      <c r="F606" s="23"/>
      <c r="G606" s="95">
        <v>1</v>
      </c>
      <c r="I606" s="9">
        <f t="shared" si="42"/>
        <v>0</v>
      </c>
      <c r="J606" s="9"/>
      <c r="K606" s="9"/>
      <c r="M606" s="37">
        <f t="shared" si="44"/>
        <v>0</v>
      </c>
      <c r="N606" s="23"/>
      <c r="O606" s="23"/>
      <c r="P606" s="20"/>
      <c r="Q606" s="23"/>
      <c r="R606" s="24"/>
      <c r="S606" s="23"/>
      <c r="T606" s="32">
        <f t="shared" si="43"/>
        <v>0</v>
      </c>
    </row>
    <row r="607" spans="1:20" ht="12.75">
      <c r="A607" s="45"/>
      <c r="B607" s="23"/>
      <c r="C607" s="53"/>
      <c r="D607" s="30"/>
      <c r="E607" s="20"/>
      <c r="F607" s="23"/>
      <c r="G607" s="95">
        <v>1</v>
      </c>
      <c r="I607" s="9">
        <f t="shared" si="42"/>
        <v>0</v>
      </c>
      <c r="J607" s="9"/>
      <c r="K607" s="9"/>
      <c r="M607" s="37">
        <f t="shared" si="44"/>
        <v>0</v>
      </c>
      <c r="N607" s="23"/>
      <c r="O607" s="23"/>
      <c r="P607" s="20"/>
      <c r="Q607" s="23"/>
      <c r="R607" s="24"/>
      <c r="S607" s="23"/>
      <c r="T607" s="32">
        <f t="shared" si="43"/>
        <v>0</v>
      </c>
    </row>
    <row r="608" spans="1:20" ht="12.75">
      <c r="A608" s="45"/>
      <c r="B608" s="23"/>
      <c r="C608" s="53"/>
      <c r="D608" s="30"/>
      <c r="E608" s="20"/>
      <c r="F608" s="23"/>
      <c r="G608" s="95">
        <v>1</v>
      </c>
      <c r="I608" s="9">
        <f t="shared" si="42"/>
        <v>0</v>
      </c>
      <c r="J608" s="9"/>
      <c r="K608" s="9"/>
      <c r="M608" s="37">
        <f t="shared" si="44"/>
        <v>0</v>
      </c>
      <c r="N608" s="23"/>
      <c r="O608" s="23"/>
      <c r="P608" s="20"/>
      <c r="Q608" s="23"/>
      <c r="R608" s="24"/>
      <c r="S608" s="23"/>
      <c r="T608" s="32">
        <f t="shared" si="43"/>
        <v>0</v>
      </c>
    </row>
    <row r="609" spans="1:20" ht="12.75">
      <c r="A609" s="45"/>
      <c r="B609" s="23"/>
      <c r="C609" s="53"/>
      <c r="D609" s="30"/>
      <c r="E609" s="20"/>
      <c r="F609" s="23"/>
      <c r="G609" s="95">
        <v>1</v>
      </c>
      <c r="I609" s="9">
        <f t="shared" si="42"/>
        <v>0</v>
      </c>
      <c r="J609" s="9"/>
      <c r="K609" s="9"/>
      <c r="M609" s="37">
        <f t="shared" si="44"/>
        <v>0</v>
      </c>
      <c r="N609" s="23"/>
      <c r="O609" s="23"/>
      <c r="P609" s="20"/>
      <c r="Q609" s="23"/>
      <c r="R609" s="24"/>
      <c r="S609" s="23"/>
      <c r="T609" s="32">
        <f t="shared" si="43"/>
        <v>0</v>
      </c>
    </row>
    <row r="610" spans="1:20" ht="12.75">
      <c r="A610" s="45"/>
      <c r="B610" s="23"/>
      <c r="C610" s="53"/>
      <c r="D610" s="30"/>
      <c r="E610" s="20"/>
      <c r="F610" s="23"/>
      <c r="G610" s="95">
        <v>1</v>
      </c>
      <c r="I610" s="9">
        <f t="shared" si="42"/>
        <v>0</v>
      </c>
      <c r="J610" s="9"/>
      <c r="K610" s="9"/>
      <c r="M610" s="37">
        <f t="shared" si="44"/>
        <v>0</v>
      </c>
      <c r="N610" s="23"/>
      <c r="O610" s="23"/>
      <c r="P610" s="20"/>
      <c r="Q610" s="23"/>
      <c r="R610" s="24"/>
      <c r="S610" s="23"/>
      <c r="T610" s="32">
        <f t="shared" si="43"/>
        <v>0</v>
      </c>
    </row>
    <row r="611" spans="1:20" ht="12.75">
      <c r="A611" s="45"/>
      <c r="B611" s="23"/>
      <c r="C611" s="53"/>
      <c r="D611" s="30"/>
      <c r="E611" s="20"/>
      <c r="F611" s="23"/>
      <c r="G611" s="95">
        <v>1</v>
      </c>
      <c r="I611" s="9">
        <f t="shared" si="42"/>
        <v>0</v>
      </c>
      <c r="J611" s="9"/>
      <c r="K611" s="9"/>
      <c r="M611" s="37">
        <f t="shared" si="44"/>
        <v>0</v>
      </c>
      <c r="N611" s="23"/>
      <c r="O611" s="23"/>
      <c r="P611" s="20"/>
      <c r="Q611" s="23"/>
      <c r="R611" s="24"/>
      <c r="S611" s="23"/>
      <c r="T611" s="32">
        <f t="shared" si="43"/>
        <v>0</v>
      </c>
    </row>
    <row r="612" spans="1:20" ht="12.75">
      <c r="A612" s="45"/>
      <c r="B612" s="23"/>
      <c r="C612" s="53"/>
      <c r="D612" s="30"/>
      <c r="E612" s="20"/>
      <c r="F612" s="23"/>
      <c r="G612" s="95">
        <v>1</v>
      </c>
      <c r="I612" s="9">
        <f t="shared" si="42"/>
        <v>0</v>
      </c>
      <c r="J612" s="9"/>
      <c r="K612" s="9"/>
      <c r="M612" s="37">
        <f t="shared" si="44"/>
        <v>0</v>
      </c>
      <c r="N612" s="23"/>
      <c r="O612" s="23"/>
      <c r="P612" s="20"/>
      <c r="Q612" s="23"/>
      <c r="R612" s="24"/>
      <c r="S612" s="23"/>
      <c r="T612" s="32">
        <f t="shared" si="43"/>
        <v>0</v>
      </c>
    </row>
    <row r="613" spans="1:20" ht="12.75">
      <c r="A613" s="45"/>
      <c r="B613" s="23"/>
      <c r="C613" s="53"/>
      <c r="D613" s="30"/>
      <c r="E613" s="20"/>
      <c r="F613" s="23"/>
      <c r="G613" s="95">
        <v>1</v>
      </c>
      <c r="I613" s="9">
        <f t="shared" si="42"/>
        <v>0</v>
      </c>
      <c r="J613" s="9"/>
      <c r="K613" s="9"/>
      <c r="M613" s="37">
        <f t="shared" si="44"/>
        <v>0</v>
      </c>
      <c r="N613" s="23"/>
      <c r="O613" s="23"/>
      <c r="P613" s="20"/>
      <c r="Q613" s="23"/>
      <c r="R613" s="24"/>
      <c r="S613" s="23"/>
      <c r="T613" s="32">
        <f t="shared" si="43"/>
        <v>0</v>
      </c>
    </row>
    <row r="614" spans="1:20" ht="12.75">
      <c r="A614" s="45"/>
      <c r="B614" s="23"/>
      <c r="C614" s="53"/>
      <c r="D614" s="30"/>
      <c r="E614" s="20"/>
      <c r="F614" s="23"/>
      <c r="G614" s="95">
        <v>1</v>
      </c>
      <c r="I614" s="9">
        <f t="shared" si="42"/>
        <v>0</v>
      </c>
      <c r="J614" s="9"/>
      <c r="K614" s="9"/>
      <c r="M614" s="37">
        <f t="shared" si="44"/>
        <v>0</v>
      </c>
      <c r="N614" s="23"/>
      <c r="O614" s="23"/>
      <c r="P614" s="20"/>
      <c r="Q614" s="23"/>
      <c r="R614" s="24"/>
      <c r="S614" s="23"/>
      <c r="T614" s="32">
        <f t="shared" si="43"/>
        <v>0</v>
      </c>
    </row>
    <row r="615" spans="1:20" ht="12.75">
      <c r="A615" s="45"/>
      <c r="B615" s="23"/>
      <c r="C615" s="53"/>
      <c r="D615" s="30"/>
      <c r="E615" s="20"/>
      <c r="F615" s="23"/>
      <c r="G615" s="95">
        <v>1</v>
      </c>
      <c r="I615" s="9">
        <f t="shared" si="42"/>
        <v>0</v>
      </c>
      <c r="J615" s="9"/>
      <c r="K615" s="9"/>
      <c r="M615" s="37">
        <f t="shared" si="44"/>
        <v>0</v>
      </c>
      <c r="N615" s="23"/>
      <c r="O615" s="23"/>
      <c r="P615" s="20"/>
      <c r="Q615" s="23"/>
      <c r="R615" s="24"/>
      <c r="S615" s="23"/>
      <c r="T615" s="32">
        <f t="shared" si="43"/>
        <v>0</v>
      </c>
    </row>
    <row r="616" spans="1:20" ht="12.75">
      <c r="A616" s="45"/>
      <c r="B616" s="23"/>
      <c r="C616" s="53"/>
      <c r="D616" s="30"/>
      <c r="E616" s="20"/>
      <c r="F616" s="23"/>
      <c r="G616" s="95">
        <v>1</v>
      </c>
      <c r="I616" s="9">
        <f t="shared" si="42"/>
        <v>0</v>
      </c>
      <c r="J616" s="9"/>
      <c r="K616" s="9"/>
      <c r="M616" s="37">
        <f t="shared" si="44"/>
        <v>0</v>
      </c>
      <c r="N616" s="23"/>
      <c r="O616" s="23"/>
      <c r="P616" s="20"/>
      <c r="Q616" s="23"/>
      <c r="R616" s="24"/>
      <c r="S616" s="23"/>
      <c r="T616" s="32">
        <f t="shared" si="43"/>
        <v>0</v>
      </c>
    </row>
    <row r="617" spans="1:21" ht="12.75">
      <c r="A617" s="45"/>
      <c r="B617" s="23"/>
      <c r="C617" s="53"/>
      <c r="D617" s="30"/>
      <c r="E617" s="32" t="s">
        <v>135</v>
      </c>
      <c r="F617" s="23"/>
      <c r="G617" s="95"/>
      <c r="I617" s="8" t="s">
        <v>31</v>
      </c>
      <c r="J617" s="9"/>
      <c r="K617" s="9"/>
      <c r="M617" s="37">
        <f t="shared" si="44"/>
        <v>0</v>
      </c>
      <c r="N617" s="23"/>
      <c r="O617" s="23"/>
      <c r="P617" s="32" t="s">
        <v>135</v>
      </c>
      <c r="Q617" s="23"/>
      <c r="R617" s="95"/>
      <c r="T617" s="8" t="s">
        <v>31</v>
      </c>
      <c r="U617" s="9"/>
    </row>
    <row r="618" spans="1:21" ht="12.75">
      <c r="A618" s="45">
        <f>+A583</f>
        <v>50</v>
      </c>
      <c r="B618" s="54" t="s">
        <v>424</v>
      </c>
      <c r="C618" s="53"/>
      <c r="D618" s="30"/>
      <c r="E618" s="20">
        <f>SUM(E583:E617)</f>
        <v>0</v>
      </c>
      <c r="F618" s="23"/>
      <c r="G618" s="95"/>
      <c r="I618" s="9">
        <f>SUM(I583:I617)</f>
        <v>0</v>
      </c>
      <c r="J618" s="9"/>
      <c r="K618" s="9">
        <f>+A618</f>
        <v>50</v>
      </c>
      <c r="M618" s="168" t="str">
        <f t="shared" si="44"/>
        <v>Total Adjustment </v>
      </c>
      <c r="N618" s="3"/>
      <c r="O618" s="23"/>
      <c r="P618" s="20">
        <f>SUM(P583:P617)</f>
        <v>0</v>
      </c>
      <c r="Q618" s="23"/>
      <c r="R618" s="95"/>
      <c r="T618" s="9">
        <f>SUM(T583:T617)</f>
        <v>0</v>
      </c>
      <c r="U618" s="9"/>
    </row>
    <row r="619" spans="1:25" ht="12.75">
      <c r="A619" s="45"/>
      <c r="B619" s="23"/>
      <c r="C619" s="53"/>
      <c r="D619" s="30"/>
      <c r="E619" s="20"/>
      <c r="F619" s="23"/>
      <c r="G619" s="95"/>
      <c r="I619" s="9"/>
      <c r="J619" s="9"/>
      <c r="K619" s="20"/>
      <c r="L619" s="23"/>
      <c r="M619" s="35"/>
      <c r="N619" s="23"/>
      <c r="O619" s="23"/>
      <c r="P619" s="20"/>
      <c r="Q619" s="23"/>
      <c r="R619" s="24"/>
      <c r="S619" s="23"/>
      <c r="T619" s="20"/>
      <c r="U619" s="23"/>
      <c r="V619" s="23"/>
      <c r="W619" s="23"/>
      <c r="X619" s="23"/>
      <c r="Y619" s="23"/>
    </row>
    <row r="620" spans="1:25" ht="12.75">
      <c r="A620" s="45">
        <f>+A618+1</f>
        <v>51</v>
      </c>
      <c r="B620" s="41" t="s">
        <v>727</v>
      </c>
      <c r="C620" s="53"/>
      <c r="D620" s="30" t="s">
        <v>728</v>
      </c>
      <c r="E620" s="20">
        <v>-195937</v>
      </c>
      <c r="F620" s="23"/>
      <c r="G620" s="95">
        <v>0.9869</v>
      </c>
      <c r="I620" s="9">
        <f>+E620*G620</f>
        <v>-193370.2253</v>
      </c>
      <c r="J620" s="9"/>
      <c r="K620" s="20">
        <f>+A620</f>
        <v>51</v>
      </c>
      <c r="L620" s="23"/>
      <c r="M620" s="35" t="str">
        <f aca="true" t="shared" si="45" ref="M620:M626">+B620</f>
        <v>Turbine Overhaul Maintenance</v>
      </c>
      <c r="N620" s="23"/>
      <c r="O620" s="23"/>
      <c r="P620" s="20"/>
      <c r="Q620" s="23"/>
      <c r="R620" s="24"/>
      <c r="S620" s="23"/>
      <c r="T620" s="20"/>
      <c r="U620" s="23"/>
      <c r="V620" s="23"/>
      <c r="W620" s="23"/>
      <c r="X620" s="23"/>
      <c r="Y620" s="23"/>
    </row>
    <row r="621" spans="1:20" ht="12.75">
      <c r="A621" s="45"/>
      <c r="B621" s="50"/>
      <c r="C621" s="53"/>
      <c r="D621" s="30" t="s">
        <v>729</v>
      </c>
      <c r="E621" s="20">
        <v>-130624</v>
      </c>
      <c r="F621" s="23"/>
      <c r="G621" s="95">
        <v>0.9869</v>
      </c>
      <c r="I621" s="9">
        <f>+E621*G621</f>
        <v>-128912.8256</v>
      </c>
      <c r="J621" s="9"/>
      <c r="K621" s="9"/>
      <c r="M621" s="37">
        <f t="shared" si="45"/>
        <v>0</v>
      </c>
      <c r="N621" s="3"/>
      <c r="O621" s="23"/>
      <c r="P621" s="20"/>
      <c r="Q621" s="23"/>
      <c r="R621" s="24"/>
      <c r="S621" s="23"/>
      <c r="T621" s="32">
        <f>+P621*R621</f>
        <v>0</v>
      </c>
    </row>
    <row r="622" spans="1:21" ht="12.75">
      <c r="A622" s="45"/>
      <c r="B622" s="23"/>
      <c r="C622" s="53"/>
      <c r="D622" s="30"/>
      <c r="E622" s="20"/>
      <c r="F622" s="23"/>
      <c r="G622" s="95"/>
      <c r="I622" s="9">
        <f>+E622*G622</f>
        <v>0</v>
      </c>
      <c r="J622" s="9"/>
      <c r="K622" s="20"/>
      <c r="L622" s="23"/>
      <c r="M622" s="37">
        <f t="shared" si="45"/>
        <v>0</v>
      </c>
      <c r="N622" s="23"/>
      <c r="O622" s="23"/>
      <c r="P622" s="20"/>
      <c r="Q622" s="23"/>
      <c r="R622" s="24"/>
      <c r="S622" s="23"/>
      <c r="T622" s="32">
        <f>+P622*R622</f>
        <v>0</v>
      </c>
      <c r="U622" s="23"/>
    </row>
    <row r="623" spans="1:20" ht="12.75">
      <c r="A623" s="45"/>
      <c r="B623" s="29"/>
      <c r="C623" s="53"/>
      <c r="D623" s="30"/>
      <c r="E623" s="20"/>
      <c r="F623" s="23"/>
      <c r="G623" s="95"/>
      <c r="I623" s="9">
        <f>+E623*G623</f>
        <v>0</v>
      </c>
      <c r="J623" s="9"/>
      <c r="K623" s="9"/>
      <c r="M623" s="37">
        <f t="shared" si="45"/>
        <v>0</v>
      </c>
      <c r="N623" s="23"/>
      <c r="O623" s="23"/>
      <c r="P623" s="20"/>
      <c r="Q623" s="23"/>
      <c r="R623" s="24"/>
      <c r="S623" s="23"/>
      <c r="T623" s="32">
        <f>+P623*R623</f>
        <v>0</v>
      </c>
    </row>
    <row r="624" spans="1:20" ht="12.75">
      <c r="A624" s="45"/>
      <c r="B624" s="29" t="s">
        <v>864</v>
      </c>
      <c r="C624" s="53"/>
      <c r="D624" s="30"/>
      <c r="E624" s="20"/>
      <c r="F624" s="23"/>
      <c r="G624" s="95"/>
      <c r="I624" s="9">
        <f>+E624*G624</f>
        <v>0</v>
      </c>
      <c r="J624" s="9"/>
      <c r="K624" s="9"/>
      <c r="M624" s="35" t="str">
        <f t="shared" si="45"/>
        <v>Settlement Agreement</v>
      </c>
      <c r="N624" s="23"/>
      <c r="O624" s="23"/>
      <c r="P624" s="20">
        <v>-322283</v>
      </c>
      <c r="Q624" s="23"/>
      <c r="R624" s="24">
        <v>1</v>
      </c>
      <c r="S624" s="23"/>
      <c r="T624" s="32">
        <f>+P624*R624</f>
        <v>-322283</v>
      </c>
    </row>
    <row r="625" spans="1:24" ht="12.75">
      <c r="A625" s="45"/>
      <c r="B625" s="29"/>
      <c r="C625" s="53"/>
      <c r="D625" s="30"/>
      <c r="E625" s="73" t="s">
        <v>134</v>
      </c>
      <c r="F625" s="23"/>
      <c r="G625" s="95"/>
      <c r="I625" s="8" t="s">
        <v>31</v>
      </c>
      <c r="J625" s="9"/>
      <c r="K625" s="9"/>
      <c r="M625" s="37">
        <f t="shared" si="45"/>
        <v>0</v>
      </c>
      <c r="N625" s="3"/>
      <c r="O625" s="23"/>
      <c r="P625" s="73" t="s">
        <v>134</v>
      </c>
      <c r="Q625" s="23"/>
      <c r="R625" s="95"/>
      <c r="T625" s="8" t="s">
        <v>31</v>
      </c>
      <c r="U625" s="9"/>
      <c r="X625" s="23"/>
    </row>
    <row r="626" spans="1:21" ht="12.75">
      <c r="A626" s="45">
        <f>+A620</f>
        <v>51</v>
      </c>
      <c r="B626" s="54" t="s">
        <v>424</v>
      </c>
      <c r="C626" s="53"/>
      <c r="D626" s="30"/>
      <c r="E626" s="20">
        <f>SUM(E620:E625)</f>
        <v>-326561</v>
      </c>
      <c r="F626" s="23"/>
      <c r="G626" s="95"/>
      <c r="I626" s="20">
        <f>SUM(I620:I625)</f>
        <v>-322283.0509</v>
      </c>
      <c r="J626" s="9"/>
      <c r="K626" s="9">
        <f>+A626</f>
        <v>51</v>
      </c>
      <c r="M626" s="168" t="str">
        <f t="shared" si="45"/>
        <v>Total Adjustment </v>
      </c>
      <c r="O626" s="23"/>
      <c r="P626" s="20">
        <f>SUM(P620:P625)</f>
        <v>-322283</v>
      </c>
      <c r="Q626" s="23"/>
      <c r="R626" s="95"/>
      <c r="T626" s="21">
        <f>SUM(T620:T625)</f>
        <v>-322283</v>
      </c>
      <c r="U626" s="9"/>
    </row>
    <row r="627" spans="1:20" ht="12.75">
      <c r="A627" s="45"/>
      <c r="B627" s="23"/>
      <c r="C627" s="53"/>
      <c r="D627" s="30"/>
      <c r="E627" s="20"/>
      <c r="F627" s="23"/>
      <c r="G627" s="95"/>
      <c r="I627" s="9"/>
      <c r="J627" s="9"/>
      <c r="K627" s="9"/>
      <c r="M627" s="35"/>
      <c r="O627" s="23"/>
      <c r="P627" s="20"/>
      <c r="Q627" s="23"/>
      <c r="R627" s="24"/>
      <c r="S627" s="23"/>
      <c r="T627" s="9"/>
    </row>
    <row r="628" spans="1:20" ht="12.75">
      <c r="A628" s="45"/>
      <c r="B628" s="29"/>
      <c r="C628" s="53"/>
      <c r="D628" s="30"/>
      <c r="E628" s="20"/>
      <c r="F628" s="23"/>
      <c r="G628" s="95"/>
      <c r="I628" s="9"/>
      <c r="J628" s="9"/>
      <c r="K628" s="9"/>
      <c r="M628" s="35"/>
      <c r="O628" s="23"/>
      <c r="P628" s="20"/>
      <c r="Q628" s="23"/>
      <c r="R628" s="24"/>
      <c r="S628" s="23"/>
      <c r="T628" s="9"/>
    </row>
    <row r="629" spans="1:20" ht="12.75">
      <c r="A629" s="45">
        <f>+A626+1</f>
        <v>52</v>
      </c>
      <c r="B629" s="29" t="s">
        <v>714</v>
      </c>
      <c r="C629" s="53"/>
      <c r="D629" s="30"/>
      <c r="E629" s="20"/>
      <c r="F629" s="23"/>
      <c r="G629" s="95"/>
      <c r="I629" s="9"/>
      <c r="J629" s="9"/>
      <c r="K629" s="9">
        <f>+A629</f>
        <v>52</v>
      </c>
      <c r="M629" s="35" t="str">
        <f aca="true" t="shared" si="46" ref="M629:M649">+B629</f>
        <v>Eliminate Restructuring Costs</v>
      </c>
      <c r="O629" s="23"/>
      <c r="P629" s="20"/>
      <c r="Q629" s="23"/>
      <c r="R629" s="24"/>
      <c r="S629" s="23"/>
      <c r="T629" s="32"/>
    </row>
    <row r="630" spans="1:20" ht="12.75">
      <c r="A630" s="45"/>
      <c r="B630" s="29"/>
      <c r="C630" s="53"/>
      <c r="D630" s="30"/>
      <c r="E630" s="20"/>
      <c r="F630" s="23"/>
      <c r="G630" s="95"/>
      <c r="I630" s="9"/>
      <c r="J630" s="9"/>
      <c r="K630" s="9"/>
      <c r="M630" s="37" t="s">
        <v>715</v>
      </c>
      <c r="O630" s="23"/>
      <c r="P630" s="20"/>
      <c r="Q630" s="23"/>
      <c r="R630" s="24"/>
      <c r="S630" s="23"/>
      <c r="T630" s="32"/>
    </row>
    <row r="631" spans="1:20" ht="12.75">
      <c r="A631" s="45"/>
      <c r="B631" s="48" t="s">
        <v>716</v>
      </c>
      <c r="C631" s="53"/>
      <c r="D631" s="30" t="s">
        <v>717</v>
      </c>
      <c r="E631" s="32">
        <v>0</v>
      </c>
      <c r="F631" s="23"/>
      <c r="G631" s="95">
        <v>0.9869</v>
      </c>
      <c r="I631" s="9">
        <f aca="true" t="shared" si="47" ref="I631:I646">+E631*G631</f>
        <v>0</v>
      </c>
      <c r="J631" s="9"/>
      <c r="K631" s="9"/>
      <c r="M631" s="37" t="str">
        <f t="shared" si="46"/>
        <v>Remove allocated restructuring costs CS 10</v>
      </c>
      <c r="N631" s="23"/>
      <c r="O631" s="23"/>
      <c r="P631" s="32">
        <v>-683882</v>
      </c>
      <c r="Q631" s="23"/>
      <c r="R631" s="24">
        <v>1</v>
      </c>
      <c r="T631" s="32">
        <f aca="true" t="shared" si="48" ref="T631:T643">+P631*R631</f>
        <v>-683882</v>
      </c>
    </row>
    <row r="632" spans="1:20" ht="12.75">
      <c r="A632" s="45"/>
      <c r="B632" s="29"/>
      <c r="C632" s="53"/>
      <c r="D632" s="30" t="s">
        <v>718</v>
      </c>
      <c r="E632" s="20">
        <v>0</v>
      </c>
      <c r="F632" s="23"/>
      <c r="G632" s="95">
        <v>0.9869</v>
      </c>
      <c r="I632" s="9">
        <f t="shared" si="47"/>
        <v>0</v>
      </c>
      <c r="J632" s="9"/>
      <c r="K632" s="9"/>
      <c r="M632" s="37">
        <f t="shared" si="46"/>
        <v>0</v>
      </c>
      <c r="N632" s="23"/>
      <c r="O632" s="23"/>
      <c r="P632" s="20">
        <v>-10265</v>
      </c>
      <c r="Q632" s="23"/>
      <c r="R632" s="24">
        <v>1</v>
      </c>
      <c r="T632" s="32">
        <f t="shared" si="48"/>
        <v>-10265</v>
      </c>
    </row>
    <row r="633" spans="1:24" ht="12.75">
      <c r="A633" s="45"/>
      <c r="B633" s="23"/>
      <c r="C633" s="53"/>
      <c r="D633" s="30" t="s">
        <v>719</v>
      </c>
      <c r="E633" s="20">
        <v>0</v>
      </c>
      <c r="F633" s="23"/>
      <c r="G633" s="95">
        <v>0.99833</v>
      </c>
      <c r="I633" s="9">
        <f t="shared" si="47"/>
        <v>0</v>
      </c>
      <c r="J633" s="9"/>
      <c r="K633" s="20"/>
      <c r="L633" s="23"/>
      <c r="M633" s="37">
        <f t="shared" si="46"/>
        <v>0</v>
      </c>
      <c r="N633" s="23"/>
      <c r="O633" s="23"/>
      <c r="P633" s="20">
        <v>-58310</v>
      </c>
      <c r="Q633" s="23"/>
      <c r="R633" s="24">
        <v>1</v>
      </c>
      <c r="S633" s="23"/>
      <c r="T633" s="32">
        <f t="shared" si="48"/>
        <v>-58310</v>
      </c>
      <c r="U633" s="23"/>
      <c r="V633" s="23"/>
      <c r="W633" s="23"/>
      <c r="X633" s="23"/>
    </row>
    <row r="634" spans="1:20" ht="12.75">
      <c r="A634" s="45"/>
      <c r="B634" s="29"/>
      <c r="C634" s="53"/>
      <c r="D634" s="30" t="s">
        <v>720</v>
      </c>
      <c r="E634" s="20">
        <v>0</v>
      </c>
      <c r="F634" s="23"/>
      <c r="G634" s="95">
        <v>0.90241</v>
      </c>
      <c r="I634" s="9">
        <f t="shared" si="47"/>
        <v>0</v>
      </c>
      <c r="J634" s="9"/>
      <c r="K634" s="9"/>
      <c r="M634" s="37">
        <f t="shared" si="46"/>
        <v>0</v>
      </c>
      <c r="N634" s="23"/>
      <c r="O634" s="23"/>
      <c r="P634" s="20">
        <v>-7910</v>
      </c>
      <c r="Q634" s="23"/>
      <c r="R634" s="24">
        <v>1</v>
      </c>
      <c r="T634" s="32">
        <f t="shared" si="48"/>
        <v>-7910</v>
      </c>
    </row>
    <row r="635" spans="1:20" ht="12.75">
      <c r="A635" s="45"/>
      <c r="B635" s="23"/>
      <c r="C635" s="53"/>
      <c r="D635" s="30" t="s">
        <v>721</v>
      </c>
      <c r="E635" s="20">
        <v>0</v>
      </c>
      <c r="F635" s="23"/>
      <c r="G635" s="95">
        <v>0.94019</v>
      </c>
      <c r="I635" s="9">
        <f t="shared" si="47"/>
        <v>0</v>
      </c>
      <c r="J635" s="9"/>
      <c r="K635" s="9"/>
      <c r="M635" s="37">
        <f t="shared" si="46"/>
        <v>0</v>
      </c>
      <c r="N635" s="23"/>
      <c r="O635" s="23"/>
      <c r="P635" s="20">
        <v>49632.4</v>
      </c>
      <c r="Q635" s="23"/>
      <c r="R635" s="24">
        <v>1</v>
      </c>
      <c r="S635" s="23"/>
      <c r="T635" s="32">
        <f t="shared" si="48"/>
        <v>49632.4</v>
      </c>
    </row>
    <row r="636" spans="1:20" ht="12.75">
      <c r="A636" s="45"/>
      <c r="B636" s="23"/>
      <c r="C636" s="53"/>
      <c r="D636" s="30" t="s">
        <v>722</v>
      </c>
      <c r="E636" s="20">
        <v>-1165485</v>
      </c>
      <c r="F636" s="23"/>
      <c r="G636" s="95">
        <v>0.84171</v>
      </c>
      <c r="I636" s="9">
        <f t="shared" si="47"/>
        <v>-981000.37935</v>
      </c>
      <c r="J636" s="9"/>
      <c r="K636" s="9"/>
      <c r="M636" s="37">
        <f t="shared" si="46"/>
        <v>0</v>
      </c>
      <c r="N636" s="23"/>
      <c r="O636" s="23"/>
      <c r="P636" s="20">
        <v>-152589</v>
      </c>
      <c r="Q636" s="23"/>
      <c r="R636" s="24">
        <v>1</v>
      </c>
      <c r="S636" s="23"/>
      <c r="T636" s="32">
        <f t="shared" si="48"/>
        <v>-152589</v>
      </c>
    </row>
    <row r="637" spans="1:20" ht="12.75">
      <c r="A637" s="45"/>
      <c r="B637" s="23"/>
      <c r="C637" s="53"/>
      <c r="D637" s="30" t="s">
        <v>723</v>
      </c>
      <c r="E637" s="20">
        <v>0</v>
      </c>
      <c r="F637" s="23"/>
      <c r="G637" s="95">
        <v>0.87456</v>
      </c>
      <c r="I637" s="9">
        <f t="shared" si="47"/>
        <v>0</v>
      </c>
      <c r="J637" s="9"/>
      <c r="K637" s="9"/>
      <c r="M637" s="37">
        <f t="shared" si="46"/>
        <v>0</v>
      </c>
      <c r="N637" s="23"/>
      <c r="O637" s="23"/>
      <c r="P637" s="20">
        <v>-39304</v>
      </c>
      <c r="Q637" s="23"/>
      <c r="R637" s="24">
        <v>1</v>
      </c>
      <c r="S637" s="23"/>
      <c r="T637" s="32">
        <f t="shared" si="48"/>
        <v>-39304</v>
      </c>
    </row>
    <row r="638" spans="1:20" ht="12.75">
      <c r="A638" s="45"/>
      <c r="B638" s="23"/>
      <c r="C638" s="53"/>
      <c r="D638" s="30" t="s">
        <v>724</v>
      </c>
      <c r="E638" s="32">
        <v>-99233</v>
      </c>
      <c r="F638" s="23"/>
      <c r="G638" s="95">
        <v>0.87518</v>
      </c>
      <c r="I638" s="9">
        <f t="shared" si="47"/>
        <v>-86846.73694</v>
      </c>
      <c r="J638" s="9"/>
      <c r="K638" s="9"/>
      <c r="M638" s="37">
        <f t="shared" si="46"/>
        <v>0</v>
      </c>
      <c r="N638" s="23"/>
      <c r="O638" s="23"/>
      <c r="P638" s="32">
        <v>-66979</v>
      </c>
      <c r="Q638" s="23"/>
      <c r="R638" s="24">
        <v>1</v>
      </c>
      <c r="T638" s="32">
        <f t="shared" si="48"/>
        <v>-66979</v>
      </c>
    </row>
    <row r="639" spans="1:20" ht="12.75">
      <c r="A639" s="45"/>
      <c r="B639" s="29"/>
      <c r="C639" s="53"/>
      <c r="D639" s="30" t="s">
        <v>725</v>
      </c>
      <c r="E639" s="20">
        <v>-201714</v>
      </c>
      <c r="F639" s="23"/>
      <c r="G639" s="95">
        <v>0.86327</v>
      </c>
      <c r="I639" s="9">
        <f t="shared" si="47"/>
        <v>-174133.64478</v>
      </c>
      <c r="J639" s="9"/>
      <c r="K639" s="9"/>
      <c r="M639" s="37">
        <f t="shared" si="46"/>
        <v>0</v>
      </c>
      <c r="N639" s="23"/>
      <c r="O639" s="23"/>
      <c r="P639" s="20">
        <v>-366624</v>
      </c>
      <c r="Q639" s="23"/>
      <c r="R639" s="24">
        <v>1</v>
      </c>
      <c r="T639" s="32">
        <f t="shared" si="48"/>
        <v>-366624</v>
      </c>
    </row>
    <row r="640" spans="1:22" ht="12.75">
      <c r="A640" s="45"/>
      <c r="B640" s="23"/>
      <c r="C640" s="53"/>
      <c r="D640" s="30" t="s">
        <v>726</v>
      </c>
      <c r="E640" s="20">
        <v>0</v>
      </c>
      <c r="F640" s="23"/>
      <c r="G640" s="95">
        <v>0.86064</v>
      </c>
      <c r="I640" s="9">
        <f t="shared" si="47"/>
        <v>0</v>
      </c>
      <c r="J640" s="9"/>
      <c r="K640" s="20"/>
      <c r="L640" s="23"/>
      <c r="M640" s="37">
        <f t="shared" si="46"/>
        <v>0</v>
      </c>
      <c r="N640" s="23"/>
      <c r="O640" s="23"/>
      <c r="P640" s="20"/>
      <c r="Q640" s="23"/>
      <c r="R640" s="24"/>
      <c r="S640" s="23"/>
      <c r="T640" s="32">
        <f t="shared" si="48"/>
        <v>0</v>
      </c>
      <c r="U640" s="23"/>
      <c r="V640" s="23"/>
    </row>
    <row r="641" spans="1:22" ht="12.75">
      <c r="A641" s="45"/>
      <c r="B641" s="23"/>
      <c r="C641" s="53"/>
      <c r="D641" s="30" t="s">
        <v>797</v>
      </c>
      <c r="E641" s="20">
        <v>0</v>
      </c>
      <c r="F641" s="23"/>
      <c r="G641" s="95">
        <v>0.93106</v>
      </c>
      <c r="I641" s="9">
        <f t="shared" si="47"/>
        <v>0</v>
      </c>
      <c r="J641" s="9"/>
      <c r="K641" s="20"/>
      <c r="L641" s="23"/>
      <c r="M641" s="37">
        <f t="shared" si="46"/>
        <v>0</v>
      </c>
      <c r="N641" s="23"/>
      <c r="O641" s="23"/>
      <c r="P641" s="20"/>
      <c r="Q641" s="23"/>
      <c r="R641" s="24"/>
      <c r="S641" s="23"/>
      <c r="T641" s="32">
        <f t="shared" si="48"/>
        <v>0</v>
      </c>
      <c r="U641" s="23"/>
      <c r="V641" s="23"/>
    </row>
    <row r="642" spans="1:20" ht="12.75">
      <c r="A642" s="45"/>
      <c r="B642" s="29"/>
      <c r="C642" s="53"/>
      <c r="D642" s="30" t="s">
        <v>849</v>
      </c>
      <c r="E642" s="20">
        <v>-231284</v>
      </c>
      <c r="F642" s="23"/>
      <c r="G642" s="95">
        <v>0.9869</v>
      </c>
      <c r="I642" s="9">
        <f t="shared" si="47"/>
        <v>-228254.1796</v>
      </c>
      <c r="J642" s="9"/>
      <c r="K642" s="9"/>
      <c r="M642" s="37">
        <f t="shared" si="46"/>
        <v>0</v>
      </c>
      <c r="N642" s="23"/>
      <c r="O642" s="23"/>
      <c r="P642" s="20"/>
      <c r="Q642" s="23"/>
      <c r="R642" s="24"/>
      <c r="T642" s="32">
        <f t="shared" si="48"/>
        <v>0</v>
      </c>
    </row>
    <row r="643" spans="1:21" ht="12.75">
      <c r="A643" s="45"/>
      <c r="B643" s="23"/>
      <c r="C643" s="53"/>
      <c r="D643" s="30" t="s">
        <v>850</v>
      </c>
      <c r="E643" s="20">
        <v>-59274</v>
      </c>
      <c r="F643" s="23"/>
      <c r="G643" s="95">
        <v>0.9847</v>
      </c>
      <c r="I643" s="9">
        <f t="shared" si="47"/>
        <v>-58367.1078</v>
      </c>
      <c r="J643" s="9"/>
      <c r="K643" s="20"/>
      <c r="L643" s="23"/>
      <c r="M643" s="37">
        <f t="shared" si="46"/>
        <v>0</v>
      </c>
      <c r="N643" s="23"/>
      <c r="O643" s="23"/>
      <c r="P643" s="20"/>
      <c r="Q643" s="23"/>
      <c r="R643" s="24"/>
      <c r="S643" s="23"/>
      <c r="T643" s="32">
        <f t="shared" si="48"/>
        <v>0</v>
      </c>
      <c r="U643" s="23"/>
    </row>
    <row r="644" spans="1:21" ht="12.75">
      <c r="A644" s="45"/>
      <c r="B644" s="23"/>
      <c r="C644" s="53"/>
      <c r="D644" s="30" t="s">
        <v>851</v>
      </c>
      <c r="E644" s="20">
        <v>-101522</v>
      </c>
      <c r="F644" s="23"/>
      <c r="G644" s="95">
        <v>0.9869</v>
      </c>
      <c r="I644" s="9">
        <f t="shared" si="47"/>
        <v>-100192.0618</v>
      </c>
      <c r="J644" s="9"/>
      <c r="K644" s="20"/>
      <c r="L644" s="23"/>
      <c r="M644" s="37"/>
      <c r="N644" s="23"/>
      <c r="O644" s="23"/>
      <c r="P644" s="20"/>
      <c r="Q644" s="23"/>
      <c r="R644" s="24"/>
      <c r="S644" s="23"/>
      <c r="T644" s="32"/>
      <c r="U644" s="23"/>
    </row>
    <row r="645" spans="1:21" ht="12.75">
      <c r="A645" s="45"/>
      <c r="B645" s="23"/>
      <c r="C645" s="53"/>
      <c r="D645" s="30" t="s">
        <v>852</v>
      </c>
      <c r="E645" s="20">
        <v>-550854</v>
      </c>
      <c r="F645" s="23"/>
      <c r="G645" s="95">
        <v>0.99833</v>
      </c>
      <c r="I645" s="9">
        <f t="shared" si="47"/>
        <v>-549934.07382</v>
      </c>
      <c r="J645" s="9"/>
      <c r="K645" s="20"/>
      <c r="L645" s="23"/>
      <c r="M645" s="37"/>
      <c r="N645" s="23"/>
      <c r="O645" s="23"/>
      <c r="P645" s="20"/>
      <c r="Q645" s="23"/>
      <c r="R645" s="24"/>
      <c r="S645" s="23"/>
      <c r="T645" s="32"/>
      <c r="U645" s="23"/>
    </row>
    <row r="646" spans="1:21" ht="12.75">
      <c r="A646" s="45"/>
      <c r="B646" s="23"/>
      <c r="C646" s="53"/>
      <c r="D646" s="30" t="s">
        <v>853</v>
      </c>
      <c r="E646" s="20">
        <v>-15483</v>
      </c>
      <c r="F646" s="23"/>
      <c r="G646" s="95">
        <v>0.86397</v>
      </c>
      <c r="I646" s="9">
        <f t="shared" si="47"/>
        <v>-13376.84751</v>
      </c>
      <c r="J646" s="9"/>
      <c r="K646" s="20"/>
      <c r="L646" s="23"/>
      <c r="M646" s="37"/>
      <c r="N646" s="23"/>
      <c r="O646" s="23"/>
      <c r="P646" s="20"/>
      <c r="Q646" s="23"/>
      <c r="R646" s="24"/>
      <c r="S646" s="23"/>
      <c r="T646" s="32"/>
      <c r="U646" s="23"/>
    </row>
    <row r="647" spans="1:21" ht="12.75">
      <c r="A647" s="45"/>
      <c r="B647" s="23"/>
      <c r="C647" s="53"/>
      <c r="D647" s="30"/>
      <c r="E647" s="20"/>
      <c r="F647" s="23"/>
      <c r="G647" s="95"/>
      <c r="I647" s="9"/>
      <c r="J647" s="9"/>
      <c r="K647" s="20"/>
      <c r="L647" s="23"/>
      <c r="M647" s="37"/>
      <c r="N647" s="23"/>
      <c r="O647" s="23"/>
      <c r="P647" s="20"/>
      <c r="Q647" s="23"/>
      <c r="R647" s="24"/>
      <c r="S647" s="23"/>
      <c r="T647" s="32"/>
      <c r="U647" s="23"/>
    </row>
    <row r="648" spans="1:21" ht="12.75">
      <c r="A648" s="45"/>
      <c r="B648" s="29"/>
      <c r="C648" s="53"/>
      <c r="D648" s="30"/>
      <c r="E648" s="32" t="s">
        <v>166</v>
      </c>
      <c r="F648" s="23"/>
      <c r="G648" s="95"/>
      <c r="I648" s="8" t="s">
        <v>42</v>
      </c>
      <c r="J648" s="9"/>
      <c r="K648" s="9"/>
      <c r="M648" s="37">
        <f t="shared" si="46"/>
        <v>0</v>
      </c>
      <c r="N648" s="3"/>
      <c r="P648" s="32" t="s">
        <v>166</v>
      </c>
      <c r="Q648" s="23"/>
      <c r="R648" s="95"/>
      <c r="T648" s="8" t="s">
        <v>42</v>
      </c>
      <c r="U648" s="9"/>
    </row>
    <row r="649" spans="1:23" ht="12.75">
      <c r="A649" s="45">
        <f>+A629</f>
        <v>52</v>
      </c>
      <c r="B649" s="30" t="s">
        <v>424</v>
      </c>
      <c r="C649" s="53"/>
      <c r="D649" s="30"/>
      <c r="E649" s="20">
        <f>SUM(E629:E648)</f>
        <v>-2424849</v>
      </c>
      <c r="F649" s="23"/>
      <c r="G649" s="95"/>
      <c r="I649" s="20">
        <f>SUM(I629:I648)</f>
        <v>-2192105.0316</v>
      </c>
      <c r="J649" s="9"/>
      <c r="K649" s="20">
        <f>+A649</f>
        <v>52</v>
      </c>
      <c r="L649" s="23"/>
      <c r="M649" s="168" t="str">
        <f t="shared" si="46"/>
        <v>Total Adjustment </v>
      </c>
      <c r="N649" s="23"/>
      <c r="O649" s="23"/>
      <c r="P649" s="20">
        <f>SUM(P629:P648)</f>
        <v>-1336230.6</v>
      </c>
      <c r="Q649" s="23"/>
      <c r="R649" s="95"/>
      <c r="T649" s="20">
        <f>SUM(T629:T648)</f>
        <v>-1336230.6</v>
      </c>
      <c r="U649" s="9"/>
      <c r="V649" s="23"/>
      <c r="W649" s="23"/>
    </row>
    <row r="650" spans="1:21" ht="12.75">
      <c r="A650" s="45"/>
      <c r="B650" s="29"/>
      <c r="C650" s="53"/>
      <c r="D650" s="30"/>
      <c r="E650" s="32" t="s">
        <v>166</v>
      </c>
      <c r="F650" s="23"/>
      <c r="G650" s="95"/>
      <c r="I650" s="8" t="s">
        <v>42</v>
      </c>
      <c r="J650" s="9"/>
      <c r="K650" s="9"/>
      <c r="M650" s="35"/>
      <c r="N650" s="3"/>
      <c r="P650" s="32" t="s">
        <v>166</v>
      </c>
      <c r="Q650" s="23"/>
      <c r="R650" s="95"/>
      <c r="T650" s="8" t="s">
        <v>42</v>
      </c>
      <c r="U650" s="9"/>
    </row>
    <row r="651" spans="1:22" ht="12.75">
      <c r="A651" s="45"/>
      <c r="B651" s="41"/>
      <c r="C651" s="53"/>
      <c r="D651" s="30"/>
      <c r="E651" s="20"/>
      <c r="F651" s="23"/>
      <c r="G651" s="95"/>
      <c r="I651" s="20"/>
      <c r="J651" s="9"/>
      <c r="K651" s="20"/>
      <c r="L651" s="23"/>
      <c r="M651" s="35"/>
      <c r="N651" s="23"/>
      <c r="O651" s="23"/>
      <c r="P651" s="20"/>
      <c r="Q651" s="23"/>
      <c r="R651" s="24"/>
      <c r="T651" s="20"/>
      <c r="U651" s="23"/>
      <c r="V651" s="23"/>
    </row>
    <row r="652" spans="1:20" ht="12.75">
      <c r="A652" s="45"/>
      <c r="B652" s="29"/>
      <c r="C652" s="53"/>
      <c r="D652" s="30"/>
      <c r="E652" s="32"/>
      <c r="F652" s="23"/>
      <c r="G652" s="95"/>
      <c r="I652" s="8"/>
      <c r="J652" s="9"/>
      <c r="K652" s="9"/>
      <c r="M652" s="35"/>
      <c r="N652" s="3"/>
      <c r="P652" s="32"/>
      <c r="Q652" s="23"/>
      <c r="R652" s="24"/>
      <c r="T652" s="8"/>
    </row>
    <row r="653" spans="1:22" ht="12.75">
      <c r="A653" s="45"/>
      <c r="B653" s="23"/>
      <c r="C653" s="53"/>
      <c r="D653" s="30"/>
      <c r="E653" s="20"/>
      <c r="F653" s="23"/>
      <c r="G653" s="95"/>
      <c r="I653" s="9"/>
      <c r="J653" s="9"/>
      <c r="K653" s="20"/>
      <c r="L653" s="23"/>
      <c r="M653" s="36"/>
      <c r="N653" s="23"/>
      <c r="O653" s="23"/>
      <c r="P653" s="20"/>
      <c r="Q653" s="23"/>
      <c r="R653" s="24"/>
      <c r="S653" s="23"/>
      <c r="T653" s="20"/>
      <c r="U653" s="23"/>
      <c r="V653" s="23"/>
    </row>
    <row r="654" spans="1:20" ht="15.75">
      <c r="A654" s="45"/>
      <c r="B654" s="186" t="s">
        <v>187</v>
      </c>
      <c r="C654" s="53"/>
      <c r="D654" s="5"/>
      <c r="E654" s="8">
        <f>+E35+E37+E39+E41+E43+E45+E47+E49+E51+E53+E55+E57+E59+E61+E63+E65+E67+E69+E71+E73+E75+E77+E79+E81+E83+E85+E87+E89+E91+E93+E95+E103+E110+E117+E123+E129+E138+E152+E182+E190+E249+E306+E315+E325+E388+E450+E461+E526+E581+E618+E626+E649</f>
        <v>-19287063</v>
      </c>
      <c r="G654" s="95" t="s">
        <v>217</v>
      </c>
      <c r="H654" s="56" t="s">
        <v>96</v>
      </c>
      <c r="I654" s="8">
        <f>+I35+I37+I39+I41+I43+I45+I47+I49+I51+I53+I55+I57+I59+I61+I63+I65+I67+I69+I71+I73+I75+I77+I79+I81+I83+I85+I87+I89+I91+I93+I95+I103+I110+I117+I123+I129+I138+I152+I182+I190+I249+I306+I315+I325+I388+I450+I461+I526+I581+I618+I626+I649</f>
        <v>-18683004.936520003</v>
      </c>
      <c r="J654" s="9"/>
      <c r="K654" s="9"/>
      <c r="M654" s="189" t="s">
        <v>188</v>
      </c>
      <c r="P654" s="8">
        <f>+P35+P37+P39+P41+P43+P45+P47+P49+P51+P53+P55+P57+P59+P61+P63+P65+P67+P69+P71+P73+P75+P77+P79+P81+P83+P85+P87+P89+P91+P93+P95+P103+P110+P117+P123+P129+P138+P152+P182+P190+P249+P306+P315+P325+P388+P450+P461+P526+P581+P618+P626+P649</f>
        <v>21720754</v>
      </c>
      <c r="R654" s="6"/>
      <c r="S654" s="4" t="s">
        <v>96</v>
      </c>
      <c r="T654" s="8">
        <f>+T35+T37+T39+T41+T43+T45+T47+T49+T51+T53+T55+T57+T59+T61+T63+T65+T67+T69+T71+T73+T75+T77+T79+T81+T83+T85+T87+T89+T91+T93+T95+T103+T110+T117+T123+T129+T138+T152+T182+T190+T249+T306+T315+T325+T388+T450+T461+T526+T581+T618+T626+T649</f>
        <v>21720754</v>
      </c>
    </row>
    <row r="655" spans="1:21" ht="12.75">
      <c r="A655" s="45"/>
      <c r="B655" s="29"/>
      <c r="C655" s="23"/>
      <c r="D655" s="5"/>
      <c r="E655" s="61" t="s">
        <v>104</v>
      </c>
      <c r="F655" s="23"/>
      <c r="G655" s="95"/>
      <c r="H655" s="23"/>
      <c r="I655" s="61" t="s">
        <v>38</v>
      </c>
      <c r="J655" s="20"/>
      <c r="K655" s="9"/>
      <c r="M655" s="35"/>
      <c r="N655" s="3"/>
      <c r="P655" s="61" t="s">
        <v>39</v>
      </c>
      <c r="Q655" s="23"/>
      <c r="R655" s="24"/>
      <c r="S655" s="23"/>
      <c r="T655" s="61" t="s">
        <v>38</v>
      </c>
      <c r="U655" s="23"/>
    </row>
    <row r="656" spans="1:20" ht="12.75">
      <c r="A656" s="45"/>
      <c r="B656" s="23" t="s">
        <v>214</v>
      </c>
      <c r="D656" s="5"/>
      <c r="E656" s="139">
        <f>-21879207-4625146</f>
        <v>-26504353</v>
      </c>
      <c r="G656" s="95" t="s">
        <v>215</v>
      </c>
      <c r="H656" s="56" t="s">
        <v>98</v>
      </c>
      <c r="I656" s="8">
        <f>+PerBooks!J157</f>
        <v>289019376.85204005</v>
      </c>
      <c r="J656" s="9"/>
      <c r="K656" s="9"/>
      <c r="M656" s="36"/>
      <c r="N656" t="s">
        <v>386</v>
      </c>
      <c r="P656" s="139">
        <v>37186410</v>
      </c>
      <c r="R656" s="24" t="s">
        <v>215</v>
      </c>
      <c r="S656" s="56" t="s">
        <v>98</v>
      </c>
      <c r="T656" s="8">
        <f>+PerBooks!T157</f>
        <v>287021769.3725313</v>
      </c>
    </row>
    <row r="657" spans="1:34" ht="12.75">
      <c r="A657" s="53"/>
      <c r="B657" s="23"/>
      <c r="C657" s="23"/>
      <c r="D657" s="30"/>
      <c r="E657" s="20"/>
      <c r="F657" s="23"/>
      <c r="G657" s="95"/>
      <c r="H657" s="75" t="s">
        <v>218</v>
      </c>
      <c r="I657" s="20">
        <f>+I654+I656</f>
        <v>270336371.9155201</v>
      </c>
      <c r="J657" s="20"/>
      <c r="K657" s="20"/>
      <c r="L657" s="23"/>
      <c r="M657" s="36"/>
      <c r="N657" s="23"/>
      <c r="O657" s="23"/>
      <c r="P657" s="20"/>
      <c r="Q657" s="23"/>
      <c r="R657" s="24"/>
      <c r="S657" s="75" t="s">
        <v>218</v>
      </c>
      <c r="T657" s="20">
        <f>+T654+T656</f>
        <v>308742523.3725313</v>
      </c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</row>
    <row r="658" spans="1:34" ht="12.75">
      <c r="A658" s="53"/>
      <c r="B658" s="23"/>
      <c r="C658" s="23"/>
      <c r="D658" s="30"/>
      <c r="E658" s="20"/>
      <c r="F658" s="23"/>
      <c r="G658" s="95" t="s">
        <v>216</v>
      </c>
      <c r="H658" s="23"/>
      <c r="I658" s="140">
        <v>263205647</v>
      </c>
      <c r="J658" s="20"/>
      <c r="K658" s="20"/>
      <c r="L658" s="23"/>
      <c r="M658" s="36"/>
      <c r="N658" s="23"/>
      <c r="O658" s="23"/>
      <c r="P658" s="20"/>
      <c r="Q658" s="23"/>
      <c r="R658" s="24" t="s">
        <v>386</v>
      </c>
      <c r="S658" s="23"/>
      <c r="T658" s="140">
        <v>324208179</v>
      </c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</row>
    <row r="659" spans="1:34" ht="12.75">
      <c r="A659" s="53"/>
      <c r="B659" s="23" t="s">
        <v>19</v>
      </c>
      <c r="C659" s="23"/>
      <c r="D659" s="30"/>
      <c r="E659" s="20">
        <f>+E656-E654</f>
        <v>-7217290</v>
      </c>
      <c r="F659" s="23"/>
      <c r="G659" s="98" t="s">
        <v>19</v>
      </c>
      <c r="H659" s="23"/>
      <c r="I659" s="20">
        <f>+I658-I657</f>
        <v>-7130724.915520072</v>
      </c>
      <c r="J659" s="20"/>
      <c r="K659" s="20"/>
      <c r="L659" s="23"/>
      <c r="M659" s="36"/>
      <c r="N659" s="23" t="s">
        <v>19</v>
      </c>
      <c r="O659" s="23"/>
      <c r="P659" s="20">
        <f>+P654-P656</f>
        <v>-15465656</v>
      </c>
      <c r="Q659" s="23"/>
      <c r="R659" s="76" t="s">
        <v>19</v>
      </c>
      <c r="S659" s="23"/>
      <c r="T659" s="20">
        <f>+T657-T658</f>
        <v>-15465655.627468705</v>
      </c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</row>
    <row r="660" spans="1:34" ht="12.75">
      <c r="A660" s="53"/>
      <c r="B660" s="23"/>
      <c r="C660" s="23"/>
      <c r="D660" s="30"/>
      <c r="E660" s="20"/>
      <c r="F660" s="23"/>
      <c r="G660" s="95"/>
      <c r="H660" s="23"/>
      <c r="I660" s="20"/>
      <c r="J660" s="20"/>
      <c r="K660" s="20"/>
      <c r="L660" s="23"/>
      <c r="M660" s="23"/>
      <c r="N660" s="23"/>
      <c r="O660" s="23"/>
      <c r="P660" s="20"/>
      <c r="Q660" s="23"/>
      <c r="R660" s="24"/>
      <c r="S660" s="23"/>
      <c r="T660" s="20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</row>
    <row r="661" spans="1:34" ht="12.75">
      <c r="A661" s="53"/>
      <c r="B661" s="23"/>
      <c r="C661" s="23"/>
      <c r="D661" s="30"/>
      <c r="E661" s="20"/>
      <c r="F661" s="23"/>
      <c r="G661" s="95"/>
      <c r="H661" s="23"/>
      <c r="I661" s="20"/>
      <c r="J661" s="20"/>
      <c r="K661" s="20"/>
      <c r="L661" s="23"/>
      <c r="M661" s="23"/>
      <c r="N661" s="23"/>
      <c r="O661" s="23"/>
      <c r="P661" s="20"/>
      <c r="Q661" s="23"/>
      <c r="R661" s="24"/>
      <c r="S661" s="23"/>
      <c r="T661" s="20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</row>
    <row r="662" spans="1:34" ht="12.75">
      <c r="A662" s="53"/>
      <c r="B662" s="23"/>
      <c r="C662" s="23"/>
      <c r="D662" s="30"/>
      <c r="E662" s="20"/>
      <c r="F662" s="23"/>
      <c r="G662" s="95"/>
      <c r="H662" s="23"/>
      <c r="I662" s="20"/>
      <c r="J662" s="20"/>
      <c r="K662" s="20"/>
      <c r="L662" s="23"/>
      <c r="M662" s="23"/>
      <c r="N662" s="23"/>
      <c r="O662" s="23"/>
      <c r="P662" s="20"/>
      <c r="Q662" s="23"/>
      <c r="R662" s="24"/>
      <c r="S662" s="23"/>
      <c r="T662" s="20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</row>
    <row r="663" spans="1:34" ht="12.75">
      <c r="A663" s="53"/>
      <c r="B663" s="23"/>
      <c r="C663" s="23"/>
      <c r="D663" s="30"/>
      <c r="E663" s="20"/>
      <c r="F663" s="23"/>
      <c r="G663" s="95"/>
      <c r="H663" s="23"/>
      <c r="I663" s="20"/>
      <c r="J663" s="20"/>
      <c r="K663" s="20"/>
      <c r="L663" s="23"/>
      <c r="M663" s="23"/>
      <c r="N663" s="23"/>
      <c r="O663" s="23"/>
      <c r="P663" s="20"/>
      <c r="Q663" s="23"/>
      <c r="R663" s="24"/>
      <c r="S663" s="23"/>
      <c r="T663" s="20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</row>
    <row r="664" spans="1:34" ht="12.75">
      <c r="A664" s="53"/>
      <c r="B664" s="23"/>
      <c r="C664" s="23"/>
      <c r="D664" s="30"/>
      <c r="E664" s="20"/>
      <c r="F664" s="23"/>
      <c r="G664" s="95"/>
      <c r="H664" s="23"/>
      <c r="I664" s="20"/>
      <c r="J664" s="20"/>
      <c r="K664" s="20"/>
      <c r="L664" s="23"/>
      <c r="M664" s="23"/>
      <c r="N664" s="23"/>
      <c r="O664" s="23"/>
      <c r="P664" s="20"/>
      <c r="Q664" s="23"/>
      <c r="R664" s="24"/>
      <c r="S664" s="23"/>
      <c r="T664" s="20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</row>
    <row r="665" spans="1:34" ht="12.75">
      <c r="A665" s="53"/>
      <c r="B665" s="23"/>
      <c r="C665" s="23"/>
      <c r="D665" s="30"/>
      <c r="E665" s="20"/>
      <c r="F665" s="23"/>
      <c r="G665" s="95"/>
      <c r="H665" s="23"/>
      <c r="I665" s="20"/>
      <c r="J665" s="20"/>
      <c r="K665" s="20"/>
      <c r="L665" s="23"/>
      <c r="M665" s="23"/>
      <c r="N665" s="23"/>
      <c r="O665" s="23"/>
      <c r="P665" s="20"/>
      <c r="Q665" s="23"/>
      <c r="R665" s="24"/>
      <c r="S665" s="23"/>
      <c r="T665" s="20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</row>
    <row r="666" spans="1:34" ht="12.75">
      <c r="A666" s="53"/>
      <c r="B666" s="23"/>
      <c r="C666" s="23"/>
      <c r="D666" s="30"/>
      <c r="E666" s="20"/>
      <c r="F666" s="23"/>
      <c r="G666" s="95"/>
      <c r="H666" s="23"/>
      <c r="I666" s="20"/>
      <c r="J666" s="20"/>
      <c r="K666" s="20"/>
      <c r="L666" s="23"/>
      <c r="M666" s="23"/>
      <c r="N666" s="23"/>
      <c r="O666" s="23"/>
      <c r="P666" s="20"/>
      <c r="Q666" s="23"/>
      <c r="R666" s="24"/>
      <c r="S666" s="23"/>
      <c r="T666" s="20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</row>
    <row r="667" spans="1:34" ht="12.75">
      <c r="A667" s="53"/>
      <c r="B667" s="23"/>
      <c r="C667" s="23"/>
      <c r="D667" s="30"/>
      <c r="E667" s="20"/>
      <c r="F667" s="23"/>
      <c r="G667" s="95"/>
      <c r="H667" s="23"/>
      <c r="I667" s="20"/>
      <c r="J667" s="20"/>
      <c r="K667" s="20"/>
      <c r="L667" s="23"/>
      <c r="M667" s="23"/>
      <c r="N667" s="23"/>
      <c r="O667" s="23"/>
      <c r="P667" s="20"/>
      <c r="Q667" s="23"/>
      <c r="R667" s="24"/>
      <c r="S667" s="23"/>
      <c r="T667" s="20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</row>
    <row r="668" spans="1:34" ht="12.75">
      <c r="A668" s="53"/>
      <c r="B668" s="23"/>
      <c r="C668" s="23"/>
      <c r="D668" s="30"/>
      <c r="E668" s="20"/>
      <c r="F668" s="23"/>
      <c r="G668" s="95"/>
      <c r="H668" s="23"/>
      <c r="I668" s="20"/>
      <c r="J668" s="20"/>
      <c r="K668" s="20"/>
      <c r="L668" s="23"/>
      <c r="M668" s="23"/>
      <c r="N668" s="23"/>
      <c r="O668" s="23"/>
      <c r="P668" s="20"/>
      <c r="Q668" s="23"/>
      <c r="R668" s="24"/>
      <c r="S668" s="23"/>
      <c r="T668" s="20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</row>
    <row r="669" spans="1:34" ht="12.75">
      <c r="A669" s="53"/>
      <c r="B669" s="23"/>
      <c r="C669" s="23"/>
      <c r="D669" s="30"/>
      <c r="E669" s="20"/>
      <c r="F669" s="23"/>
      <c r="G669" s="95"/>
      <c r="H669" s="23"/>
      <c r="I669" s="20"/>
      <c r="J669" s="20"/>
      <c r="K669" s="20"/>
      <c r="L669" s="23"/>
      <c r="M669" s="23"/>
      <c r="N669" s="23"/>
      <c r="O669" s="23"/>
      <c r="P669" s="20"/>
      <c r="Q669" s="23"/>
      <c r="R669" s="24"/>
      <c r="S669" s="23"/>
      <c r="T669" s="20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</row>
    <row r="670" spans="1:34" ht="12.75">
      <c r="A670" s="53"/>
      <c r="B670" s="23"/>
      <c r="C670" s="23"/>
      <c r="D670" s="30"/>
      <c r="E670" s="20"/>
      <c r="F670" s="23"/>
      <c r="G670" s="95"/>
      <c r="H670" s="23"/>
      <c r="I670" s="20"/>
      <c r="J670" s="20"/>
      <c r="K670" s="20"/>
      <c r="L670" s="23"/>
      <c r="M670" s="23"/>
      <c r="N670" s="23"/>
      <c r="O670" s="23"/>
      <c r="P670" s="20"/>
      <c r="Q670" s="23"/>
      <c r="R670" s="24"/>
      <c r="S670" s="23"/>
      <c r="T670" s="20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</row>
    <row r="671" spans="1:34" ht="12.75">
      <c r="A671" s="53"/>
      <c r="B671" s="23"/>
      <c r="C671" s="23"/>
      <c r="D671" s="30"/>
      <c r="E671" s="20"/>
      <c r="F671" s="23"/>
      <c r="G671" s="95"/>
      <c r="H671" s="23"/>
      <c r="I671" s="20"/>
      <c r="J671" s="20"/>
      <c r="K671" s="20"/>
      <c r="L671" s="23"/>
      <c r="M671" s="23"/>
      <c r="N671" s="23"/>
      <c r="O671" s="23"/>
      <c r="P671" s="20"/>
      <c r="Q671" s="23"/>
      <c r="R671" s="24"/>
      <c r="S671" s="23"/>
      <c r="T671" s="20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</row>
    <row r="672" spans="1:34" ht="12.75">
      <c r="A672" s="53"/>
      <c r="B672" s="23"/>
      <c r="C672" s="23"/>
      <c r="D672" s="30"/>
      <c r="E672" s="20"/>
      <c r="F672" s="23"/>
      <c r="G672" s="95"/>
      <c r="H672" s="23"/>
      <c r="I672" s="20"/>
      <c r="J672" s="20"/>
      <c r="K672" s="20"/>
      <c r="L672" s="23"/>
      <c r="M672" s="23"/>
      <c r="N672" s="23"/>
      <c r="O672" s="23"/>
      <c r="P672" s="20"/>
      <c r="Q672" s="23"/>
      <c r="R672" s="24"/>
      <c r="S672" s="23"/>
      <c r="T672" s="20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</row>
    <row r="673" spans="1:34" ht="12.75">
      <c r="A673" s="53"/>
      <c r="B673" s="23"/>
      <c r="C673" s="23"/>
      <c r="D673" s="30"/>
      <c r="E673" s="20"/>
      <c r="F673" s="23"/>
      <c r="G673" s="95"/>
      <c r="H673" s="23"/>
      <c r="I673" s="20"/>
      <c r="J673" s="20"/>
      <c r="K673" s="20"/>
      <c r="L673" s="23"/>
      <c r="M673" s="23"/>
      <c r="N673" s="23"/>
      <c r="O673" s="23"/>
      <c r="P673" s="20"/>
      <c r="Q673" s="23"/>
      <c r="R673" s="24"/>
      <c r="S673" s="23"/>
      <c r="T673" s="20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</row>
    <row r="674" spans="1:34" ht="12.75">
      <c r="A674" s="53"/>
      <c r="B674" s="23"/>
      <c r="C674" s="23"/>
      <c r="D674" s="30"/>
      <c r="E674" s="20"/>
      <c r="F674" s="23"/>
      <c r="G674" s="95"/>
      <c r="H674" s="23"/>
      <c r="I674" s="20"/>
      <c r="J674" s="20"/>
      <c r="K674" s="20"/>
      <c r="L674" s="23"/>
      <c r="M674" s="23"/>
      <c r="N674" s="23"/>
      <c r="O674" s="23"/>
      <c r="P674" s="20"/>
      <c r="Q674" s="23"/>
      <c r="R674" s="24"/>
      <c r="S674" s="23"/>
      <c r="T674" s="20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</row>
    <row r="675" spans="1:34" ht="12.75">
      <c r="A675" s="53"/>
      <c r="B675" s="23"/>
      <c r="C675" s="23"/>
      <c r="D675" s="30"/>
      <c r="E675" s="20"/>
      <c r="F675" s="23"/>
      <c r="G675" s="95"/>
      <c r="H675" s="23"/>
      <c r="I675" s="20"/>
      <c r="J675" s="20"/>
      <c r="K675" s="20"/>
      <c r="L675" s="23"/>
      <c r="M675" s="23"/>
      <c r="N675" s="23"/>
      <c r="O675" s="23"/>
      <c r="P675" s="20"/>
      <c r="Q675" s="23"/>
      <c r="R675" s="24"/>
      <c r="S675" s="23"/>
      <c r="T675" s="20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</row>
    <row r="676" spans="1:34" ht="12.75">
      <c r="A676" s="53"/>
      <c r="B676" s="23"/>
      <c r="C676" s="23"/>
      <c r="D676" s="30"/>
      <c r="E676" s="20"/>
      <c r="F676" s="23"/>
      <c r="G676" s="95"/>
      <c r="H676" s="23"/>
      <c r="I676" s="20"/>
      <c r="J676" s="20"/>
      <c r="K676" s="20"/>
      <c r="L676" s="23"/>
      <c r="M676" s="23"/>
      <c r="N676" s="23"/>
      <c r="O676" s="23"/>
      <c r="P676" s="20"/>
      <c r="Q676" s="23"/>
      <c r="R676" s="24"/>
      <c r="S676" s="23"/>
      <c r="T676" s="20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</row>
    <row r="677" spans="1:34" ht="12.75">
      <c r="A677" s="53"/>
      <c r="B677" s="23"/>
      <c r="C677" s="23"/>
      <c r="D677" s="30"/>
      <c r="E677" s="20"/>
      <c r="F677" s="23"/>
      <c r="G677" s="95"/>
      <c r="H677" s="23"/>
      <c r="I677" s="20"/>
      <c r="J677" s="20"/>
      <c r="K677" s="20"/>
      <c r="L677" s="23"/>
      <c r="M677" s="23"/>
      <c r="N677" s="23"/>
      <c r="O677" s="23"/>
      <c r="P677" s="20"/>
      <c r="Q677" s="23"/>
      <c r="R677" s="24"/>
      <c r="S677" s="23"/>
      <c r="T677" s="20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</row>
    <row r="678" spans="1:34" ht="12.75">
      <c r="A678" s="53"/>
      <c r="B678" s="23"/>
      <c r="C678" s="23"/>
      <c r="D678" s="30"/>
      <c r="E678" s="20"/>
      <c r="F678" s="23"/>
      <c r="G678" s="95"/>
      <c r="H678" s="23"/>
      <c r="I678" s="20"/>
      <c r="J678" s="20"/>
      <c r="K678" s="20"/>
      <c r="L678" s="23"/>
      <c r="M678" s="23"/>
      <c r="N678" s="23"/>
      <c r="O678" s="23"/>
      <c r="P678" s="20"/>
      <c r="Q678" s="23"/>
      <c r="R678" s="24"/>
      <c r="S678" s="23"/>
      <c r="T678" s="20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</row>
    <row r="679" spans="1:34" ht="12.75">
      <c r="A679" s="53"/>
      <c r="B679" s="23"/>
      <c r="C679" s="23"/>
      <c r="D679" s="30"/>
      <c r="E679" s="20"/>
      <c r="F679" s="23"/>
      <c r="G679" s="95"/>
      <c r="H679" s="23"/>
      <c r="I679" s="20"/>
      <c r="J679" s="20"/>
      <c r="K679" s="20"/>
      <c r="L679" s="23"/>
      <c r="M679" s="23"/>
      <c r="N679" s="23"/>
      <c r="O679" s="23"/>
      <c r="P679" s="20"/>
      <c r="Q679" s="23"/>
      <c r="R679" s="24"/>
      <c r="S679" s="23"/>
      <c r="T679" s="20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</row>
    <row r="680" spans="1:34" ht="12.75">
      <c r="A680" s="53"/>
      <c r="B680" s="23"/>
      <c r="C680" s="23"/>
      <c r="D680" s="30"/>
      <c r="E680" s="20"/>
      <c r="F680" s="23"/>
      <c r="G680" s="95"/>
      <c r="H680" s="23"/>
      <c r="I680" s="20"/>
      <c r="J680" s="20"/>
      <c r="K680" s="20"/>
      <c r="L680" s="23"/>
      <c r="M680" s="23"/>
      <c r="N680" s="23"/>
      <c r="O680" s="23"/>
      <c r="P680" s="20"/>
      <c r="Q680" s="23"/>
      <c r="R680" s="24"/>
      <c r="S680" s="23"/>
      <c r="T680" s="20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</row>
    <row r="681" spans="1:34" ht="12.75">
      <c r="A681" s="53"/>
      <c r="B681" s="23"/>
      <c r="C681" s="23"/>
      <c r="D681" s="30"/>
      <c r="E681" s="20"/>
      <c r="F681" s="23"/>
      <c r="G681" s="95"/>
      <c r="H681" s="23"/>
      <c r="I681" s="20"/>
      <c r="J681" s="20"/>
      <c r="K681" s="20"/>
      <c r="L681" s="23"/>
      <c r="M681" s="23"/>
      <c r="N681" s="23"/>
      <c r="O681" s="23"/>
      <c r="P681" s="20"/>
      <c r="Q681" s="23"/>
      <c r="R681" s="24"/>
      <c r="S681" s="23"/>
      <c r="T681" s="20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</row>
    <row r="682" spans="1:34" ht="12.75">
      <c r="A682" s="53"/>
      <c r="B682" s="23"/>
      <c r="C682" s="23"/>
      <c r="D682" s="30"/>
      <c r="E682" s="20"/>
      <c r="F682" s="23"/>
      <c r="G682" s="95"/>
      <c r="H682" s="23"/>
      <c r="I682" s="20"/>
      <c r="J682" s="20"/>
      <c r="K682" s="20"/>
      <c r="L682" s="23"/>
      <c r="M682" s="23"/>
      <c r="N682" s="23"/>
      <c r="O682" s="23"/>
      <c r="P682" s="20"/>
      <c r="Q682" s="23"/>
      <c r="R682" s="24"/>
      <c r="S682" s="23"/>
      <c r="T682" s="20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</row>
    <row r="683" spans="1:34" ht="12.75">
      <c r="A683" s="53"/>
      <c r="B683" s="23"/>
      <c r="C683" s="23"/>
      <c r="D683" s="30"/>
      <c r="E683" s="20"/>
      <c r="F683" s="23"/>
      <c r="G683" s="95"/>
      <c r="H683" s="23"/>
      <c r="I683" s="20"/>
      <c r="J683" s="20"/>
      <c r="K683" s="20"/>
      <c r="L683" s="23"/>
      <c r="M683" s="23"/>
      <c r="N683" s="23"/>
      <c r="O683" s="23"/>
      <c r="P683" s="20"/>
      <c r="Q683" s="23"/>
      <c r="R683" s="24"/>
      <c r="S683" s="23"/>
      <c r="T683" s="20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</row>
    <row r="684" spans="1:34" ht="12.75">
      <c r="A684" s="53"/>
      <c r="B684" s="23"/>
      <c r="C684" s="23"/>
      <c r="D684" s="30"/>
      <c r="E684" s="20"/>
      <c r="F684" s="23"/>
      <c r="G684" s="95"/>
      <c r="H684" s="23"/>
      <c r="I684" s="20"/>
      <c r="J684" s="20"/>
      <c r="K684" s="20"/>
      <c r="L684" s="23"/>
      <c r="M684" s="23"/>
      <c r="N684" s="23"/>
      <c r="O684" s="23"/>
      <c r="P684" s="20"/>
      <c r="Q684" s="23"/>
      <c r="R684" s="24"/>
      <c r="S684" s="23"/>
      <c r="T684" s="20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</row>
    <row r="685" spans="1:34" ht="12.75">
      <c r="A685" s="53"/>
      <c r="B685" s="23"/>
      <c r="C685" s="23"/>
      <c r="D685" s="30"/>
      <c r="E685" s="20"/>
      <c r="F685" s="23"/>
      <c r="G685" s="95"/>
      <c r="H685" s="23"/>
      <c r="I685" s="20"/>
      <c r="J685" s="20"/>
      <c r="K685" s="20"/>
      <c r="L685" s="23"/>
      <c r="M685" s="23"/>
      <c r="N685" s="23"/>
      <c r="O685" s="23"/>
      <c r="P685" s="20"/>
      <c r="Q685" s="23"/>
      <c r="R685" s="24"/>
      <c r="S685" s="23"/>
      <c r="T685" s="20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</row>
    <row r="686" spans="1:34" ht="12.75">
      <c r="A686" s="53"/>
      <c r="B686" s="23"/>
      <c r="C686" s="23"/>
      <c r="D686" s="30"/>
      <c r="E686" s="20"/>
      <c r="F686" s="23"/>
      <c r="G686" s="95"/>
      <c r="H686" s="23"/>
      <c r="I686" s="20"/>
      <c r="J686" s="20"/>
      <c r="K686" s="20"/>
      <c r="L686" s="23"/>
      <c r="M686" s="23"/>
      <c r="N686" s="23"/>
      <c r="O686" s="23"/>
      <c r="P686" s="20"/>
      <c r="Q686" s="23"/>
      <c r="R686" s="24"/>
      <c r="S686" s="23"/>
      <c r="T686" s="20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</row>
    <row r="687" spans="1:34" ht="12.75">
      <c r="A687" s="53"/>
      <c r="B687" s="23"/>
      <c r="C687" s="23"/>
      <c r="D687" s="30"/>
      <c r="E687" s="20"/>
      <c r="F687" s="23"/>
      <c r="G687" s="95"/>
      <c r="H687" s="23"/>
      <c r="I687" s="20"/>
      <c r="J687" s="20"/>
      <c r="K687" s="20"/>
      <c r="L687" s="23"/>
      <c r="M687" s="23"/>
      <c r="N687" s="23"/>
      <c r="O687" s="23"/>
      <c r="P687" s="20"/>
      <c r="Q687" s="23"/>
      <c r="R687" s="24"/>
      <c r="S687" s="23"/>
      <c r="T687" s="20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</row>
    <row r="688" spans="1:34" ht="12.75">
      <c r="A688" s="53"/>
      <c r="B688" s="23"/>
      <c r="C688" s="23"/>
      <c r="D688" s="30"/>
      <c r="E688" s="20"/>
      <c r="F688" s="23"/>
      <c r="G688" s="95"/>
      <c r="H688" s="23"/>
      <c r="I688" s="20"/>
      <c r="J688" s="20"/>
      <c r="K688" s="20"/>
      <c r="L688" s="23"/>
      <c r="M688" s="23"/>
      <c r="N688" s="23"/>
      <c r="O688" s="23"/>
      <c r="P688" s="20"/>
      <c r="Q688" s="23"/>
      <c r="R688" s="24"/>
      <c r="S688" s="23"/>
      <c r="T688" s="20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</row>
    <row r="689" spans="1:34" ht="12.75">
      <c r="A689" s="53"/>
      <c r="B689" s="23"/>
      <c r="C689" s="23"/>
      <c r="D689" s="30"/>
      <c r="E689" s="20"/>
      <c r="F689" s="23"/>
      <c r="G689" s="95"/>
      <c r="H689" s="23"/>
      <c r="I689" s="20"/>
      <c r="J689" s="20"/>
      <c r="K689" s="20"/>
      <c r="L689" s="23"/>
      <c r="M689" s="23"/>
      <c r="N689" s="23"/>
      <c r="O689" s="23"/>
      <c r="P689" s="20"/>
      <c r="Q689" s="23"/>
      <c r="R689" s="24"/>
      <c r="S689" s="23"/>
      <c r="T689" s="20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</row>
    <row r="690" spans="1:34" ht="12.75">
      <c r="A690" s="53"/>
      <c r="B690" s="23"/>
      <c r="C690" s="23"/>
      <c r="D690" s="30"/>
      <c r="E690" s="20"/>
      <c r="F690" s="23"/>
      <c r="G690" s="95"/>
      <c r="H690" s="23"/>
      <c r="I690" s="20"/>
      <c r="J690" s="20"/>
      <c r="K690" s="20"/>
      <c r="L690" s="23"/>
      <c r="M690" s="23"/>
      <c r="N690" s="23"/>
      <c r="O690" s="23"/>
      <c r="P690" s="20"/>
      <c r="Q690" s="23"/>
      <c r="R690" s="24"/>
      <c r="S690" s="23"/>
      <c r="T690" s="20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</row>
    <row r="691" spans="1:34" ht="12.75">
      <c r="A691" s="53"/>
      <c r="B691" s="23"/>
      <c r="C691" s="23"/>
      <c r="D691" s="30"/>
      <c r="E691" s="20"/>
      <c r="F691" s="23"/>
      <c r="G691" s="95"/>
      <c r="H691" s="23"/>
      <c r="I691" s="20"/>
      <c r="J691" s="20"/>
      <c r="K691" s="20"/>
      <c r="L691" s="23"/>
      <c r="M691" s="23"/>
      <c r="N691" s="23"/>
      <c r="O691" s="23"/>
      <c r="P691" s="20"/>
      <c r="Q691" s="23"/>
      <c r="R691" s="24"/>
      <c r="S691" s="23"/>
      <c r="T691" s="20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</row>
    <row r="692" spans="1:34" ht="12.75">
      <c r="A692" s="53"/>
      <c r="B692" s="23"/>
      <c r="C692" s="23"/>
      <c r="D692" s="30"/>
      <c r="E692" s="20"/>
      <c r="F692" s="23"/>
      <c r="G692" s="95"/>
      <c r="H692" s="23"/>
      <c r="I692" s="20"/>
      <c r="J692" s="20"/>
      <c r="K692" s="20"/>
      <c r="L692" s="23"/>
      <c r="M692" s="23"/>
      <c r="N692" s="23"/>
      <c r="O692" s="23"/>
      <c r="P692" s="20"/>
      <c r="Q692" s="23"/>
      <c r="R692" s="24"/>
      <c r="S692" s="23"/>
      <c r="T692" s="20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</row>
    <row r="693" spans="1:34" ht="12.75">
      <c r="A693" s="53"/>
      <c r="B693" s="23"/>
      <c r="C693" s="23"/>
      <c r="D693" s="30"/>
      <c r="E693" s="23"/>
      <c r="F693" s="23"/>
      <c r="G693" s="95"/>
      <c r="H693" s="23"/>
      <c r="I693" s="20"/>
      <c r="J693" s="20"/>
      <c r="K693" s="20"/>
      <c r="L693" s="23"/>
      <c r="M693" s="23"/>
      <c r="N693" s="23"/>
      <c r="O693" s="23"/>
      <c r="P693" s="20"/>
      <c r="Q693" s="23"/>
      <c r="R693" s="24"/>
      <c r="S693" s="23"/>
      <c r="T693" s="20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</row>
    <row r="694" spans="1:34" ht="12.75">
      <c r="A694" s="53"/>
      <c r="B694" s="23"/>
      <c r="C694" s="23"/>
      <c r="D694" s="30"/>
      <c r="E694" s="23"/>
      <c r="F694" s="23"/>
      <c r="G694" s="95"/>
      <c r="H694" s="23"/>
      <c r="I694" s="20"/>
      <c r="J694" s="20"/>
      <c r="K694" s="20"/>
      <c r="L694" s="23"/>
      <c r="M694" s="23"/>
      <c r="N694" s="23"/>
      <c r="O694" s="23"/>
      <c r="P694" s="20"/>
      <c r="Q694" s="23"/>
      <c r="R694" s="24"/>
      <c r="S694" s="23"/>
      <c r="T694" s="20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</row>
    <row r="695" spans="1:34" ht="12.75">
      <c r="A695" s="53"/>
      <c r="B695" s="23"/>
      <c r="C695" s="23"/>
      <c r="D695" s="30"/>
      <c r="E695" s="23"/>
      <c r="F695" s="23"/>
      <c r="G695" s="95"/>
      <c r="H695" s="23"/>
      <c r="I695" s="20"/>
      <c r="J695" s="20"/>
      <c r="K695" s="20"/>
      <c r="L695" s="23"/>
      <c r="M695" s="23"/>
      <c r="N695" s="23"/>
      <c r="O695" s="23"/>
      <c r="P695" s="20"/>
      <c r="Q695" s="23"/>
      <c r="R695" s="24"/>
      <c r="S695" s="23"/>
      <c r="T695" s="20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</row>
    <row r="696" spans="1:34" ht="12.75">
      <c r="A696" s="53"/>
      <c r="B696" s="23"/>
      <c r="C696" s="23"/>
      <c r="D696" s="30"/>
      <c r="E696" s="23"/>
      <c r="F696" s="23"/>
      <c r="G696" s="95"/>
      <c r="H696" s="23"/>
      <c r="I696" s="20"/>
      <c r="J696" s="20"/>
      <c r="K696" s="20"/>
      <c r="L696" s="23"/>
      <c r="M696" s="23"/>
      <c r="N696" s="23"/>
      <c r="O696" s="23"/>
      <c r="P696" s="20"/>
      <c r="Q696" s="23"/>
      <c r="R696" s="24"/>
      <c r="S696" s="23"/>
      <c r="T696" s="20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</row>
    <row r="697" spans="1:34" ht="12.75">
      <c r="A697" s="53"/>
      <c r="B697" s="23"/>
      <c r="C697" s="23"/>
      <c r="D697" s="30"/>
      <c r="E697" s="23"/>
      <c r="F697" s="23"/>
      <c r="G697" s="95"/>
      <c r="H697" s="23"/>
      <c r="I697" s="20"/>
      <c r="J697" s="20"/>
      <c r="K697" s="20"/>
      <c r="L697" s="23"/>
      <c r="M697" s="23"/>
      <c r="N697" s="23"/>
      <c r="O697" s="23"/>
      <c r="P697" s="20"/>
      <c r="Q697" s="23"/>
      <c r="R697" s="24"/>
      <c r="S697" s="23"/>
      <c r="T697" s="20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</row>
    <row r="698" spans="1:34" ht="12.75">
      <c r="A698" s="53"/>
      <c r="B698" s="23"/>
      <c r="C698" s="23"/>
      <c r="D698" s="30"/>
      <c r="E698" s="23"/>
      <c r="F698" s="23"/>
      <c r="G698" s="95"/>
      <c r="H698" s="23"/>
      <c r="I698" s="20"/>
      <c r="J698" s="20"/>
      <c r="K698" s="20"/>
      <c r="L698" s="23"/>
      <c r="M698" s="23"/>
      <c r="N698" s="23"/>
      <c r="O698" s="23"/>
      <c r="P698" s="20"/>
      <c r="Q698" s="23"/>
      <c r="R698" s="24"/>
      <c r="S698" s="23"/>
      <c r="T698" s="20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</row>
    <row r="699" spans="1:34" ht="12.75">
      <c r="A699" s="53"/>
      <c r="B699" s="23"/>
      <c r="C699" s="23"/>
      <c r="D699" s="30"/>
      <c r="E699" s="23"/>
      <c r="F699" s="23"/>
      <c r="G699" s="95"/>
      <c r="H699" s="23"/>
      <c r="I699" s="20"/>
      <c r="J699" s="20"/>
      <c r="K699" s="20"/>
      <c r="L699" s="23"/>
      <c r="M699" s="23"/>
      <c r="N699" s="23"/>
      <c r="O699" s="23"/>
      <c r="P699" s="20"/>
      <c r="Q699" s="23"/>
      <c r="R699" s="24"/>
      <c r="S699" s="23"/>
      <c r="T699" s="20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</row>
    <row r="700" spans="1:34" ht="12.75">
      <c r="A700" s="53"/>
      <c r="B700" s="23"/>
      <c r="C700" s="23"/>
      <c r="D700" s="30"/>
      <c r="E700" s="23"/>
      <c r="F700" s="23"/>
      <c r="G700" s="95"/>
      <c r="H700" s="23"/>
      <c r="I700" s="20"/>
      <c r="J700" s="20"/>
      <c r="K700" s="20"/>
      <c r="L700" s="23"/>
      <c r="M700" s="23"/>
      <c r="N700" s="23"/>
      <c r="O700" s="23"/>
      <c r="P700" s="20"/>
      <c r="Q700" s="23"/>
      <c r="R700" s="24"/>
      <c r="S700" s="23"/>
      <c r="T700" s="20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</row>
    <row r="701" spans="1:34" ht="12.75">
      <c r="A701" s="53"/>
      <c r="B701" s="23"/>
      <c r="C701" s="23"/>
      <c r="D701" s="30"/>
      <c r="E701" s="23"/>
      <c r="F701" s="23"/>
      <c r="G701" s="95"/>
      <c r="H701" s="23"/>
      <c r="I701" s="20"/>
      <c r="J701" s="20"/>
      <c r="K701" s="20"/>
      <c r="L701" s="23"/>
      <c r="M701" s="23"/>
      <c r="N701" s="23"/>
      <c r="O701" s="23"/>
      <c r="P701" s="20"/>
      <c r="Q701" s="23"/>
      <c r="R701" s="24"/>
      <c r="S701" s="23"/>
      <c r="T701" s="20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</row>
    <row r="702" spans="1:34" ht="12.75">
      <c r="A702" s="53"/>
      <c r="B702" s="23"/>
      <c r="C702" s="23"/>
      <c r="D702" s="30"/>
      <c r="E702" s="23"/>
      <c r="F702" s="23"/>
      <c r="G702" s="95"/>
      <c r="H702" s="23"/>
      <c r="I702" s="20"/>
      <c r="J702" s="20"/>
      <c r="K702" s="20"/>
      <c r="L702" s="23"/>
      <c r="M702" s="23"/>
      <c r="N702" s="23"/>
      <c r="O702" s="23"/>
      <c r="P702" s="20"/>
      <c r="Q702" s="23"/>
      <c r="R702" s="24"/>
      <c r="S702" s="23"/>
      <c r="T702" s="20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</row>
    <row r="703" spans="1:34" ht="12.75">
      <c r="A703" s="53"/>
      <c r="B703" s="23"/>
      <c r="C703" s="23"/>
      <c r="D703" s="30"/>
      <c r="E703" s="23"/>
      <c r="F703" s="23"/>
      <c r="G703" s="95"/>
      <c r="H703" s="23"/>
      <c r="I703" s="20"/>
      <c r="J703" s="20"/>
      <c r="K703" s="20"/>
      <c r="L703" s="23"/>
      <c r="M703" s="23"/>
      <c r="N703" s="23"/>
      <c r="O703" s="23"/>
      <c r="P703" s="20"/>
      <c r="Q703" s="23"/>
      <c r="R703" s="24"/>
      <c r="S703" s="23"/>
      <c r="T703" s="20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</row>
    <row r="704" spans="1:34" ht="12.75">
      <c r="A704" s="53"/>
      <c r="B704" s="23"/>
      <c r="C704" s="23"/>
      <c r="D704" s="30"/>
      <c r="E704" s="23"/>
      <c r="F704" s="23"/>
      <c r="G704" s="95"/>
      <c r="H704" s="23"/>
      <c r="I704" s="20"/>
      <c r="J704" s="20"/>
      <c r="K704" s="20"/>
      <c r="L704" s="23"/>
      <c r="M704" s="23"/>
      <c r="N704" s="23"/>
      <c r="O704" s="23"/>
      <c r="P704" s="20"/>
      <c r="Q704" s="23"/>
      <c r="R704" s="24"/>
      <c r="S704" s="23"/>
      <c r="T704" s="20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</row>
    <row r="705" spans="1:20" ht="12.75">
      <c r="A705" s="45"/>
      <c r="D705" s="5"/>
      <c r="G705" s="88"/>
      <c r="I705" s="9"/>
      <c r="J705" s="9"/>
      <c r="K705" s="9"/>
      <c r="P705" s="9"/>
      <c r="R705" s="6"/>
      <c r="T705" s="9"/>
    </row>
    <row r="706" spans="1:20" ht="12.75">
      <c r="A706" s="45"/>
      <c r="D706" s="5"/>
      <c r="G706" s="88"/>
      <c r="I706" s="9"/>
      <c r="J706" s="9"/>
      <c r="K706" s="9"/>
      <c r="P706" s="9"/>
      <c r="R706" s="6"/>
      <c r="T706" s="9"/>
    </row>
    <row r="707" spans="1:20" ht="12.75">
      <c r="A707" s="45"/>
      <c r="D707" s="5"/>
      <c r="G707" s="88"/>
      <c r="I707" s="9"/>
      <c r="P707" s="9"/>
      <c r="R707" s="6"/>
      <c r="T707" s="9"/>
    </row>
    <row r="708" spans="1:20" ht="12.75">
      <c r="A708" s="45"/>
      <c r="D708" s="5"/>
      <c r="G708" s="88"/>
      <c r="I708" s="9"/>
      <c r="P708" s="9"/>
      <c r="R708" s="6"/>
      <c r="T708" s="9"/>
    </row>
    <row r="709" spans="1:20" ht="12.75">
      <c r="A709" s="45"/>
      <c r="D709" s="5"/>
      <c r="G709" s="88"/>
      <c r="I709" s="9"/>
      <c r="P709" s="9"/>
      <c r="R709" s="6"/>
      <c r="T709" s="9"/>
    </row>
    <row r="710" spans="1:20" ht="12.75">
      <c r="A710" s="45"/>
      <c r="D710" s="5"/>
      <c r="G710" s="88"/>
      <c r="I710" s="9"/>
      <c r="P710" s="9"/>
      <c r="R710" s="6"/>
      <c r="T710" s="9"/>
    </row>
    <row r="711" spans="1:20" ht="12.75">
      <c r="A711" s="45"/>
      <c r="D711" s="5"/>
      <c r="G711" s="88"/>
      <c r="P711" s="9"/>
      <c r="R711" s="6"/>
      <c r="T711" s="9"/>
    </row>
    <row r="712" spans="1:20" ht="12.75">
      <c r="A712" s="45"/>
      <c r="D712" s="5"/>
      <c r="G712" s="88"/>
      <c r="P712" s="9"/>
      <c r="R712" s="6"/>
      <c r="T712" s="9"/>
    </row>
    <row r="713" spans="1:20" ht="12.75">
      <c r="A713" s="45"/>
      <c r="D713" s="5"/>
      <c r="G713" s="88"/>
      <c r="P713" s="9"/>
      <c r="R713" s="6"/>
      <c r="T713" s="9"/>
    </row>
    <row r="714" spans="1:20" ht="12.75">
      <c r="A714" s="45"/>
      <c r="D714" s="5"/>
      <c r="G714" s="88"/>
      <c r="R714" s="6"/>
      <c r="T714" s="9"/>
    </row>
    <row r="715" spans="1:20" ht="12.75">
      <c r="A715" s="45"/>
      <c r="D715" s="5"/>
      <c r="G715" s="88"/>
      <c r="R715" s="6"/>
      <c r="T715" s="9"/>
    </row>
    <row r="716" spans="1:20" ht="12.75">
      <c r="A716" s="45"/>
      <c r="D716" s="5"/>
      <c r="G716" s="88"/>
      <c r="R716" s="6"/>
      <c r="T716" s="9"/>
    </row>
    <row r="717" spans="1:20" ht="12.75">
      <c r="A717" s="45"/>
      <c r="D717" s="5"/>
      <c r="G717" s="88"/>
      <c r="R717" s="6"/>
      <c r="T717" s="9"/>
    </row>
    <row r="718" spans="1:20" ht="12.75">
      <c r="A718" s="45"/>
      <c r="D718" s="5"/>
      <c r="G718" s="88"/>
      <c r="R718" s="6"/>
      <c r="T718" s="9"/>
    </row>
    <row r="719" spans="1:20" ht="12.75">
      <c r="A719" s="45"/>
      <c r="D719" s="5"/>
      <c r="G719" s="88"/>
      <c r="R719" s="6"/>
      <c r="T719" s="9"/>
    </row>
    <row r="720" spans="1:20" ht="12.75">
      <c r="A720" s="45"/>
      <c r="D720" s="5"/>
      <c r="G720" s="88"/>
      <c r="R720" s="6"/>
      <c r="T720" s="9"/>
    </row>
    <row r="721" spans="1:20" ht="12.75">
      <c r="A721" s="45"/>
      <c r="D721" s="5"/>
      <c r="G721" s="88"/>
      <c r="R721" s="6"/>
      <c r="T721" s="9"/>
    </row>
    <row r="722" spans="1:20" ht="12.75">
      <c r="A722" s="45"/>
      <c r="D722" s="5"/>
      <c r="G722" s="88"/>
      <c r="R722" s="6"/>
      <c r="T722" s="9"/>
    </row>
    <row r="723" spans="1:20" ht="12.75">
      <c r="A723" s="45"/>
      <c r="D723" s="5"/>
      <c r="G723" s="88"/>
      <c r="R723" s="6"/>
      <c r="T723" s="9"/>
    </row>
    <row r="724" spans="1:20" ht="12.75">
      <c r="A724" s="45"/>
      <c r="D724" s="5"/>
      <c r="G724" s="88"/>
      <c r="R724" s="6"/>
      <c r="T724" s="9"/>
    </row>
    <row r="725" spans="1:20" ht="12.75">
      <c r="A725" s="45"/>
      <c r="D725" s="5"/>
      <c r="R725" s="6"/>
      <c r="T725" s="9"/>
    </row>
    <row r="726" spans="1:20" ht="12.75">
      <c r="A726" s="45"/>
      <c r="D726" s="5"/>
      <c r="R726" s="6"/>
      <c r="T726" s="9"/>
    </row>
    <row r="727" spans="1:20" ht="12.75">
      <c r="A727" s="45"/>
      <c r="D727" s="5"/>
      <c r="R727" s="6"/>
      <c r="T727" s="9"/>
    </row>
    <row r="728" spans="1:20" ht="12.75">
      <c r="A728" s="45"/>
      <c r="D728" s="5"/>
      <c r="R728" s="6"/>
      <c r="T728" s="9"/>
    </row>
    <row r="729" spans="1:20" ht="12.75">
      <c r="A729" s="45"/>
      <c r="D729" s="5"/>
      <c r="R729" s="6"/>
      <c r="T729" s="9"/>
    </row>
    <row r="730" spans="1:20" ht="12.75">
      <c r="A730" s="45"/>
      <c r="D730" s="5"/>
      <c r="R730" s="6"/>
      <c r="T730" s="9"/>
    </row>
    <row r="731" spans="1:20" ht="12.75">
      <c r="A731" s="45"/>
      <c r="D731" s="5"/>
      <c r="R731" s="6"/>
      <c r="T731" s="9"/>
    </row>
    <row r="732" spans="4:20" ht="12.75">
      <c r="D732" s="5"/>
      <c r="R732" s="6"/>
      <c r="T732" s="9"/>
    </row>
    <row r="733" spans="4:20" ht="12.75">
      <c r="D733" s="5"/>
      <c r="R733" s="6"/>
      <c r="T733" s="9"/>
    </row>
    <row r="734" spans="4:20" ht="12.75">
      <c r="D734" s="5"/>
      <c r="T734" s="9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101"/>
    </row>
    <row r="817" ht="12.75">
      <c r="D817" s="101"/>
    </row>
    <row r="818" ht="12.75">
      <c r="D818" s="101"/>
    </row>
    <row r="819" ht="12.75">
      <c r="D819" s="101"/>
    </row>
    <row r="820" ht="12.75">
      <c r="D820" s="101"/>
    </row>
    <row r="821" ht="12.75">
      <c r="D821" s="101"/>
    </row>
    <row r="822" ht="12.75">
      <c r="D822" s="101"/>
    </row>
    <row r="823" ht="12.75">
      <c r="D823" s="101"/>
    </row>
    <row r="824" ht="12.75">
      <c r="D824" s="101"/>
    </row>
    <row r="825" ht="12.75">
      <c r="D825" s="101"/>
    </row>
    <row r="826" ht="12.75">
      <c r="D826" s="101"/>
    </row>
    <row r="827" ht="12.75">
      <c r="D827" s="101"/>
    </row>
    <row r="828" ht="12.75">
      <c r="D828" s="101"/>
    </row>
    <row r="829" ht="12.75">
      <c r="D829" s="101"/>
    </row>
    <row r="830" ht="12.75">
      <c r="D830" s="101"/>
    </row>
    <row r="831" ht="12.75">
      <c r="D831" s="101"/>
    </row>
    <row r="832" ht="12.75">
      <c r="D832" s="101"/>
    </row>
    <row r="833" ht="12.75">
      <c r="D833" s="101"/>
    </row>
    <row r="834" ht="12.75">
      <c r="D834" s="101"/>
    </row>
    <row r="835" ht="12.75">
      <c r="D835" s="101"/>
    </row>
    <row r="836" ht="12.75">
      <c r="D836" s="101"/>
    </row>
    <row r="837" ht="12.75">
      <c r="D837" s="101"/>
    </row>
    <row r="838" ht="12.75">
      <c r="D838" s="101"/>
    </row>
    <row r="839" ht="12.75">
      <c r="D839" s="101"/>
    </row>
    <row r="840" ht="12.75">
      <c r="D840" s="101"/>
    </row>
    <row r="841" ht="12.75">
      <c r="D841" s="101"/>
    </row>
    <row r="842" ht="12.75">
      <c r="D842" s="101"/>
    </row>
    <row r="843" ht="12.75">
      <c r="D843" s="101"/>
    </row>
    <row r="844" ht="12.75">
      <c r="D844" s="101"/>
    </row>
    <row r="845" ht="12.75">
      <c r="D845" s="101"/>
    </row>
    <row r="846" ht="12.75">
      <c r="D846" s="101"/>
    </row>
    <row r="847" ht="12.75">
      <c r="D847" s="101"/>
    </row>
    <row r="848" ht="12.75">
      <c r="D848" s="101"/>
    </row>
    <row r="849" ht="12.75">
      <c r="D849" s="101"/>
    </row>
    <row r="850" ht="12.75">
      <c r="D850" s="101"/>
    </row>
    <row r="851" ht="12.75">
      <c r="D851" s="101"/>
    </row>
    <row r="852" ht="12.75">
      <c r="D852" s="101"/>
    </row>
    <row r="853" ht="12.75">
      <c r="D853" s="101"/>
    </row>
    <row r="854" ht="12.75">
      <c r="D854" s="101"/>
    </row>
    <row r="855" ht="12.75">
      <c r="D855" s="101"/>
    </row>
    <row r="856" ht="12.75">
      <c r="D856" s="101"/>
    </row>
    <row r="857" ht="12.75">
      <c r="D857" s="101"/>
    </row>
    <row r="858" ht="12.75">
      <c r="D858" s="101"/>
    </row>
    <row r="859" ht="12.75">
      <c r="D859" s="101"/>
    </row>
    <row r="860" ht="12.75">
      <c r="D860" s="101"/>
    </row>
    <row r="861" ht="12.75">
      <c r="D861" s="101"/>
    </row>
    <row r="862" ht="12.75">
      <c r="D862" s="101"/>
    </row>
    <row r="863" ht="12.75">
      <c r="D863" s="101"/>
    </row>
    <row r="864" ht="12.75">
      <c r="D864" s="101"/>
    </row>
    <row r="865" ht="12.75">
      <c r="D865" s="101"/>
    </row>
    <row r="866" ht="12.75">
      <c r="D866" s="101"/>
    </row>
    <row r="867" ht="12.75">
      <c r="D867" s="101"/>
    </row>
    <row r="868" ht="12.75">
      <c r="D868" s="101"/>
    </row>
    <row r="869" ht="12.75">
      <c r="D869" s="101"/>
    </row>
    <row r="870" ht="12.75">
      <c r="D870" s="101"/>
    </row>
    <row r="871" ht="12.75">
      <c r="D871" s="101"/>
    </row>
    <row r="872" ht="12.75">
      <c r="D872" s="101"/>
    </row>
    <row r="873" ht="12.75">
      <c r="D873" s="101"/>
    </row>
    <row r="874" ht="12.75">
      <c r="D874" s="101"/>
    </row>
    <row r="875" ht="12.75">
      <c r="D875" s="101"/>
    </row>
    <row r="876" ht="12.75">
      <c r="D876" s="101"/>
    </row>
    <row r="877" ht="12.75">
      <c r="D877" s="101"/>
    </row>
    <row r="878" ht="12.75">
      <c r="D878" s="101"/>
    </row>
    <row r="879" ht="12.75">
      <c r="D879" s="101"/>
    </row>
    <row r="880" ht="12.75">
      <c r="D880" s="101"/>
    </row>
    <row r="881" ht="12.75">
      <c r="D881" s="101"/>
    </row>
    <row r="882" ht="12.75">
      <c r="D882" s="101"/>
    </row>
    <row r="883" ht="12.75">
      <c r="D883" s="101"/>
    </row>
    <row r="884" ht="12.75">
      <c r="D884" s="101"/>
    </row>
    <row r="885" ht="12.75">
      <c r="D885" s="101"/>
    </row>
    <row r="886" ht="12.75">
      <c r="D886" s="101"/>
    </row>
    <row r="887" ht="12.75">
      <c r="D887" s="101"/>
    </row>
  </sheetData>
  <printOptions/>
  <pageMargins left="0.25" right="0.25" top="0.25" bottom="0.25" header="0.5" footer="0.5"/>
  <pageSetup fitToHeight="0" fitToWidth="1" horizontalDpi="300" verticalDpi="300" orientation="landscape" scale="57" r:id="rId3"/>
  <headerFooter alignWithMargins="0">
    <oddFooter>&amp;LPage &amp;P of &amp;N</oddFooter>
  </headerFooter>
  <rowBreaks count="3" manualBreakCount="3">
    <brk id="62" max="20" man="1"/>
    <brk id="153" max="255" man="1"/>
    <brk id="18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83"/>
  <sheetViews>
    <sheetView workbookViewId="0" topLeftCell="A190">
      <selection activeCell="B202" sqref="B202"/>
    </sheetView>
  </sheetViews>
  <sheetFormatPr defaultColWidth="9.140625" defaultRowHeight="12.75"/>
  <cols>
    <col min="1" max="1" width="7.7109375" style="0" customWidth="1"/>
    <col min="2" max="2" width="38.28125" style="0" bestFit="1" customWidth="1"/>
    <col min="3" max="3" width="8.7109375" style="0" customWidth="1"/>
    <col min="4" max="4" width="12.7109375" style="0" customWidth="1"/>
    <col min="5" max="5" width="7.7109375" style="0" customWidth="1"/>
    <col min="6" max="6" width="12.7109375" style="0" customWidth="1"/>
    <col min="7" max="7" width="3.7109375" style="0" customWidth="1"/>
    <col min="8" max="8" width="12.7109375" style="0" customWidth="1"/>
    <col min="9" max="9" width="3.7109375" style="0" customWidth="1"/>
    <col min="10" max="10" width="9.8515625" style="0" bestFit="1" customWidth="1"/>
    <col min="11" max="11" width="3.7109375" style="0" customWidth="1"/>
    <col min="12" max="12" width="12.7109375" style="0" customWidth="1"/>
    <col min="13" max="13" width="4.7109375" style="0" customWidth="1"/>
    <col min="14" max="14" width="12.00390625" style="0" bestFit="1" customWidth="1"/>
    <col min="15" max="15" width="3.7109375" style="0" customWidth="1"/>
    <col min="16" max="16" width="12.7109375" style="0" customWidth="1"/>
    <col min="17" max="17" width="15.28125" style="0" bestFit="1" customWidth="1"/>
  </cols>
  <sheetData>
    <row r="2" spans="1:17" ht="18">
      <c r="A2" s="36"/>
      <c r="B2" s="36"/>
      <c r="C2" s="36"/>
      <c r="D2" s="36"/>
      <c r="E2" s="148" t="s">
        <v>62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>
      <c r="A4" s="36"/>
      <c r="B4" s="36"/>
      <c r="C4" s="36"/>
      <c r="D4" s="36"/>
      <c r="E4" s="36"/>
      <c r="F4" s="36" t="str">
        <f>+'Rev.Requirement'!E4</f>
        <v>Missouri Public Service Division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36"/>
      <c r="B6" s="36"/>
      <c r="C6" s="36"/>
      <c r="D6" s="36"/>
      <c r="E6" s="36"/>
      <c r="F6" s="36" t="str">
        <f>+'Rev.Requirement'!E6</f>
        <v>         Case No. ER 2004-0034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36"/>
      <c r="B7" s="36"/>
      <c r="C7" s="36"/>
      <c r="D7" s="36"/>
      <c r="E7" s="36"/>
      <c r="F7" s="36"/>
      <c r="G7" s="36"/>
      <c r="H7" s="36"/>
      <c r="I7" s="36"/>
      <c r="J7" s="149" t="s">
        <v>18</v>
      </c>
      <c r="K7" s="36"/>
      <c r="L7" s="36"/>
      <c r="M7" s="36"/>
      <c r="N7" s="36"/>
      <c r="O7" s="36"/>
      <c r="P7" s="36"/>
      <c r="Q7" s="36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150" t="s">
        <v>60</v>
      </c>
      <c r="K8" s="36"/>
      <c r="L8" s="43" t="s">
        <v>69</v>
      </c>
      <c r="M8" s="36"/>
      <c r="N8" s="36"/>
      <c r="O8" s="36"/>
      <c r="P8" s="36"/>
      <c r="Q8" s="36"/>
    </row>
    <row r="9" spans="1:17" ht="12.75">
      <c r="A9" s="39" t="s">
        <v>152</v>
      </c>
      <c r="B9" s="36"/>
      <c r="C9" s="36"/>
      <c r="D9" s="151"/>
      <c r="E9" s="36"/>
      <c r="F9" s="151"/>
      <c r="G9" s="36"/>
      <c r="H9" s="36"/>
      <c r="I9" s="36"/>
      <c r="J9" s="132">
        <f>9356527/24373174</f>
        <v>0.3838862759524057</v>
      </c>
      <c r="K9" s="36"/>
      <c r="L9" s="39" t="s">
        <v>17</v>
      </c>
      <c r="M9" s="36"/>
      <c r="N9" s="43" t="s">
        <v>53</v>
      </c>
      <c r="O9" s="36"/>
      <c r="P9" s="43" t="s">
        <v>34</v>
      </c>
      <c r="Q9" s="36"/>
    </row>
    <row r="10" spans="1:17" ht="12.75">
      <c r="A10" s="39" t="s">
        <v>153</v>
      </c>
      <c r="B10" s="36"/>
      <c r="C10" s="36"/>
      <c r="D10" s="43" t="s">
        <v>17</v>
      </c>
      <c r="E10" s="33"/>
      <c r="F10" s="43" t="s">
        <v>249</v>
      </c>
      <c r="G10" s="36"/>
      <c r="H10" s="35"/>
      <c r="I10" s="36"/>
      <c r="J10" s="43" t="s">
        <v>59</v>
      </c>
      <c r="K10" s="36"/>
      <c r="L10" s="36" t="s">
        <v>68</v>
      </c>
      <c r="M10" s="36"/>
      <c r="N10" s="43" t="s">
        <v>70</v>
      </c>
      <c r="O10" s="36"/>
      <c r="P10" s="43" t="s">
        <v>33</v>
      </c>
      <c r="Q10" s="36"/>
    </row>
    <row r="11" spans="1:17" ht="12.75">
      <c r="A11" s="35" t="s">
        <v>149</v>
      </c>
      <c r="B11" s="35" t="s">
        <v>65</v>
      </c>
      <c r="C11" s="36"/>
      <c r="D11" s="43" t="s">
        <v>222</v>
      </c>
      <c r="E11" s="43"/>
      <c r="F11" s="43" t="s">
        <v>241</v>
      </c>
      <c r="G11" s="43"/>
      <c r="H11" s="43" t="s">
        <v>19</v>
      </c>
      <c r="I11" s="43"/>
      <c r="J11" s="43" t="s">
        <v>40</v>
      </c>
      <c r="K11" s="43"/>
      <c r="L11" s="43" t="s">
        <v>67</v>
      </c>
      <c r="M11" s="43"/>
      <c r="N11" s="43" t="s">
        <v>40</v>
      </c>
      <c r="O11" s="43"/>
      <c r="P11" s="43" t="s">
        <v>71</v>
      </c>
      <c r="Q11" s="43"/>
    </row>
    <row r="12" spans="1:17" ht="12.75">
      <c r="A12" s="27" t="s">
        <v>120</v>
      </c>
      <c r="B12" s="27" t="s">
        <v>63</v>
      </c>
      <c r="C12" s="36"/>
      <c r="D12" s="27" t="s">
        <v>42</v>
      </c>
      <c r="E12" s="36"/>
      <c r="F12" s="27" t="s">
        <v>64</v>
      </c>
      <c r="G12" s="36"/>
      <c r="H12" s="27" t="s">
        <v>42</v>
      </c>
      <c r="I12" s="36"/>
      <c r="J12" s="27" t="s">
        <v>11</v>
      </c>
      <c r="K12" s="36"/>
      <c r="L12" s="27" t="s">
        <v>31</v>
      </c>
      <c r="M12" s="36"/>
      <c r="N12" s="27" t="s">
        <v>42</v>
      </c>
      <c r="O12" s="36"/>
      <c r="P12" s="27" t="s">
        <v>42</v>
      </c>
      <c r="Q12" s="36"/>
    </row>
    <row r="13" spans="1:17" ht="12.75">
      <c r="A13" s="39"/>
      <c r="B13" s="35" t="str">
        <f>+PerBooks!D24</f>
        <v>Booked Revenue - Unadjusted</v>
      </c>
      <c r="C13" s="35"/>
      <c r="D13" s="151">
        <f>+PerBooks!J24</f>
        <v>337366834.303</v>
      </c>
      <c r="E13" s="151"/>
      <c r="F13" s="151">
        <f>+PerBooks!T24</f>
        <v>337641072.7958475</v>
      </c>
      <c r="G13" s="151"/>
      <c r="H13" s="151">
        <f>+D13-F13</f>
        <v>-274238.49284750223</v>
      </c>
      <c r="I13" s="35"/>
      <c r="J13" s="152">
        <f>1-J9</f>
        <v>0.6161137240475942</v>
      </c>
      <c r="K13" s="35"/>
      <c r="L13" s="151">
        <f>+H13*J13</f>
        <v>-168962.09910547413</v>
      </c>
      <c r="M13" s="35"/>
      <c r="N13" s="153">
        <f>1258450/775349</f>
        <v>1.6230755440453266</v>
      </c>
      <c r="O13" s="35"/>
      <c r="P13" s="151">
        <f>-L13*N13</f>
        <v>274238.2509286578</v>
      </c>
      <c r="Q13" s="36"/>
    </row>
    <row r="14" spans="1:17" ht="12.75">
      <c r="A14" s="43"/>
      <c r="B14" s="36" t="str">
        <f>+'IncomeAdj.s'!B8</f>
        <v>Customer Growth/Annualization</v>
      </c>
      <c r="C14" s="36"/>
      <c r="D14" s="33">
        <f>+'IncomeAdj.s'!I8</f>
        <v>11245301</v>
      </c>
      <c r="E14" s="33"/>
      <c r="F14" s="33">
        <f>+'IncomeAdj.s'!T8</f>
        <v>9683063</v>
      </c>
      <c r="G14" s="33"/>
      <c r="H14" s="33">
        <f aca="true" t="shared" si="0" ref="H14:H31">+D14-F14</f>
        <v>1562238</v>
      </c>
      <c r="I14" s="36"/>
      <c r="J14" s="26">
        <f>+J13</f>
        <v>0.6161137240475942</v>
      </c>
      <c r="K14" s="36"/>
      <c r="L14" s="33">
        <f aca="true" t="shared" si="1" ref="L14:L31">+H14*J14</f>
        <v>962516.2720286655</v>
      </c>
      <c r="M14" s="36"/>
      <c r="N14" s="141">
        <f>+N13</f>
        <v>1.6230755440453266</v>
      </c>
      <c r="O14" s="36"/>
      <c r="P14" s="33">
        <f aca="true" t="shared" si="2" ref="P14:P31">-L14*N14</f>
        <v>-1562236.6218754058</v>
      </c>
      <c r="Q14" s="36"/>
    </row>
    <row r="15" spans="1:17" ht="12.75">
      <c r="A15" s="43"/>
      <c r="B15" s="36" t="str">
        <f>+'IncomeAdj.s'!B9</f>
        <v>Eliminate Unbilled Revenue - Test Year</v>
      </c>
      <c r="C15" s="36"/>
      <c r="D15" s="33">
        <f>+'IncomeAdj.s'!I9</f>
        <v>668475</v>
      </c>
      <c r="E15" s="33"/>
      <c r="F15" s="33">
        <f>+'IncomeAdj.s'!T9</f>
        <v>668475</v>
      </c>
      <c r="G15" s="33"/>
      <c r="H15" s="33">
        <f t="shared" si="0"/>
        <v>0</v>
      </c>
      <c r="I15" s="36"/>
      <c r="J15" s="26">
        <f>+J13</f>
        <v>0.6161137240475942</v>
      </c>
      <c r="K15" s="36"/>
      <c r="L15" s="33">
        <f t="shared" si="1"/>
        <v>0</v>
      </c>
      <c r="M15" s="36"/>
      <c r="N15" s="141">
        <f>+N13</f>
        <v>1.6230755440453266</v>
      </c>
      <c r="O15" s="36"/>
      <c r="P15" s="33">
        <f t="shared" si="2"/>
        <v>0</v>
      </c>
      <c r="Q15" s="36"/>
    </row>
    <row r="16" spans="1:17" ht="12.75">
      <c r="A16" s="43"/>
      <c r="B16" s="36" t="str">
        <f>+'IncomeAdj.s'!B10</f>
        <v>Adjust Large Customer Class for Growth</v>
      </c>
      <c r="C16" s="36"/>
      <c r="D16" s="33">
        <f>+'IncomeAdj.s'!I10</f>
        <v>983794</v>
      </c>
      <c r="E16" s="33"/>
      <c r="F16" s="33">
        <f>+'IncomeAdj.s'!T10</f>
        <v>397999</v>
      </c>
      <c r="G16" s="33"/>
      <c r="H16" s="33">
        <f t="shared" si="0"/>
        <v>585795</v>
      </c>
      <c r="I16" s="36"/>
      <c r="J16" s="26">
        <f>+J13</f>
        <v>0.6161137240475942</v>
      </c>
      <c r="K16" s="36"/>
      <c r="L16" s="33">
        <f t="shared" si="1"/>
        <v>360916.33897846047</v>
      </c>
      <c r="M16" s="36"/>
      <c r="N16" s="141">
        <f>+N13</f>
        <v>1.6230755440453266</v>
      </c>
      <c r="O16" s="36"/>
      <c r="P16" s="33">
        <f t="shared" si="2"/>
        <v>-585794.4832423122</v>
      </c>
      <c r="Q16" s="36"/>
    </row>
    <row r="17" spans="1:17" ht="12.75">
      <c r="A17" s="43"/>
      <c r="B17" s="36" t="str">
        <f>+'IncomeAdj.s'!B11</f>
        <v>To Remove City Franchise Taxes</v>
      </c>
      <c r="C17" s="36"/>
      <c r="D17" s="33">
        <f>+'IncomeAdj.s'!E11</f>
        <v>0</v>
      </c>
      <c r="E17" s="33"/>
      <c r="F17" s="33">
        <f>+'IncomeAdj.s'!T11</f>
        <v>0</v>
      </c>
      <c r="G17" s="33"/>
      <c r="H17" s="33">
        <f t="shared" si="0"/>
        <v>0</v>
      </c>
      <c r="I17" s="36"/>
      <c r="J17" s="26">
        <f>+J13</f>
        <v>0.6161137240475942</v>
      </c>
      <c r="K17" s="36"/>
      <c r="L17" s="33">
        <f t="shared" si="1"/>
        <v>0</v>
      </c>
      <c r="M17" s="36"/>
      <c r="N17" s="141">
        <f>+N13</f>
        <v>1.6230755440453266</v>
      </c>
      <c r="O17" s="36"/>
      <c r="P17" s="33">
        <f t="shared" si="2"/>
        <v>0</v>
      </c>
      <c r="Q17" s="36"/>
    </row>
    <row r="18" spans="1:17" ht="12.75">
      <c r="A18" s="43"/>
      <c r="B18" s="36" t="str">
        <f>+'IncomeAdj.s'!B12</f>
        <v>Normalize Test Year for Weather</v>
      </c>
      <c r="C18" s="36"/>
      <c r="D18" s="33">
        <f>+'IncomeAdj.s'!E12</f>
        <v>-7740995</v>
      </c>
      <c r="E18" s="33"/>
      <c r="F18" s="33">
        <f>+'IncomeAdj.s'!T12</f>
        <v>-7740995</v>
      </c>
      <c r="G18" s="33"/>
      <c r="H18" s="33">
        <f t="shared" si="0"/>
        <v>0</v>
      </c>
      <c r="I18" s="36"/>
      <c r="J18" s="26">
        <f>+J13</f>
        <v>0.6161137240475942</v>
      </c>
      <c r="K18" s="36"/>
      <c r="L18" s="33">
        <f t="shared" si="1"/>
        <v>0</v>
      </c>
      <c r="M18" s="36"/>
      <c r="N18" s="141">
        <f>+N13</f>
        <v>1.6230755440453266</v>
      </c>
      <c r="O18" s="36"/>
      <c r="P18" s="33">
        <f t="shared" si="2"/>
        <v>0</v>
      </c>
      <c r="Q18" s="36"/>
    </row>
    <row r="19" spans="1:17" ht="12.75">
      <c r="A19" s="43"/>
      <c r="B19" s="36" t="str">
        <f>+'IncomeAdj.s'!B13</f>
        <v>Adjust for Rate Switching &amp; Billing Corrections</v>
      </c>
      <c r="C19" s="36"/>
      <c r="D19" s="33">
        <f>+'IncomeAdj.s'!I13</f>
        <v>-452796</v>
      </c>
      <c r="E19" s="33"/>
      <c r="F19" s="33">
        <f>+'IncomeAdj.s'!T13</f>
        <v>-452796</v>
      </c>
      <c r="G19" s="33"/>
      <c r="H19" s="33">
        <f t="shared" si="0"/>
        <v>0</v>
      </c>
      <c r="I19" s="36"/>
      <c r="J19" s="26">
        <f>+J13</f>
        <v>0.6161137240475942</v>
      </c>
      <c r="K19" s="36"/>
      <c r="L19" s="33">
        <f t="shared" si="1"/>
        <v>0</v>
      </c>
      <c r="M19" s="36"/>
      <c r="N19" s="141">
        <f>+N13</f>
        <v>1.6230755440453266</v>
      </c>
      <c r="O19" s="36"/>
      <c r="P19" s="33">
        <f t="shared" si="2"/>
        <v>0</v>
      </c>
      <c r="Q19" s="36"/>
    </row>
    <row r="20" spans="1:17" ht="12.75">
      <c r="A20" s="43"/>
      <c r="B20" s="36" t="str">
        <f>+'IncomeAdj.s'!B14</f>
        <v>Annualize for Rate Change in Test Year</v>
      </c>
      <c r="C20" s="36"/>
      <c r="D20" s="33">
        <f>+'IncomeAdj.s'!I14</f>
        <v>-909325</v>
      </c>
      <c r="E20" s="33"/>
      <c r="F20" s="33">
        <f>+'IncomeAdj.s'!T14</f>
        <v>-909325</v>
      </c>
      <c r="G20" s="33"/>
      <c r="H20" s="33">
        <f t="shared" si="0"/>
        <v>0</v>
      </c>
      <c r="I20" s="36"/>
      <c r="J20" s="26">
        <f>+J13</f>
        <v>0.6161137240475942</v>
      </c>
      <c r="K20" s="36"/>
      <c r="L20" s="33">
        <f t="shared" si="1"/>
        <v>0</v>
      </c>
      <c r="M20" s="36"/>
      <c r="N20" s="141">
        <f>+N13</f>
        <v>1.6230755440453266</v>
      </c>
      <c r="O20" s="36"/>
      <c r="P20" s="33">
        <f t="shared" si="2"/>
        <v>0</v>
      </c>
      <c r="Q20" s="36"/>
    </row>
    <row r="21" spans="1:17" ht="12.75">
      <c r="A21" s="43"/>
      <c r="B21" s="36" t="str">
        <f>+'IncomeAdj.s'!B15</f>
        <v>To Adjust for EDR Credits</v>
      </c>
      <c r="C21" s="36"/>
      <c r="D21" s="33">
        <f>+'IncomeAdj.s'!I15</f>
        <v>400547</v>
      </c>
      <c r="E21" s="33"/>
      <c r="F21" s="33">
        <f>+'IncomeAdj.s'!T15</f>
        <v>400547</v>
      </c>
      <c r="G21" s="33"/>
      <c r="H21" s="33">
        <f t="shared" si="0"/>
        <v>0</v>
      </c>
      <c r="I21" s="36"/>
      <c r="J21" s="26">
        <f>+J13</f>
        <v>0.6161137240475942</v>
      </c>
      <c r="K21" s="36"/>
      <c r="L21" s="33">
        <f t="shared" si="1"/>
        <v>0</v>
      </c>
      <c r="M21" s="36"/>
      <c r="N21" s="141">
        <f>+N13</f>
        <v>1.6230755440453266</v>
      </c>
      <c r="O21" s="36"/>
      <c r="P21" s="33">
        <f t="shared" si="2"/>
        <v>0</v>
      </c>
      <c r="Q21" s="36"/>
    </row>
    <row r="22" spans="1:17" ht="12.75">
      <c r="A22" s="43"/>
      <c r="B22" s="36" t="str">
        <f>+'IncomeAdj.s'!B16</f>
        <v>To adjust Test Year for 365 Days</v>
      </c>
      <c r="C22" s="36"/>
      <c r="D22" s="33">
        <f>+'IncomeAdj.s'!I16</f>
        <v>1198801</v>
      </c>
      <c r="E22" s="33"/>
      <c r="F22" s="33">
        <f>+'IncomeAdj.s'!T16</f>
        <v>1198801</v>
      </c>
      <c r="G22" s="33"/>
      <c r="H22" s="33">
        <f t="shared" si="0"/>
        <v>0</v>
      </c>
      <c r="I22" s="36"/>
      <c r="J22" s="26">
        <f>+J13</f>
        <v>0.6161137240475942</v>
      </c>
      <c r="K22" s="36"/>
      <c r="L22" s="33">
        <f t="shared" si="1"/>
        <v>0</v>
      </c>
      <c r="M22" s="36"/>
      <c r="N22" s="141">
        <f>+N13</f>
        <v>1.6230755440453266</v>
      </c>
      <c r="O22" s="36"/>
      <c r="P22" s="33">
        <f t="shared" si="2"/>
        <v>0</v>
      </c>
      <c r="Q22" s="36"/>
    </row>
    <row r="23" spans="1:17" ht="12.75">
      <c r="A23" s="43"/>
      <c r="B23" s="36" t="str">
        <f>+'IncomeAdj.s'!B17</f>
        <v>Annualize Miscellaneous Charges</v>
      </c>
      <c r="C23" s="36"/>
      <c r="D23" s="33">
        <f>+'IncomeAdj.s'!I17</f>
        <v>4048</v>
      </c>
      <c r="E23" s="33"/>
      <c r="F23" s="33">
        <f>+'IncomeAdj.s'!T17</f>
        <v>4048</v>
      </c>
      <c r="G23" s="33"/>
      <c r="H23" s="33">
        <f t="shared" si="0"/>
        <v>0</v>
      </c>
      <c r="I23" s="36"/>
      <c r="J23" s="26">
        <f>+J13</f>
        <v>0.6161137240475942</v>
      </c>
      <c r="K23" s="36"/>
      <c r="L23" s="33">
        <f t="shared" si="1"/>
        <v>0</v>
      </c>
      <c r="M23" s="36"/>
      <c r="N23" s="141">
        <f>+N13</f>
        <v>1.6230755440453266</v>
      </c>
      <c r="O23" s="36"/>
      <c r="P23" s="33">
        <f t="shared" si="2"/>
        <v>0</v>
      </c>
      <c r="Q23" s="36"/>
    </row>
    <row r="24" spans="1:17" ht="12.75">
      <c r="A24" s="43"/>
      <c r="B24" s="36" t="str">
        <f>+'IncomeAdj.s'!B18</f>
        <v>Annualization of Unaccounted For Revenue</v>
      </c>
      <c r="C24" s="36"/>
      <c r="D24" s="33">
        <f>+'IncomeAdj.s'!I18</f>
        <v>0</v>
      </c>
      <c r="E24" s="33"/>
      <c r="F24" s="33">
        <f>+'IncomeAdj.s'!T18</f>
        <v>0</v>
      </c>
      <c r="G24" s="33"/>
      <c r="H24" s="33">
        <f t="shared" si="0"/>
        <v>0</v>
      </c>
      <c r="I24" s="36"/>
      <c r="J24" s="26">
        <f>+J13</f>
        <v>0.6161137240475942</v>
      </c>
      <c r="K24" s="36"/>
      <c r="L24" s="33">
        <f t="shared" si="1"/>
        <v>0</v>
      </c>
      <c r="M24" s="36"/>
      <c r="N24" s="141">
        <f>+N13</f>
        <v>1.6230755440453266</v>
      </c>
      <c r="O24" s="36"/>
      <c r="P24" s="33">
        <f t="shared" si="2"/>
        <v>0</v>
      </c>
      <c r="Q24" s="36"/>
    </row>
    <row r="25" spans="1:17" ht="12.75">
      <c r="A25" s="43"/>
      <c r="B25" s="36" t="str">
        <f>+'IncomeAdj.s'!B19</f>
        <v>Eliminate L&amp;P Transfers from Interchange Sales</v>
      </c>
      <c r="C25" s="36"/>
      <c r="D25" s="33">
        <f>+'IncomeAdj.s'!I19</f>
        <v>-2269084.5827</v>
      </c>
      <c r="E25" s="33"/>
      <c r="F25" s="33">
        <f>+'IncomeAdj.s'!T19</f>
        <v>-2269085</v>
      </c>
      <c r="G25" s="33"/>
      <c r="H25" s="33">
        <f t="shared" si="0"/>
        <v>0.41729999985545874</v>
      </c>
      <c r="I25" s="36"/>
      <c r="J25" s="26">
        <f>+J13</f>
        <v>0.6161137240475942</v>
      </c>
      <c r="K25" s="36"/>
      <c r="L25" s="33">
        <f t="shared" si="1"/>
        <v>0.2571042569560072</v>
      </c>
      <c r="M25" s="36"/>
      <c r="N25" s="141">
        <f>+N13</f>
        <v>1.6230755440453266</v>
      </c>
      <c r="O25" s="36"/>
      <c r="P25" s="33">
        <f t="shared" si="2"/>
        <v>-0.4172996317352408</v>
      </c>
      <c r="Q25" s="36"/>
    </row>
    <row r="26" spans="1:17" ht="12.75">
      <c r="A26" s="43"/>
      <c r="B26" s="36" t="str">
        <f>+'IncomeAdj.s'!B20</f>
        <v>Update Interchange Revenue thru Sept 30,2003</v>
      </c>
      <c r="C26" s="36"/>
      <c r="D26" s="33">
        <f>+'IncomeAdj.s'!I20</f>
        <v>-12077661.5887</v>
      </c>
      <c r="E26" s="33"/>
      <c r="F26" s="33">
        <f>+'IncomeAdj.s'!T20</f>
        <v>-12077662</v>
      </c>
      <c r="G26" s="33"/>
      <c r="H26" s="33">
        <f t="shared" si="0"/>
        <v>0.41129999980330467</v>
      </c>
      <c r="I26" s="36"/>
      <c r="J26" s="26">
        <f>+J13</f>
        <v>0.6161137240475942</v>
      </c>
      <c r="K26" s="36"/>
      <c r="L26" s="33">
        <f t="shared" si="1"/>
        <v>0.25340757457958885</v>
      </c>
      <c r="M26" s="36"/>
      <c r="N26" s="141">
        <f>+N13</f>
        <v>1.6230755440453266</v>
      </c>
      <c r="O26" s="36"/>
      <c r="P26" s="33">
        <f t="shared" si="2"/>
        <v>-0.4112996369759728</v>
      </c>
      <c r="Q26" s="36"/>
    </row>
    <row r="27" spans="1:17" ht="12.75">
      <c r="A27" s="43"/>
      <c r="B27" s="36" t="str">
        <f>+'IncomeAdj.s'!B21</f>
        <v>Annualize Rev. for WAPA Capacity Contract</v>
      </c>
      <c r="C27" s="36"/>
      <c r="D27" s="33">
        <f>+'IncomeAdj.s'!I21</f>
        <v>808088.1468</v>
      </c>
      <c r="E27" s="33"/>
      <c r="F27" s="33">
        <f>+'IncomeAdj.s'!T21</f>
        <v>808088</v>
      </c>
      <c r="G27" s="33"/>
      <c r="H27" s="33">
        <f t="shared" si="0"/>
        <v>0.14679999998770654</v>
      </c>
      <c r="I27" s="36"/>
      <c r="J27" s="26">
        <f>+J13</f>
        <v>0.6161137240475942</v>
      </c>
      <c r="K27" s="36"/>
      <c r="L27" s="33">
        <f t="shared" si="1"/>
        <v>0.09044549468261266</v>
      </c>
      <c r="M27" s="36"/>
      <c r="N27" s="141">
        <f>+N13</f>
        <v>1.6230755440453266</v>
      </c>
      <c r="O27" s="36"/>
      <c r="P27" s="33">
        <f t="shared" si="2"/>
        <v>-0.14679987048843024</v>
      </c>
      <c r="Q27" s="36"/>
    </row>
    <row r="28" spans="1:17" ht="12.75">
      <c r="A28" s="43"/>
      <c r="B28" s="36">
        <f>+'IncomeAdj.s'!B22</f>
        <v>0</v>
      </c>
      <c r="C28" s="36"/>
      <c r="D28" s="33">
        <f>+'IncomeAdj.s'!I22</f>
        <v>0</v>
      </c>
      <c r="E28" s="33"/>
      <c r="F28" s="33">
        <f>+'IncomeAdj.s'!T22</f>
        <v>0</v>
      </c>
      <c r="G28" s="33"/>
      <c r="H28" s="33">
        <f t="shared" si="0"/>
        <v>0</v>
      </c>
      <c r="I28" s="36"/>
      <c r="J28" s="26">
        <f>+J13</f>
        <v>0.6161137240475942</v>
      </c>
      <c r="K28" s="36"/>
      <c r="L28" s="33">
        <f t="shared" si="1"/>
        <v>0</v>
      </c>
      <c r="M28" s="36"/>
      <c r="N28" s="141">
        <f>+N13</f>
        <v>1.6230755440453266</v>
      </c>
      <c r="O28" s="36"/>
      <c r="P28" s="33">
        <f t="shared" si="2"/>
        <v>0</v>
      </c>
      <c r="Q28" s="36"/>
    </row>
    <row r="29" spans="1:17" ht="12.75">
      <c r="A29" s="43"/>
      <c r="B29" s="36">
        <f>+'IncomeAdj.s'!B23</f>
        <v>0</v>
      </c>
      <c r="C29" s="36"/>
      <c r="D29" s="33">
        <f>+'IncomeAdj.s'!I23</f>
        <v>0</v>
      </c>
      <c r="E29" s="33"/>
      <c r="F29" s="33">
        <f>+'IncomeAdj.s'!T23</f>
        <v>0</v>
      </c>
      <c r="G29" s="33"/>
      <c r="H29" s="33">
        <f t="shared" si="0"/>
        <v>0</v>
      </c>
      <c r="I29" s="36"/>
      <c r="J29" s="26">
        <f>+J13</f>
        <v>0.6161137240475942</v>
      </c>
      <c r="K29" s="36"/>
      <c r="L29" s="33">
        <f t="shared" si="1"/>
        <v>0</v>
      </c>
      <c r="M29" s="36"/>
      <c r="N29" s="141">
        <f>+N13</f>
        <v>1.6230755440453266</v>
      </c>
      <c r="O29" s="36"/>
      <c r="P29" s="33">
        <f t="shared" si="2"/>
        <v>0</v>
      </c>
      <c r="Q29" s="36"/>
    </row>
    <row r="30" spans="1:17" ht="12.75">
      <c r="A30" s="43"/>
      <c r="B30" s="36">
        <f>+'IncomeAdj.s'!B24</f>
        <v>0</v>
      </c>
      <c r="C30" s="36"/>
      <c r="D30" s="33">
        <f>+'IncomeAdj.s'!I24</f>
        <v>0</v>
      </c>
      <c r="E30" s="33"/>
      <c r="F30" s="33">
        <f>+'IncomeAdj.s'!T24</f>
        <v>0</v>
      </c>
      <c r="G30" s="33"/>
      <c r="H30" s="33">
        <f t="shared" si="0"/>
        <v>0</v>
      </c>
      <c r="I30" s="36"/>
      <c r="J30" s="26">
        <f>+J13</f>
        <v>0.6161137240475942</v>
      </c>
      <c r="K30" s="36"/>
      <c r="L30" s="33">
        <f t="shared" si="1"/>
        <v>0</v>
      </c>
      <c r="M30" s="36"/>
      <c r="N30" s="141">
        <f>+N13</f>
        <v>1.6230755440453266</v>
      </c>
      <c r="O30" s="36"/>
      <c r="P30" s="33">
        <f t="shared" si="2"/>
        <v>0</v>
      </c>
      <c r="Q30" s="36"/>
    </row>
    <row r="31" spans="1:17" ht="12.75">
      <c r="A31" s="43"/>
      <c r="B31" s="36">
        <f>+'IncomeAdj.s'!B25</f>
        <v>0</v>
      </c>
      <c r="C31" s="36"/>
      <c r="D31" s="33">
        <v>0</v>
      </c>
      <c r="E31" s="33"/>
      <c r="F31" s="33">
        <f>+'IncomeAdj.s'!T25</f>
        <v>0</v>
      </c>
      <c r="G31" s="33"/>
      <c r="H31" s="33">
        <f t="shared" si="0"/>
        <v>0</v>
      </c>
      <c r="I31" s="36"/>
      <c r="J31" s="26">
        <f>+J13</f>
        <v>0.6161137240475942</v>
      </c>
      <c r="K31" s="36"/>
      <c r="L31" s="33">
        <f t="shared" si="1"/>
        <v>0</v>
      </c>
      <c r="M31" s="36"/>
      <c r="N31" s="141">
        <f>+N13</f>
        <v>1.6230755440453266</v>
      </c>
      <c r="O31" s="36"/>
      <c r="P31" s="33">
        <f t="shared" si="2"/>
        <v>0</v>
      </c>
      <c r="Q31" s="36"/>
    </row>
    <row r="32" spans="1:17" ht="12.75">
      <c r="A32" s="43"/>
      <c r="B32" s="36"/>
      <c r="C32" s="36"/>
      <c r="D32" s="34" t="s">
        <v>42</v>
      </c>
      <c r="E32" s="33"/>
      <c r="F32" s="34" t="s">
        <v>64</v>
      </c>
      <c r="G32" s="33"/>
      <c r="H32" s="34" t="s">
        <v>42</v>
      </c>
      <c r="I32" s="36"/>
      <c r="J32" s="38"/>
      <c r="K32" s="36"/>
      <c r="L32" s="34" t="s">
        <v>31</v>
      </c>
      <c r="M32" s="36"/>
      <c r="N32" s="154"/>
      <c r="O32" s="36"/>
      <c r="P32" s="34" t="s">
        <v>42</v>
      </c>
      <c r="Q32" s="36"/>
    </row>
    <row r="33" spans="1:17" ht="12.75">
      <c r="A33" s="43"/>
      <c r="B33" s="36" t="s">
        <v>72</v>
      </c>
      <c r="C33" s="36"/>
      <c r="D33" s="33">
        <f>SUM(D13:D32)</f>
        <v>329226026.27839994</v>
      </c>
      <c r="E33" s="33"/>
      <c r="F33" s="33">
        <f>SUM(F13:F32)</f>
        <v>327352230.7958475</v>
      </c>
      <c r="G33" s="33"/>
      <c r="H33" s="33">
        <f>SUM(H13:H32)</f>
        <v>1873795.4825524974</v>
      </c>
      <c r="I33" s="36"/>
      <c r="J33" s="26">
        <f>+J13</f>
        <v>0.6161137240475942</v>
      </c>
      <c r="K33" s="36"/>
      <c r="L33" s="33">
        <f>SUM(L13:L32)</f>
        <v>1154471.112858978</v>
      </c>
      <c r="M33" s="36"/>
      <c r="N33" s="141">
        <f>+N13</f>
        <v>1.6230755440453266</v>
      </c>
      <c r="O33" s="36"/>
      <c r="P33" s="33">
        <f>SUM(P13:P32)</f>
        <v>-1873793.8295881995</v>
      </c>
      <c r="Q33" s="36"/>
    </row>
    <row r="34" spans="1:17" ht="12.75">
      <c r="A34" s="43"/>
      <c r="B34" s="36"/>
      <c r="C34" s="36"/>
      <c r="D34" s="33"/>
      <c r="E34" s="33"/>
      <c r="F34" s="33"/>
      <c r="G34" s="33"/>
      <c r="H34" s="33">
        <f>+D33-F33</f>
        <v>1873795.4825524688</v>
      </c>
      <c r="I34" s="36"/>
      <c r="J34" s="155"/>
      <c r="K34" s="36"/>
      <c r="L34" s="33"/>
      <c r="M34" s="36"/>
      <c r="N34" s="156"/>
      <c r="O34" s="36"/>
      <c r="P34" s="33"/>
      <c r="Q34" s="36"/>
    </row>
    <row r="35" spans="1:17" ht="12.75">
      <c r="A35" s="43"/>
      <c r="B35" s="36"/>
      <c r="C35" s="36"/>
      <c r="D35" s="157" t="s">
        <v>17</v>
      </c>
      <c r="E35" s="151"/>
      <c r="F35" s="157" t="s">
        <v>249</v>
      </c>
      <c r="G35" s="151"/>
      <c r="H35" s="33"/>
      <c r="I35" s="36"/>
      <c r="J35" s="155"/>
      <c r="K35" s="36"/>
      <c r="L35" s="33"/>
      <c r="M35" s="36"/>
      <c r="N35" s="156"/>
      <c r="O35" s="36"/>
      <c r="P35" s="33"/>
      <c r="Q35" s="36"/>
    </row>
    <row r="36" spans="1:17" ht="12.75">
      <c r="A36" s="43"/>
      <c r="B36" s="35" t="s">
        <v>143</v>
      </c>
      <c r="C36" s="36"/>
      <c r="D36" s="151" t="s">
        <v>118</v>
      </c>
      <c r="E36" s="33"/>
      <c r="F36" s="151" t="s">
        <v>118</v>
      </c>
      <c r="G36" s="33"/>
      <c r="H36" s="151" t="s">
        <v>118</v>
      </c>
      <c r="I36" s="36"/>
      <c r="J36" s="26"/>
      <c r="K36" s="36"/>
      <c r="L36" s="33"/>
      <c r="M36" s="36"/>
      <c r="N36" s="141"/>
      <c r="O36" s="36"/>
      <c r="P36" s="33"/>
      <c r="Q36" s="36"/>
    </row>
    <row r="37" spans="1:17" ht="12.75">
      <c r="A37" s="43"/>
      <c r="B37" s="27" t="s">
        <v>144</v>
      </c>
      <c r="C37" s="36"/>
      <c r="D37" s="34" t="s">
        <v>42</v>
      </c>
      <c r="E37" s="33"/>
      <c r="F37" s="34" t="s">
        <v>42</v>
      </c>
      <c r="G37" s="33"/>
      <c r="H37" s="34" t="s">
        <v>42</v>
      </c>
      <c r="I37" s="36"/>
      <c r="J37" s="26"/>
      <c r="K37" s="36"/>
      <c r="L37" s="33"/>
      <c r="M37" s="36"/>
      <c r="N37" s="141"/>
      <c r="O37" s="36"/>
      <c r="P37" s="33"/>
      <c r="Q37" s="36"/>
    </row>
    <row r="38" spans="1:17" ht="12.75">
      <c r="A38" s="39"/>
      <c r="B38" s="35" t="str">
        <f>+PerBooks!N54</f>
        <v>Total Production Expenses</v>
      </c>
      <c r="C38" s="35"/>
      <c r="D38" s="151">
        <f>+PerBooks!J54</f>
        <v>168332222.39970002</v>
      </c>
      <c r="E38" s="151"/>
      <c r="F38" s="151">
        <f>+PerBooks!T54</f>
        <v>169640630.6212225</v>
      </c>
      <c r="G38" s="151"/>
      <c r="H38" s="151">
        <f>+D38-F38</f>
        <v>-1308408.2215224802</v>
      </c>
      <c r="I38" s="35"/>
      <c r="J38" s="152">
        <f>+J13</f>
        <v>0.6161137240475942</v>
      </c>
      <c r="K38" s="35"/>
      <c r="L38" s="151">
        <f>-H38*J38</f>
        <v>806128.261936705</v>
      </c>
      <c r="M38" s="35"/>
      <c r="N38" s="153">
        <f>+N13</f>
        <v>1.6230755440453266</v>
      </c>
      <c r="O38" s="35"/>
      <c r="P38" s="151">
        <f>-L38*N38</f>
        <v>-1308407.067313231</v>
      </c>
      <c r="Q38" s="36"/>
    </row>
    <row r="39" spans="1:17" ht="12.75">
      <c r="A39" s="158"/>
      <c r="B39" s="151" t="str">
        <f>+PerBooks!D72</f>
        <v>Total Transmission Expense</v>
      </c>
      <c r="C39" s="35"/>
      <c r="D39" s="151">
        <f>+PerBooks!J72</f>
        <v>8863338.044100001</v>
      </c>
      <c r="E39" s="151"/>
      <c r="F39" s="151">
        <f>+PerBooks!T72</f>
        <v>8887755.648513</v>
      </c>
      <c r="G39" s="151"/>
      <c r="H39" s="151">
        <f aca="true" t="shared" si="3" ref="H39:H47">+D39-F39</f>
        <v>-24417.604412999004</v>
      </c>
      <c r="I39" s="35"/>
      <c r="J39" s="152">
        <f>+J13</f>
        <v>0.6161137240475942</v>
      </c>
      <c r="K39" s="35"/>
      <c r="L39" s="151">
        <f aca="true" t="shared" si="4" ref="L39:L48">-H39*J39</f>
        <v>15044.021187213788</v>
      </c>
      <c r="M39" s="35"/>
      <c r="N39" s="153">
        <f>+N13</f>
        <v>1.6230755440453266</v>
      </c>
      <c r="O39" s="35"/>
      <c r="P39" s="151">
        <f aca="true" t="shared" si="5" ref="P39:P48">-L39*N39</f>
        <v>-24417.58287306644</v>
      </c>
      <c r="Q39" s="36"/>
    </row>
    <row r="40" spans="1:17" ht="12.75">
      <c r="A40" s="39"/>
      <c r="B40" s="151" t="str">
        <f>+PerBooks!N95</f>
        <v>Total Distribution Expense</v>
      </c>
      <c r="C40" s="35"/>
      <c r="D40" s="151">
        <f>+PerBooks!J95</f>
        <v>18488945.81042</v>
      </c>
      <c r="E40" s="151"/>
      <c r="F40" s="151">
        <f>+PerBooks!T95</f>
        <v>18488991.386712003</v>
      </c>
      <c r="G40" s="151"/>
      <c r="H40" s="151">
        <f t="shared" si="3"/>
        <v>-45.576292004436255</v>
      </c>
      <c r="I40" s="35"/>
      <c r="J40" s="152">
        <f>+J13</f>
        <v>0.6161137240475942</v>
      </c>
      <c r="K40" s="35"/>
      <c r="L40" s="151">
        <f t="shared" si="4"/>
        <v>28.080178995133814</v>
      </c>
      <c r="M40" s="35"/>
      <c r="N40" s="153">
        <f>+N13</f>
        <v>1.6230755440453266</v>
      </c>
      <c r="O40" s="35"/>
      <c r="P40" s="151">
        <f t="shared" si="5"/>
        <v>-45.576251799416966</v>
      </c>
      <c r="Q40" s="36"/>
    </row>
    <row r="41" spans="1:17" ht="12.75">
      <c r="A41" s="39"/>
      <c r="B41" s="35" t="str">
        <f>+PerBooks!D104</f>
        <v>Customer Accts. Exp. - Unadjusted</v>
      </c>
      <c r="C41" s="35"/>
      <c r="D41" s="151">
        <f>+PerBooks!J104</f>
        <v>7420335.95691</v>
      </c>
      <c r="E41" s="151"/>
      <c r="F41" s="151">
        <f>+PerBooks!T104</f>
        <v>7420331</v>
      </c>
      <c r="G41" s="151"/>
      <c r="H41" s="151">
        <f t="shared" si="3"/>
        <v>4.956910000182688</v>
      </c>
      <c r="I41" s="35"/>
      <c r="J41" s="152">
        <f>+J13</f>
        <v>0.6161137240475942</v>
      </c>
      <c r="K41" s="35"/>
      <c r="L41" s="151">
        <f t="shared" si="4"/>
        <v>-3.054020279981317</v>
      </c>
      <c r="M41" s="35"/>
      <c r="N41" s="153">
        <f>+N13</f>
        <v>1.6230755440453266</v>
      </c>
      <c r="O41" s="35"/>
      <c r="P41" s="151">
        <f t="shared" si="5"/>
        <v>4.956905627456137</v>
      </c>
      <c r="Q41" s="36"/>
    </row>
    <row r="42" spans="1:17" ht="12.75">
      <c r="A42" s="39"/>
      <c r="B42" s="35" t="str">
        <f>+PerBooks!D112</f>
        <v>Cust. Serv./ Information-Unadjusted</v>
      </c>
      <c r="C42" s="35"/>
      <c r="D42" s="151">
        <f>+PerBooks!J112</f>
        <v>625706.29914</v>
      </c>
      <c r="E42" s="151"/>
      <c r="F42" s="151">
        <f>+PerBooks!T112</f>
        <v>629093</v>
      </c>
      <c r="G42" s="151"/>
      <c r="H42" s="151">
        <f t="shared" si="3"/>
        <v>-3386.7008599999826</v>
      </c>
      <c r="I42" s="35"/>
      <c r="J42" s="152">
        <f>+J13</f>
        <v>0.6161137240475942</v>
      </c>
      <c r="K42" s="35"/>
      <c r="L42" s="151">
        <f t="shared" si="4"/>
        <v>2086.592879089779</v>
      </c>
      <c r="M42" s="35"/>
      <c r="N42" s="153">
        <f>+N13</f>
        <v>1.6230755440453266</v>
      </c>
      <c r="O42" s="35"/>
      <c r="P42" s="151">
        <f t="shared" si="5"/>
        <v>-3386.697872429748</v>
      </c>
      <c r="Q42" s="36"/>
    </row>
    <row r="43" spans="1:17" ht="12.75">
      <c r="A43" s="39"/>
      <c r="B43" s="35" t="str">
        <f>+PerBooks!D120</f>
        <v>Sales Expense-Unadjusted</v>
      </c>
      <c r="C43" s="35"/>
      <c r="D43" s="151">
        <f>+PerBooks!J120</f>
        <v>747479.11145</v>
      </c>
      <c r="E43" s="151"/>
      <c r="F43" s="151">
        <f>+PerBooks!T120</f>
        <v>747678</v>
      </c>
      <c r="G43" s="151"/>
      <c r="H43" s="151">
        <f t="shared" si="3"/>
        <v>-198.8885500000324</v>
      </c>
      <c r="I43" s="35"/>
      <c r="J43" s="152">
        <f>+J13</f>
        <v>0.6161137240475942</v>
      </c>
      <c r="K43" s="35"/>
      <c r="L43" s="151">
        <f t="shared" si="4"/>
        <v>122.53796521094611</v>
      </c>
      <c r="M43" s="35"/>
      <c r="N43" s="153">
        <f>+N13</f>
        <v>1.6230755440453266</v>
      </c>
      <c r="O43" s="35"/>
      <c r="P43" s="151">
        <f t="shared" si="5"/>
        <v>-198.88837455096368</v>
      </c>
      <c r="Q43" s="36"/>
    </row>
    <row r="44" spans="1:17" ht="12.75">
      <c r="A44" s="39"/>
      <c r="B44" s="35" t="str">
        <f>+PerBooks!D137</f>
        <v>Total Administrative &amp; General Expense</v>
      </c>
      <c r="C44" s="35"/>
      <c r="D44" s="151">
        <f>+PerBooks!J137</f>
        <v>32043296.41814</v>
      </c>
      <c r="E44" s="151"/>
      <c r="F44" s="151">
        <f>+PerBooks!T137</f>
        <v>32049209.6684413</v>
      </c>
      <c r="G44" s="151"/>
      <c r="H44" s="151">
        <f t="shared" si="3"/>
        <v>-5913.250301297754</v>
      </c>
      <c r="I44" s="35"/>
      <c r="J44" s="152">
        <f>+J13</f>
        <v>0.6161137240475942</v>
      </c>
      <c r="K44" s="35"/>
      <c r="L44" s="151">
        <f t="shared" si="4"/>
        <v>3643.2346643581177</v>
      </c>
      <c r="M44" s="35"/>
      <c r="N44" s="153">
        <f>+N13</f>
        <v>1.6230755440453266</v>
      </c>
      <c r="O44" s="35"/>
      <c r="P44" s="151">
        <f t="shared" si="5"/>
        <v>-5913.245084937845</v>
      </c>
      <c r="Q44" s="36"/>
    </row>
    <row r="45" spans="1:17" ht="12.75">
      <c r="A45" s="39"/>
      <c r="B45" s="35" t="s">
        <v>389</v>
      </c>
      <c r="C45" s="35"/>
      <c r="D45" s="151">
        <f>+PerBooks!J140</f>
        <v>37863292.803050004</v>
      </c>
      <c r="E45" s="151"/>
      <c r="F45" s="151">
        <f>+PerBooks!T140</f>
        <v>34393522.4917914</v>
      </c>
      <c r="G45" s="151"/>
      <c r="H45" s="151">
        <f t="shared" si="3"/>
        <v>3469770.3112586066</v>
      </c>
      <c r="I45" s="35"/>
      <c r="J45" s="152">
        <f>+J13</f>
        <v>0.6161137240475942</v>
      </c>
      <c r="K45" s="35"/>
      <c r="L45" s="151">
        <f t="shared" si="4"/>
        <v>-2137773.10805932</v>
      </c>
      <c r="M45" s="35"/>
      <c r="N45" s="153">
        <f>+N13</f>
        <v>1.6230755440453266</v>
      </c>
      <c r="O45" s="35"/>
      <c r="P45" s="151">
        <f t="shared" si="5"/>
        <v>3469767.2504088497</v>
      </c>
      <c r="Q45" s="36" t="s">
        <v>397</v>
      </c>
    </row>
    <row r="46" spans="1:17" ht="12.75">
      <c r="A46" s="39"/>
      <c r="B46" s="35" t="str">
        <f>+PerBooks!D146</f>
        <v>Total Amortization &amp; Net Salvage</v>
      </c>
      <c r="C46" s="35"/>
      <c r="D46" s="151">
        <f>+PerBooks!J146</f>
        <v>1657808.66463</v>
      </c>
      <c r="E46" s="151"/>
      <c r="F46" s="151">
        <f>+PerBooks!T146</f>
        <v>1753137.9507539</v>
      </c>
      <c r="G46" s="151"/>
      <c r="H46" s="151">
        <f t="shared" si="3"/>
        <v>-95329.28612389998</v>
      </c>
      <c r="I46" s="35"/>
      <c r="J46" s="152">
        <f>+J13</f>
        <v>0.6161137240475942</v>
      </c>
      <c r="K46" s="35"/>
      <c r="L46" s="151">
        <f t="shared" si="4"/>
        <v>58733.681484594665</v>
      </c>
      <c r="M46" s="35"/>
      <c r="N46" s="153">
        <f>+N13</f>
        <v>1.6230755440453266</v>
      </c>
      <c r="O46" s="35"/>
      <c r="P46" s="151">
        <f t="shared" si="5"/>
        <v>-95329.20202939342</v>
      </c>
      <c r="Q46" s="36"/>
    </row>
    <row r="47" spans="1:17" ht="12.75">
      <c r="A47" s="39"/>
      <c r="B47" s="35" t="str">
        <f>+PerBooks!D155</f>
        <v>Total Taxes Other</v>
      </c>
      <c r="C47" s="35"/>
      <c r="D47" s="151">
        <f>+PerBooks!J155</f>
        <v>12976951.3445</v>
      </c>
      <c r="E47" s="151"/>
      <c r="F47" s="151">
        <f>+PerBooks!T155</f>
        <v>13011419.605097199</v>
      </c>
      <c r="G47" s="151"/>
      <c r="H47" s="151">
        <f t="shared" si="3"/>
        <v>-34468.2605971992</v>
      </c>
      <c r="I47" s="35"/>
      <c r="J47" s="152">
        <f>+J13</f>
        <v>0.6161137240475942</v>
      </c>
      <c r="K47" s="35"/>
      <c r="L47" s="151">
        <f t="shared" si="4"/>
        <v>21236.368397983355</v>
      </c>
      <c r="M47" s="35"/>
      <c r="N47" s="153">
        <f>+N13</f>
        <v>1.6230755440453266</v>
      </c>
      <c r="O47" s="35"/>
      <c r="P47" s="151">
        <f t="shared" si="5"/>
        <v>-34468.230191103816</v>
      </c>
      <c r="Q47" s="36"/>
    </row>
    <row r="48" spans="1:17" ht="12.75">
      <c r="A48" s="39"/>
      <c r="B48" s="35"/>
      <c r="C48" s="35"/>
      <c r="D48" s="151"/>
      <c r="E48" s="151"/>
      <c r="F48" s="151"/>
      <c r="G48" s="151"/>
      <c r="H48" s="151">
        <f>+D48-F48</f>
        <v>0</v>
      </c>
      <c r="I48" s="35"/>
      <c r="J48" s="152">
        <f>+J13</f>
        <v>0.6161137240475942</v>
      </c>
      <c r="K48" s="35"/>
      <c r="L48" s="151">
        <f t="shared" si="4"/>
        <v>0</v>
      </c>
      <c r="M48" s="35"/>
      <c r="N48" s="153">
        <f>+N13</f>
        <v>1.6230755440453266</v>
      </c>
      <c r="O48" s="35"/>
      <c r="P48" s="151">
        <f t="shared" si="5"/>
        <v>0</v>
      </c>
      <c r="Q48" s="36"/>
    </row>
    <row r="49" spans="1:17" ht="12.75">
      <c r="A49" s="39"/>
      <c r="B49" s="35"/>
      <c r="C49" s="35"/>
      <c r="D49" s="159" t="s">
        <v>31</v>
      </c>
      <c r="E49" s="151"/>
      <c r="F49" s="159" t="s">
        <v>31</v>
      </c>
      <c r="G49" s="151"/>
      <c r="H49" s="159" t="s">
        <v>31</v>
      </c>
      <c r="I49" s="35"/>
      <c r="J49" s="152"/>
      <c r="K49" s="35"/>
      <c r="L49" s="159" t="s">
        <v>31</v>
      </c>
      <c r="M49" s="35"/>
      <c r="N49" s="153"/>
      <c r="O49" s="35"/>
      <c r="P49" s="159" t="s">
        <v>31</v>
      </c>
      <c r="Q49" s="36"/>
    </row>
    <row r="50" spans="1:17" ht="12.75">
      <c r="A50" s="39"/>
      <c r="B50" s="35" t="s">
        <v>145</v>
      </c>
      <c r="C50" s="35"/>
      <c r="D50" s="151">
        <f>SUM(D38:D49)</f>
        <v>289019376.85204005</v>
      </c>
      <c r="E50" s="151"/>
      <c r="F50" s="151">
        <f>SUM(F38:F49)</f>
        <v>287021769.3725313</v>
      </c>
      <c r="G50" s="151"/>
      <c r="H50" s="151">
        <f>SUM(H38:H49)</f>
        <v>1997607.4795087262</v>
      </c>
      <c r="I50" s="35"/>
      <c r="J50" s="152"/>
      <c r="K50" s="35"/>
      <c r="L50" s="151">
        <f>SUM(L38:L49)</f>
        <v>-1230753.3833854494</v>
      </c>
      <c r="M50" s="35"/>
      <c r="N50" s="153"/>
      <c r="O50" s="35"/>
      <c r="P50" s="151">
        <f>SUM(P38:P49)</f>
        <v>1997605.7173239642</v>
      </c>
      <c r="Q50" s="36"/>
    </row>
    <row r="51" spans="1:17" ht="12.75">
      <c r="A51" s="39"/>
      <c r="B51" s="35"/>
      <c r="C51" s="35"/>
      <c r="D51" s="151"/>
      <c r="E51" s="151"/>
      <c r="F51" s="151"/>
      <c r="G51" s="151"/>
      <c r="H51" s="151"/>
      <c r="I51" s="35"/>
      <c r="J51" s="152"/>
      <c r="K51" s="35"/>
      <c r="L51" s="151"/>
      <c r="M51" s="153" t="s">
        <v>398</v>
      </c>
      <c r="N51" s="153"/>
      <c r="O51" s="35"/>
      <c r="P51" s="151">
        <f>+P50-P45</f>
        <v>-1472161.5330848855</v>
      </c>
      <c r="Q51" s="36" t="s">
        <v>399</v>
      </c>
    </row>
    <row r="52" spans="1:16" ht="12.75">
      <c r="A52" s="39"/>
      <c r="B52" s="35"/>
      <c r="C52" s="35"/>
      <c r="D52" s="151"/>
      <c r="E52" s="151"/>
      <c r="F52" s="151"/>
      <c r="G52" s="151"/>
      <c r="H52" s="151"/>
      <c r="I52" s="35"/>
      <c r="J52" s="152"/>
      <c r="K52" s="35"/>
      <c r="L52" s="151"/>
      <c r="M52" s="153"/>
      <c r="N52" s="153"/>
      <c r="O52" s="35"/>
      <c r="P52" s="151"/>
    </row>
    <row r="53" spans="1:17" ht="18">
      <c r="A53" s="43"/>
      <c r="B53" s="35"/>
      <c r="C53" s="36"/>
      <c r="D53" s="33"/>
      <c r="E53" s="148" t="s">
        <v>62</v>
      </c>
      <c r="F53" s="36"/>
      <c r="G53" s="36"/>
      <c r="H53" s="36"/>
      <c r="I53" s="36"/>
      <c r="J53" s="26"/>
      <c r="K53" s="36"/>
      <c r="L53" s="33"/>
      <c r="M53" s="36"/>
      <c r="N53" s="141"/>
      <c r="O53" s="36"/>
      <c r="P53" s="33"/>
      <c r="Q53" s="36"/>
    </row>
    <row r="54" spans="1:17" ht="12.75">
      <c r="A54" s="43"/>
      <c r="B54" s="35"/>
      <c r="C54" s="36"/>
      <c r="D54" s="33"/>
      <c r="E54" s="36"/>
      <c r="F54" s="36" t="str">
        <f>+F4</f>
        <v>Missouri Public Service Division</v>
      </c>
      <c r="G54" s="36"/>
      <c r="H54" s="36"/>
      <c r="I54" s="36"/>
      <c r="J54" s="26"/>
      <c r="K54" s="36"/>
      <c r="L54" s="33"/>
      <c r="M54" s="36"/>
      <c r="N54" s="141"/>
      <c r="O54" s="36"/>
      <c r="P54" s="33"/>
      <c r="Q54" s="36"/>
    </row>
    <row r="55" spans="1:17" ht="12.75">
      <c r="A55" s="43"/>
      <c r="B55" s="35"/>
      <c r="C55" s="36"/>
      <c r="D55" s="33"/>
      <c r="E55" s="36"/>
      <c r="F55" s="36" t="str">
        <f>+F6</f>
        <v>         Case No. ER 2004-0034</v>
      </c>
      <c r="G55" s="36"/>
      <c r="H55" s="36"/>
      <c r="I55" s="36"/>
      <c r="J55" s="26"/>
      <c r="K55" s="36"/>
      <c r="L55" s="160" t="s">
        <v>69</v>
      </c>
      <c r="M55" s="36"/>
      <c r="N55" s="141"/>
      <c r="O55" s="36"/>
      <c r="P55" s="33"/>
      <c r="Q55" s="36"/>
    </row>
    <row r="56" spans="1:17" ht="12.75">
      <c r="A56" s="43"/>
      <c r="B56" s="35"/>
      <c r="C56" s="36"/>
      <c r="D56" s="151"/>
      <c r="E56" s="36"/>
      <c r="F56" s="151"/>
      <c r="G56" s="36"/>
      <c r="H56" s="36"/>
      <c r="I56" s="36"/>
      <c r="J56" s="152"/>
      <c r="K56" s="36"/>
      <c r="L56" s="39" t="s">
        <v>17</v>
      </c>
      <c r="M56" s="36"/>
      <c r="N56" s="161" t="s">
        <v>53</v>
      </c>
      <c r="O56" s="36"/>
      <c r="P56" s="43" t="s">
        <v>34</v>
      </c>
      <c r="Q56" s="36"/>
    </row>
    <row r="57" spans="1:17" ht="12.75">
      <c r="A57" s="43"/>
      <c r="B57" s="35"/>
      <c r="C57" s="36"/>
      <c r="D57" s="43" t="str">
        <f>+D10</f>
        <v>Staff</v>
      </c>
      <c r="E57" s="33"/>
      <c r="F57" s="43" t="str">
        <f>+F10</f>
        <v>MPS</v>
      </c>
      <c r="G57" s="33"/>
      <c r="H57" s="151"/>
      <c r="I57" s="36"/>
      <c r="J57" s="43" t="s">
        <v>59</v>
      </c>
      <c r="K57" s="36"/>
      <c r="L57" s="36" t="s">
        <v>68</v>
      </c>
      <c r="M57" s="36"/>
      <c r="N57" s="161" t="s">
        <v>70</v>
      </c>
      <c r="O57" s="36"/>
      <c r="P57" s="43" t="s">
        <v>33</v>
      </c>
      <c r="Q57" s="36"/>
    </row>
    <row r="58" spans="1:17" ht="12.75">
      <c r="A58" s="43"/>
      <c r="B58" s="36"/>
      <c r="C58" s="36"/>
      <c r="D58" s="43" t="str">
        <f>+D11</f>
        <v>Direct Filing</v>
      </c>
      <c r="E58" s="43"/>
      <c r="F58" s="43" t="str">
        <f>+F11</f>
        <v>Updated Filing</v>
      </c>
      <c r="G58" s="43"/>
      <c r="H58" s="43" t="s">
        <v>19</v>
      </c>
      <c r="I58" s="43"/>
      <c r="J58" s="43" t="s">
        <v>40</v>
      </c>
      <c r="K58" s="43"/>
      <c r="L58" s="43" t="s">
        <v>67</v>
      </c>
      <c r="M58" s="43"/>
      <c r="N58" s="161" t="s">
        <v>40</v>
      </c>
      <c r="O58" s="43"/>
      <c r="P58" s="43" t="s">
        <v>71</v>
      </c>
      <c r="Q58" s="36"/>
    </row>
    <row r="59" spans="1:17" ht="12.75">
      <c r="A59" s="39" t="s">
        <v>181</v>
      </c>
      <c r="B59" s="35" t="s">
        <v>146</v>
      </c>
      <c r="C59" s="36"/>
      <c r="D59" s="27" t="s">
        <v>42</v>
      </c>
      <c r="E59" s="36"/>
      <c r="F59" s="27" t="s">
        <v>64</v>
      </c>
      <c r="G59" s="36"/>
      <c r="H59" s="27" t="s">
        <v>42</v>
      </c>
      <c r="I59" s="36"/>
      <c r="J59" s="27" t="s">
        <v>11</v>
      </c>
      <c r="K59" s="36"/>
      <c r="L59" s="27" t="s">
        <v>31</v>
      </c>
      <c r="M59" s="36"/>
      <c r="N59" s="154" t="s">
        <v>43</v>
      </c>
      <c r="O59" s="36"/>
      <c r="P59" s="27" t="s">
        <v>42</v>
      </c>
      <c r="Q59" s="36"/>
    </row>
    <row r="60" spans="1:17" ht="12.75">
      <c r="A60" s="162" t="s">
        <v>180</v>
      </c>
      <c r="B60" s="27" t="s">
        <v>147</v>
      </c>
      <c r="C60" s="36"/>
      <c r="D60" s="33"/>
      <c r="E60" s="33"/>
      <c r="F60" s="33"/>
      <c r="G60" s="33"/>
      <c r="H60" s="33"/>
      <c r="I60" s="36"/>
      <c r="J60" s="26"/>
      <c r="K60" s="36"/>
      <c r="L60" s="33"/>
      <c r="M60" s="36"/>
      <c r="N60" s="141"/>
      <c r="O60" s="36"/>
      <c r="P60" s="33"/>
      <c r="Q60" s="36"/>
    </row>
    <row r="61" spans="1:17" ht="12.75">
      <c r="A61" s="43">
        <f>+'IncomeAdj.s'!A35</f>
        <v>1</v>
      </c>
      <c r="B61" s="163" t="str">
        <f>+'IncomeAdj.s'!B35</f>
        <v>Elimination of Trans UCU</v>
      </c>
      <c r="C61" s="36"/>
      <c r="D61" s="33">
        <f>+'IncomeAdj.s'!I35</f>
        <v>-703127.29701</v>
      </c>
      <c r="E61" s="33"/>
      <c r="F61" s="33">
        <f>+'IncomeAdj.s'!T35</f>
        <v>-703127</v>
      </c>
      <c r="G61" s="33"/>
      <c r="H61" s="33">
        <f>+D61-F61</f>
        <v>-0.2970099999802187</v>
      </c>
      <c r="I61" s="36"/>
      <c r="J61" s="26">
        <f>+J13</f>
        <v>0.6161137240475942</v>
      </c>
      <c r="K61" s="36"/>
      <c r="L61" s="33">
        <f>-H61*J61</f>
        <v>0.18299193716718845</v>
      </c>
      <c r="M61" s="36"/>
      <c r="N61" s="141">
        <f>+N13</f>
        <v>1.6230755440453266</v>
      </c>
      <c r="O61" s="36"/>
      <c r="P61" s="33">
        <f>-L61*N61</f>
        <v>-0.29700973797354263</v>
      </c>
      <c r="Q61" s="36"/>
    </row>
    <row r="62" spans="1:17" ht="12.75">
      <c r="A62" s="43"/>
      <c r="B62" s="163"/>
      <c r="C62" s="36"/>
      <c r="D62" s="33"/>
      <c r="E62" s="33"/>
      <c r="F62" s="33"/>
      <c r="G62" s="33"/>
      <c r="H62" s="33"/>
      <c r="I62" s="36"/>
      <c r="J62" s="26"/>
      <c r="K62" s="36"/>
      <c r="L62" s="33"/>
      <c r="M62" s="36"/>
      <c r="N62" s="141"/>
      <c r="O62" s="36"/>
      <c r="P62" s="33"/>
      <c r="Q62" s="36"/>
    </row>
    <row r="63" spans="1:17" ht="12.75">
      <c r="A63" s="43">
        <f>+'IncomeAdj.s'!A37</f>
        <v>2</v>
      </c>
      <c r="B63" s="163" t="str">
        <f>+'IncomeAdj.s'!B37</f>
        <v>Annualize Fuel Expense </v>
      </c>
      <c r="C63" s="36"/>
      <c r="D63" s="33">
        <f>+'IncomeAdj.s'!I37</f>
        <v>-3551124.5947000002</v>
      </c>
      <c r="E63" s="33"/>
      <c r="F63" s="33">
        <f>+'IncomeAdj.s'!T37</f>
        <v>410582</v>
      </c>
      <c r="G63" s="33"/>
      <c r="H63" s="33">
        <f>+D63-F63</f>
        <v>-3961706.5947000002</v>
      </c>
      <c r="I63" s="36"/>
      <c r="J63" s="26">
        <f>+J13</f>
        <v>0.6161137240475942</v>
      </c>
      <c r="K63" s="36"/>
      <c r="L63" s="33">
        <f>-H63*J63</f>
        <v>2440861.80364453</v>
      </c>
      <c r="M63" s="36"/>
      <c r="N63" s="141">
        <f>+N13</f>
        <v>1.6230755440453266</v>
      </c>
      <c r="O63" s="36"/>
      <c r="P63" s="33">
        <f>-L63*N63</f>
        <v>-3961703.0998898027</v>
      </c>
      <c r="Q63" s="36"/>
    </row>
    <row r="64" spans="1:17" ht="12.75">
      <c r="A64" s="43"/>
      <c r="B64" s="163"/>
      <c r="C64" s="36"/>
      <c r="D64" s="34"/>
      <c r="E64" s="33"/>
      <c r="F64" s="34"/>
      <c r="G64" s="33"/>
      <c r="H64" s="34"/>
      <c r="I64" s="36"/>
      <c r="J64" s="26"/>
      <c r="K64" s="36"/>
      <c r="L64" s="34"/>
      <c r="M64" s="36"/>
      <c r="N64" s="141"/>
      <c r="O64" s="36"/>
      <c r="P64" s="34"/>
      <c r="Q64" s="36"/>
    </row>
    <row r="65" spans="1:17" ht="12.75">
      <c r="A65" s="43">
        <f>+'IncomeAdj.s'!A39</f>
        <v>3</v>
      </c>
      <c r="B65" s="163" t="str">
        <f>+'IncomeAdj.s'!B39</f>
        <v>Annualize Fuel Expense </v>
      </c>
      <c r="C65" s="36"/>
      <c r="D65" s="33">
        <f>+'IncomeAdj.s'!I39</f>
        <v>-323665.9665</v>
      </c>
      <c r="E65" s="33"/>
      <c r="F65" s="33">
        <f>+'IncomeAdj.s'!T39</f>
        <v>-3080303</v>
      </c>
      <c r="G65" s="33"/>
      <c r="H65" s="33">
        <f>+D65-F65</f>
        <v>2756637.0335</v>
      </c>
      <c r="I65" s="36"/>
      <c r="J65" s="26">
        <f>+J13</f>
        <v>0.6161137240475942</v>
      </c>
      <c r="K65" s="36"/>
      <c r="L65" s="33">
        <f>-H65*J65</f>
        <v>-1698401.9085571978</v>
      </c>
      <c r="M65" s="36"/>
      <c r="N65" s="141">
        <f>+N13</f>
        <v>1.6230755440453266</v>
      </c>
      <c r="O65" s="36"/>
      <c r="P65" s="33">
        <f>-L65*N65</f>
        <v>2756634.601739095</v>
      </c>
      <c r="Q65" s="36"/>
    </row>
    <row r="66" spans="1:17" ht="12.75">
      <c r="A66" s="43"/>
      <c r="B66" s="163"/>
      <c r="C66" s="36"/>
      <c r="D66" s="33"/>
      <c r="E66" s="33"/>
      <c r="F66" s="33"/>
      <c r="G66" s="33"/>
      <c r="H66" s="33"/>
      <c r="I66" s="36"/>
      <c r="J66" s="36"/>
      <c r="K66" s="36"/>
      <c r="L66" s="33"/>
      <c r="M66" s="36"/>
      <c r="N66" s="141"/>
      <c r="O66" s="36"/>
      <c r="P66" s="33"/>
      <c r="Q66" s="36"/>
    </row>
    <row r="67" spans="1:17" ht="12.75">
      <c r="A67" s="43">
        <f>+'IncomeAdj.s'!A41</f>
        <v>4</v>
      </c>
      <c r="B67" s="163" t="str">
        <f>+'IncomeAdj.s'!B41</f>
        <v>Gas Cost Cap Adj</v>
      </c>
      <c r="C67" s="36"/>
      <c r="D67" s="33">
        <f>+'IncomeAdj.s'!I41</f>
        <v>0</v>
      </c>
      <c r="E67" s="33"/>
      <c r="F67" s="33">
        <f>+'IncomeAdj.s'!T41</f>
        <v>4568958</v>
      </c>
      <c r="G67" s="33"/>
      <c r="H67" s="33">
        <f>+D67-F67</f>
        <v>-4568958</v>
      </c>
      <c r="I67" s="36"/>
      <c r="J67" s="26">
        <f>+J13</f>
        <v>0.6161137240475942</v>
      </c>
      <c r="K67" s="36"/>
      <c r="L67" s="33">
        <f>-H67*J67</f>
        <v>2814997.728397048</v>
      </c>
      <c r="M67" s="36"/>
      <c r="N67" s="141">
        <f>+N13</f>
        <v>1.6230755440453266</v>
      </c>
      <c r="O67" s="36"/>
      <c r="P67" s="33">
        <f>-L67*N67</f>
        <v>-4568953.969504397</v>
      </c>
      <c r="Q67" s="36"/>
    </row>
    <row r="68" spans="1:17" ht="12.75">
      <c r="A68" s="43"/>
      <c r="B68" s="163"/>
      <c r="C68" s="36"/>
      <c r="D68" s="33"/>
      <c r="E68" s="33"/>
      <c r="F68" s="33"/>
      <c r="G68" s="33"/>
      <c r="H68" s="33"/>
      <c r="I68" s="36"/>
      <c r="J68" s="26"/>
      <c r="K68" s="36"/>
      <c r="L68" s="33"/>
      <c r="M68" s="36"/>
      <c r="N68" s="141"/>
      <c r="O68" s="36"/>
      <c r="P68" s="33"/>
      <c r="Q68" s="36"/>
    </row>
    <row r="69" spans="1:17" ht="12.75">
      <c r="A69" s="43">
        <f>+'IncomeAdj.s'!A43</f>
        <v>5</v>
      </c>
      <c r="B69" s="163" t="str">
        <f>+'IncomeAdj.s'!B43</f>
        <v>Annualize Emission Allowances</v>
      </c>
      <c r="C69" s="36"/>
      <c r="D69" s="33">
        <f>+'IncomeAdj.s'!I43</f>
        <v>67614.49279999999</v>
      </c>
      <c r="E69" s="33"/>
      <c r="F69" s="33">
        <f>+'IncomeAdj.s'!T43</f>
        <v>-704030</v>
      </c>
      <c r="G69" s="33"/>
      <c r="H69" s="33">
        <f>+D69-F69</f>
        <v>771644.4928</v>
      </c>
      <c r="I69" s="36"/>
      <c r="J69" s="26">
        <f>+J13</f>
        <v>0.6161137240475942</v>
      </c>
      <c r="K69" s="36"/>
      <c r="L69" s="33">
        <f>-H69*J69</f>
        <v>-475420.762099825</v>
      </c>
      <c r="M69" s="36"/>
      <c r="N69" s="141">
        <f>+N13</f>
        <v>1.6230755440453266</v>
      </c>
      <c r="O69" s="36"/>
      <c r="P69" s="33">
        <f>-L69*N69</f>
        <v>771643.8120956173</v>
      </c>
      <c r="Q69" s="36"/>
    </row>
    <row r="70" spans="1:17" ht="12.75">
      <c r="A70" s="43"/>
      <c r="B70" s="163"/>
      <c r="C70" s="36"/>
      <c r="D70" s="33"/>
      <c r="E70" s="33"/>
      <c r="F70" s="33"/>
      <c r="G70" s="33"/>
      <c r="H70" s="33"/>
      <c r="I70" s="36"/>
      <c r="J70" s="26"/>
      <c r="K70" s="36"/>
      <c r="L70" s="33"/>
      <c r="M70" s="36"/>
      <c r="N70" s="141"/>
      <c r="O70" s="36"/>
      <c r="P70" s="164"/>
      <c r="Q70" s="36"/>
    </row>
    <row r="71" spans="1:17" ht="12.75">
      <c r="A71" s="43">
        <f>+'IncomeAdj.s'!A45</f>
        <v>6</v>
      </c>
      <c r="B71" s="163" t="str">
        <f>+'IncomeAdj.s'!B45</f>
        <v>Pension Expense</v>
      </c>
      <c r="C71" s="36"/>
      <c r="D71" s="33">
        <f>+'IncomeAdj.s'!I45</f>
        <v>118495.03001</v>
      </c>
      <c r="E71" s="33"/>
      <c r="F71" s="33">
        <f>+'IncomeAdj.s'!T45</f>
        <v>780786</v>
      </c>
      <c r="G71" s="33"/>
      <c r="H71" s="33">
        <f>+D71-F71</f>
        <v>-662290.96999</v>
      </c>
      <c r="I71" s="36"/>
      <c r="J71" s="26">
        <f>+J13</f>
        <v>0.6161137240475942</v>
      </c>
      <c r="K71" s="36"/>
      <c r="L71" s="33">
        <f>-H71*J71</f>
        <v>408046.5559236324</v>
      </c>
      <c r="M71" s="36"/>
      <c r="N71" s="141">
        <f>+N13</f>
        <v>1.6230755440453266</v>
      </c>
      <c r="O71" s="36"/>
      <c r="P71" s="33">
        <f>-L71*N71</f>
        <v>-662290.3857515715</v>
      </c>
      <c r="Q71" s="36"/>
    </row>
    <row r="72" spans="1:17" ht="12.75">
      <c r="A72" s="43"/>
      <c r="B72" s="163"/>
      <c r="C72" s="36"/>
      <c r="D72" s="33"/>
      <c r="E72" s="33"/>
      <c r="F72" s="33"/>
      <c r="G72" s="33"/>
      <c r="H72" s="33"/>
      <c r="I72" s="36"/>
      <c r="J72" s="26"/>
      <c r="K72" s="36"/>
      <c r="L72" s="33"/>
      <c r="M72" s="36"/>
      <c r="N72" s="141"/>
      <c r="O72" s="36"/>
      <c r="P72" s="33"/>
      <c r="Q72" s="36"/>
    </row>
    <row r="73" spans="1:17" ht="12.75">
      <c r="A73" s="43">
        <f>+'IncomeAdj.s'!A47</f>
        <v>7</v>
      </c>
      <c r="B73" s="74" t="str">
        <f>+'IncomeAdj.s'!B47</f>
        <v>OPEBS - FAS 106 Expense</v>
      </c>
      <c r="C73" s="36"/>
      <c r="D73" s="33">
        <f>+'IncomeAdj.s'!I47</f>
        <v>-409196.88616</v>
      </c>
      <c r="E73" s="33"/>
      <c r="F73" s="33">
        <f>+'IncomeAdj.s'!T47</f>
        <v>-409197</v>
      </c>
      <c r="G73" s="33"/>
      <c r="H73" s="33">
        <f>+D73-F73</f>
        <v>0.11384000000543892</v>
      </c>
      <c r="I73" s="36"/>
      <c r="J73" s="26">
        <f>+J13</f>
        <v>0.6161137240475942</v>
      </c>
      <c r="K73" s="36"/>
      <c r="L73" s="33">
        <f>-H73*J73</f>
        <v>-0.07013838634892912</v>
      </c>
      <c r="M73" s="36"/>
      <c r="N73" s="141">
        <f>+N13</f>
        <v>1.6230755440453266</v>
      </c>
      <c r="O73" s="36"/>
      <c r="P73" s="33">
        <f>-L73*N73</f>
        <v>0.11383989958174943</v>
      </c>
      <c r="Q73" s="36"/>
    </row>
    <row r="74" spans="1:17" ht="12.75">
      <c r="A74" s="43"/>
      <c r="B74" s="163"/>
      <c r="C74" s="36"/>
      <c r="D74" s="33"/>
      <c r="E74" s="33"/>
      <c r="F74" s="33"/>
      <c r="G74" s="33"/>
      <c r="H74" s="33"/>
      <c r="I74" s="36"/>
      <c r="J74" s="26"/>
      <c r="K74" s="36"/>
      <c r="L74" s="33"/>
      <c r="M74" s="36"/>
      <c r="N74" s="141"/>
      <c r="O74" s="36"/>
      <c r="P74" s="164"/>
      <c r="Q74" s="36"/>
    </row>
    <row r="75" spans="1:17" ht="12.75">
      <c r="A75" s="160">
        <f>+'IncomeAdj.s'!A49</f>
        <v>8</v>
      </c>
      <c r="B75" s="202" t="str">
        <f>+'IncomeAdj.s'!B49</f>
        <v>Amortize Prepaid Pension Asset</v>
      </c>
      <c r="C75" s="36"/>
      <c r="D75" s="33">
        <f>+'IncomeAdj.s'!I49</f>
        <v>1422708</v>
      </c>
      <c r="E75" s="33"/>
      <c r="F75" s="33">
        <f>+'IncomeAdj.s'!T49</f>
        <v>0</v>
      </c>
      <c r="G75" s="33"/>
      <c r="H75" s="33">
        <f>+D75-F75</f>
        <v>1422708</v>
      </c>
      <c r="I75" s="36"/>
      <c r="J75" s="26">
        <f>+J13</f>
        <v>0.6161137240475942</v>
      </c>
      <c r="K75" s="36"/>
      <c r="L75" s="33">
        <f>-H75*J75</f>
        <v>-876549.9241123047</v>
      </c>
      <c r="M75" s="36"/>
      <c r="N75" s="141">
        <f>+N13</f>
        <v>1.6230755440453266</v>
      </c>
      <c r="O75" s="36"/>
      <c r="P75" s="33">
        <f>-L75*N75</f>
        <v>1422706.7449614687</v>
      </c>
      <c r="Q75" s="36"/>
    </row>
    <row r="76" spans="1:18" ht="12.75">
      <c r="A76" s="43"/>
      <c r="B76" s="163"/>
      <c r="C76" s="36"/>
      <c r="D76" s="33"/>
      <c r="E76" s="33"/>
      <c r="F76" s="33"/>
      <c r="G76" s="33"/>
      <c r="H76" s="33"/>
      <c r="I76" s="36"/>
      <c r="J76" s="26"/>
      <c r="K76" s="36"/>
      <c r="L76" s="33"/>
      <c r="M76" s="36"/>
      <c r="N76" s="141"/>
      <c r="O76" s="36"/>
      <c r="P76" s="164"/>
      <c r="Q76" s="36"/>
      <c r="R76" s="23"/>
    </row>
    <row r="77" spans="1:17" ht="12.75">
      <c r="A77" s="43">
        <f>+'IncomeAdj.s'!A51</f>
        <v>9</v>
      </c>
      <c r="B77" s="74" t="str">
        <f>+'IncomeAdj.s'!B51</f>
        <v>Transmission of Power by Others</v>
      </c>
      <c r="C77" s="36"/>
      <c r="D77" s="33">
        <f>+'IncomeAdj.s'!I51</f>
        <v>153329.7185</v>
      </c>
      <c r="E77" s="33"/>
      <c r="F77" s="33">
        <f>+'IncomeAdj.s'!T51</f>
        <v>153330</v>
      </c>
      <c r="G77" s="33"/>
      <c r="H77" s="33">
        <f>+D77-F77</f>
        <v>-0.28150000001187436</v>
      </c>
      <c r="I77" s="36"/>
      <c r="J77" s="26">
        <f>+J13</f>
        <v>0.6161137240475942</v>
      </c>
      <c r="K77" s="36"/>
      <c r="L77" s="33">
        <f>-H77*J77</f>
        <v>0.17343601332671374</v>
      </c>
      <c r="M77" s="36"/>
      <c r="N77" s="141">
        <f>+N13</f>
        <v>1.6230755440453266</v>
      </c>
      <c r="O77" s="36"/>
      <c r="P77" s="33">
        <f>-L77*N77</f>
        <v>-0.2814997516873084</v>
      </c>
      <c r="Q77" s="36"/>
    </row>
    <row r="78" spans="1:19" ht="12.75">
      <c r="A78" s="43"/>
      <c r="B78" s="163"/>
      <c r="C78" s="36"/>
      <c r="D78" s="33"/>
      <c r="E78" s="33"/>
      <c r="F78" s="33"/>
      <c r="G78" s="33"/>
      <c r="H78" s="33"/>
      <c r="I78" s="36"/>
      <c r="J78" s="26"/>
      <c r="K78" s="36"/>
      <c r="L78" s="33"/>
      <c r="M78" s="36"/>
      <c r="N78" s="141"/>
      <c r="O78" s="36"/>
      <c r="P78" s="164"/>
      <c r="Q78" s="36"/>
      <c r="R78" s="23"/>
      <c r="S78" s="23"/>
    </row>
    <row r="79" spans="1:17" ht="12.75">
      <c r="A79" s="43">
        <f>+'IncomeAdj.s'!A53</f>
        <v>10</v>
      </c>
      <c r="B79" s="74" t="str">
        <f>+'IncomeAdj.s'!B53</f>
        <v>Annualize Bad Debt Expense</v>
      </c>
      <c r="C79" s="36"/>
      <c r="D79" s="33">
        <f>+'IncomeAdj.s'!I53</f>
        <v>-318389</v>
      </c>
      <c r="E79" s="33"/>
      <c r="F79" s="33">
        <f>+'IncomeAdj.s'!T53</f>
        <v>47639</v>
      </c>
      <c r="G79" s="33"/>
      <c r="H79" s="33">
        <f>+D79-F79</f>
        <v>-366028</v>
      </c>
      <c r="I79" s="36"/>
      <c r="J79" s="26">
        <f>+J13</f>
        <v>0.6161137240475942</v>
      </c>
      <c r="K79" s="36"/>
      <c r="L79" s="33">
        <f>-H79*J79</f>
        <v>225514.8741856928</v>
      </c>
      <c r="M79" s="36"/>
      <c r="N79" s="141">
        <f>+N13</f>
        <v>1.6230755440453266</v>
      </c>
      <c r="O79" s="36"/>
      <c r="P79" s="33">
        <f>-L79*N79</f>
        <v>-366027.67710925674</v>
      </c>
      <c r="Q79" s="36"/>
    </row>
    <row r="80" spans="1:19" ht="12.75">
      <c r="A80" s="43"/>
      <c r="B80" s="163"/>
      <c r="C80" s="36"/>
      <c r="D80" s="33"/>
      <c r="E80" s="33"/>
      <c r="F80" s="33"/>
      <c r="G80" s="33"/>
      <c r="H80" s="33"/>
      <c r="I80" s="36"/>
      <c r="J80" s="26"/>
      <c r="K80" s="36"/>
      <c r="L80" s="33"/>
      <c r="M80" s="36"/>
      <c r="N80" s="141"/>
      <c r="O80" s="36"/>
      <c r="P80" s="33"/>
      <c r="Q80" s="36"/>
      <c r="R80" s="23"/>
      <c r="S80" s="23"/>
    </row>
    <row r="81" spans="1:17" ht="12.75">
      <c r="A81" s="43">
        <f>+'IncomeAdj.s'!A55</f>
        <v>11</v>
      </c>
      <c r="B81" s="74" t="str">
        <f>+'IncomeAdj.s'!B55</f>
        <v>Annualize Purchased Power-Energy Costs</v>
      </c>
      <c r="C81" s="36"/>
      <c r="D81" s="33">
        <f>+'IncomeAdj.s'!I55</f>
        <v>9576522.604</v>
      </c>
      <c r="E81" s="33"/>
      <c r="F81" s="33">
        <f>+'IncomeAdj.s'!T55</f>
        <v>14356451</v>
      </c>
      <c r="G81" s="33"/>
      <c r="H81" s="33">
        <f>+D81-F81</f>
        <v>-4779928.396</v>
      </c>
      <c r="I81" s="36"/>
      <c r="J81" s="26">
        <f>+J13</f>
        <v>0.6161137240475942</v>
      </c>
      <c r="K81" s="36"/>
      <c r="L81" s="33">
        <f>-H81*J81</f>
        <v>2944979.4847404035</v>
      </c>
      <c r="M81" s="36"/>
      <c r="N81" s="141">
        <f>+N13</f>
        <v>1.6230755440453266</v>
      </c>
      <c r="O81" s="36"/>
      <c r="P81" s="33">
        <f>-L81*N81</f>
        <v>-4779924.179397356</v>
      </c>
      <c r="Q81" s="36"/>
    </row>
    <row r="82" spans="1:19" ht="12.75">
      <c r="A82" s="43"/>
      <c r="B82" s="163"/>
      <c r="C82" s="36"/>
      <c r="D82" s="151"/>
      <c r="E82" s="33"/>
      <c r="F82" s="151"/>
      <c r="G82" s="33"/>
      <c r="H82" s="151"/>
      <c r="I82" s="36"/>
      <c r="J82" s="26"/>
      <c r="K82" s="36"/>
      <c r="L82" s="151"/>
      <c r="M82" s="36"/>
      <c r="N82" s="141"/>
      <c r="O82" s="36"/>
      <c r="P82" s="151"/>
      <c r="Q82" s="36"/>
      <c r="R82" s="23"/>
      <c r="S82" s="23"/>
    </row>
    <row r="83" spans="1:17" ht="12.75">
      <c r="A83" s="43">
        <f>+'IncomeAdj.s'!A57</f>
        <v>12</v>
      </c>
      <c r="B83" s="74" t="str">
        <f>+'IncomeAdj.s'!B57</f>
        <v>Annualize Purchased Power Demand Costs</v>
      </c>
      <c r="C83" s="36"/>
      <c r="D83" s="33">
        <f>+'IncomeAdj.s'!I57</f>
        <v>-4635988.4094</v>
      </c>
      <c r="E83" s="33"/>
      <c r="F83" s="33">
        <f>+'IncomeAdj.s'!T57</f>
        <v>1617164</v>
      </c>
      <c r="G83" s="33"/>
      <c r="H83" s="33">
        <f>+D83-F83</f>
        <v>-6253152.4094</v>
      </c>
      <c r="I83" s="36"/>
      <c r="J83" s="26">
        <f>+J13</f>
        <v>0.6161137240475942</v>
      </c>
      <c r="K83" s="36"/>
      <c r="L83" s="33">
        <f>-H83*J83</f>
        <v>3852653.017992621</v>
      </c>
      <c r="M83" s="36"/>
      <c r="N83" s="141">
        <f>+N13</f>
        <v>1.6230755440453266</v>
      </c>
      <c r="O83" s="36"/>
      <c r="P83" s="33">
        <f>-L83*N83</f>
        <v>-6253146.893196243</v>
      </c>
      <c r="Q83" s="36"/>
    </row>
    <row r="84" spans="1:18" ht="12.75">
      <c r="A84" s="43"/>
      <c r="B84" s="163"/>
      <c r="C84" s="36"/>
      <c r="D84" s="36"/>
      <c r="E84" s="36"/>
      <c r="F84" s="36"/>
      <c r="G84" s="36"/>
      <c r="H84" s="33"/>
      <c r="I84" s="36"/>
      <c r="J84" s="152"/>
      <c r="K84" s="36"/>
      <c r="L84" s="33"/>
      <c r="M84" s="36"/>
      <c r="N84" s="141"/>
      <c r="O84" s="36"/>
      <c r="P84" s="33"/>
      <c r="Q84" s="36"/>
      <c r="R84" s="23"/>
    </row>
    <row r="85" spans="1:17" ht="12.75" customHeight="1">
      <c r="A85" s="43">
        <f>+'IncomeAdj.s'!A59</f>
        <v>13</v>
      </c>
      <c r="B85" s="74" t="str">
        <f>+'IncomeAdj.s'!B59</f>
        <v>PSC Assessment</v>
      </c>
      <c r="C85" s="36"/>
      <c r="D85" s="33">
        <f>+'IncomeAdj.s'!I59</f>
        <v>-136847</v>
      </c>
      <c r="E85" s="33"/>
      <c r="F85" s="33">
        <f>+'IncomeAdj.s'!T59</f>
        <v>-136847</v>
      </c>
      <c r="G85" s="36"/>
      <c r="H85" s="33">
        <f>+D85-F85</f>
        <v>0</v>
      </c>
      <c r="I85" s="36"/>
      <c r="J85" s="26">
        <f>+J13</f>
        <v>0.6161137240475942</v>
      </c>
      <c r="K85" s="36"/>
      <c r="L85" s="33">
        <f>-H85*J85</f>
        <v>0</v>
      </c>
      <c r="M85" s="36"/>
      <c r="N85" s="141">
        <f>+N13</f>
        <v>1.6230755440453266</v>
      </c>
      <c r="O85" s="36"/>
      <c r="P85" s="33">
        <f>-L85*N85</f>
        <v>0</v>
      </c>
      <c r="Q85" s="36"/>
    </row>
    <row r="86" spans="1:18" ht="12.75" customHeight="1">
      <c r="A86" s="43"/>
      <c r="B86" s="163"/>
      <c r="C86" s="36"/>
      <c r="D86" s="36"/>
      <c r="E86" s="148"/>
      <c r="F86" s="36"/>
      <c r="G86" s="36"/>
      <c r="H86" s="36"/>
      <c r="I86" s="36"/>
      <c r="J86" s="36"/>
      <c r="K86" s="36"/>
      <c r="L86" s="36"/>
      <c r="M86" s="36"/>
      <c r="N86" s="141"/>
      <c r="O86" s="36"/>
      <c r="P86" s="36"/>
      <c r="Q86" s="36"/>
      <c r="R86" s="23"/>
    </row>
    <row r="87" spans="1:17" ht="12.75">
      <c r="A87" s="43">
        <f>+'IncomeAdj.s'!A61</f>
        <v>14</v>
      </c>
      <c r="B87" s="74" t="str">
        <f>+'IncomeAdj.s'!B61</f>
        <v>Annualize 401 K Benefits</v>
      </c>
      <c r="C87" s="36"/>
      <c r="D87" s="33">
        <f>+'IncomeAdj.s'!I61</f>
        <v>-601.69919</v>
      </c>
      <c r="E87" s="33"/>
      <c r="F87" s="33">
        <f>+'IncomeAdj.s'!T61</f>
        <v>-602</v>
      </c>
      <c r="G87" s="36"/>
      <c r="H87" s="33">
        <f>+D87-F87</f>
        <v>0.30080999999995583</v>
      </c>
      <c r="I87" s="36"/>
      <c r="J87" s="26">
        <f>+J13</f>
        <v>0.6161137240475942</v>
      </c>
      <c r="K87" s="36"/>
      <c r="L87" s="33">
        <f>-H87*J87</f>
        <v>-0.1853331693307296</v>
      </c>
      <c r="M87" s="36"/>
      <c r="N87" s="141">
        <f>+N13</f>
        <v>1.6230755440453266</v>
      </c>
      <c r="O87" s="36"/>
      <c r="P87" s="33">
        <f>-L87*N87</f>
        <v>0.3008097346411186</v>
      </c>
      <c r="Q87" s="36"/>
    </row>
    <row r="88" spans="1:18" ht="12.75">
      <c r="A88" s="43"/>
      <c r="B88" s="163"/>
      <c r="C88" s="36"/>
      <c r="D88" s="33"/>
      <c r="E88" s="36"/>
      <c r="F88" s="33"/>
      <c r="G88" s="36"/>
      <c r="H88" s="33"/>
      <c r="I88" s="36"/>
      <c r="J88" s="26"/>
      <c r="K88" s="36"/>
      <c r="L88" s="33"/>
      <c r="M88" s="36"/>
      <c r="N88" s="141"/>
      <c r="O88" s="36"/>
      <c r="P88" s="33"/>
      <c r="Q88" s="36"/>
      <c r="R88" s="23"/>
    </row>
    <row r="89" spans="1:17" ht="12.75">
      <c r="A89" s="43">
        <f>+'IncomeAdj.s'!A63</f>
        <v>15</v>
      </c>
      <c r="B89" s="74" t="str">
        <f>+'IncomeAdj.s'!B63</f>
        <v>Interest on Accounts Receivable</v>
      </c>
      <c r="C89" s="36"/>
      <c r="D89" s="33">
        <f>+'IncomeAdj.s'!I63</f>
        <v>686496</v>
      </c>
      <c r="E89" s="33"/>
      <c r="F89" s="33">
        <f>+'IncomeAdj.s'!T63</f>
        <v>0</v>
      </c>
      <c r="G89" s="36"/>
      <c r="H89" s="33">
        <f>+D89-F89</f>
        <v>686496</v>
      </c>
      <c r="I89" s="36"/>
      <c r="J89" s="26">
        <f>+J13</f>
        <v>0.6161137240475942</v>
      </c>
      <c r="K89" s="36"/>
      <c r="L89" s="33">
        <f>-H89*J89</f>
        <v>-422959.60710377723</v>
      </c>
      <c r="M89" s="36"/>
      <c r="N89" s="141">
        <f>+N13</f>
        <v>1.6230755440453266</v>
      </c>
      <c r="O89" s="36"/>
      <c r="P89" s="33">
        <f>-L89*N89</f>
        <v>686495.3944091608</v>
      </c>
      <c r="Q89" s="36"/>
    </row>
    <row r="90" spans="1:17" ht="12.75">
      <c r="A90" s="43"/>
      <c r="B90" s="16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141"/>
      <c r="O90" s="36"/>
      <c r="P90" s="36"/>
      <c r="Q90" s="36"/>
    </row>
    <row r="91" spans="1:17" ht="12.75">
      <c r="A91" s="43">
        <f>+'IncomeAdj.s'!A65</f>
        <v>16</v>
      </c>
      <c r="B91" s="74">
        <f>+'IncomeAdj.s'!B65</f>
        <v>0</v>
      </c>
      <c r="C91" s="36"/>
      <c r="D91" s="33">
        <f>+'IncomeAdj.s'!I65</f>
        <v>0</v>
      </c>
      <c r="E91" s="33"/>
      <c r="F91" s="33">
        <f>+'IncomeAdj.s'!T65</f>
        <v>0</v>
      </c>
      <c r="G91" s="36"/>
      <c r="H91" s="33">
        <f>+D91-F91</f>
        <v>0</v>
      </c>
      <c r="I91" s="36"/>
      <c r="J91" s="26">
        <f>+J13</f>
        <v>0.6161137240475942</v>
      </c>
      <c r="K91" s="36"/>
      <c r="L91" s="33">
        <f>-H91*J91</f>
        <v>0</v>
      </c>
      <c r="M91" s="36"/>
      <c r="N91" s="141">
        <f>+N13</f>
        <v>1.6230755440453266</v>
      </c>
      <c r="O91" s="36"/>
      <c r="P91" s="33">
        <f>-L91*N91</f>
        <v>0</v>
      </c>
      <c r="Q91" s="36"/>
    </row>
    <row r="92" spans="1:19" ht="12.75">
      <c r="A92" s="43"/>
      <c r="B92" s="163"/>
      <c r="C92" s="36"/>
      <c r="D92" s="36"/>
      <c r="E92" s="36"/>
      <c r="F92" s="36"/>
      <c r="G92" s="36"/>
      <c r="H92" s="36"/>
      <c r="I92" s="36"/>
      <c r="J92" s="26"/>
      <c r="K92" s="36"/>
      <c r="L92" s="43"/>
      <c r="M92" s="36"/>
      <c r="N92" s="161"/>
      <c r="O92" s="36"/>
      <c r="P92" s="43"/>
      <c r="Q92" s="36"/>
      <c r="R92" s="23"/>
      <c r="S92" s="23"/>
    </row>
    <row r="93" spans="1:17" ht="12.75">
      <c r="A93" s="43">
        <f>+'IncomeAdj.s'!A67</f>
        <v>17</v>
      </c>
      <c r="B93" s="74" t="str">
        <f>+'IncomeAdj.s'!B67</f>
        <v>Annualize Rate Case Expense</v>
      </c>
      <c r="C93" s="36"/>
      <c r="D93" s="33">
        <f>+'IncomeAdj.s'!I67</f>
        <v>149146</v>
      </c>
      <c r="E93" s="33"/>
      <c r="F93" s="33">
        <f>+'IncomeAdj.s'!T67</f>
        <v>149146</v>
      </c>
      <c r="G93" s="36"/>
      <c r="H93" s="33">
        <f>+D93-F93</f>
        <v>0</v>
      </c>
      <c r="I93" s="36"/>
      <c r="J93" s="165">
        <f>+J13</f>
        <v>0.6161137240475942</v>
      </c>
      <c r="K93" s="36"/>
      <c r="L93" s="33">
        <f>-H93*J93</f>
        <v>0</v>
      </c>
      <c r="M93" s="36"/>
      <c r="N93" s="166">
        <f>+N13</f>
        <v>1.6230755440453266</v>
      </c>
      <c r="O93" s="36"/>
      <c r="P93" s="33">
        <f>-L93*N93</f>
        <v>0</v>
      </c>
      <c r="Q93" s="36"/>
    </row>
    <row r="94" spans="1:18" ht="12.75">
      <c r="A94" s="43"/>
      <c r="B94" s="163"/>
      <c r="C94" s="36"/>
      <c r="D94" s="33"/>
      <c r="E94" s="36"/>
      <c r="F94" s="33"/>
      <c r="G94" s="36"/>
      <c r="H94" s="33"/>
      <c r="I94" s="36"/>
      <c r="J94" s="165"/>
      <c r="K94" s="36"/>
      <c r="L94" s="33"/>
      <c r="M94" s="36"/>
      <c r="N94" s="166"/>
      <c r="O94" s="36"/>
      <c r="P94" s="33"/>
      <c r="Q94" s="36"/>
      <c r="R94" s="23"/>
    </row>
    <row r="95" spans="1:17" ht="12.75">
      <c r="A95" s="43">
        <f>+'IncomeAdj.s'!A69</f>
        <v>18</v>
      </c>
      <c r="B95" s="74" t="str">
        <f>+'IncomeAdj.s'!B69</f>
        <v>Annualize Property Tax Expense</v>
      </c>
      <c r="C95" s="36"/>
      <c r="D95" s="33">
        <f>+'IncomeAdj.s'!I69</f>
        <v>-145589.8522</v>
      </c>
      <c r="E95" s="33"/>
      <c r="F95" s="33">
        <f>+'IncomeAdj.s'!T69</f>
        <v>113855</v>
      </c>
      <c r="G95" s="36"/>
      <c r="H95" s="33">
        <f>+D95-F95</f>
        <v>-259444.8522</v>
      </c>
      <c r="I95" s="36"/>
      <c r="J95" s="165">
        <f>+J13</f>
        <v>0.6161137240475942</v>
      </c>
      <c r="K95" s="36"/>
      <c r="L95" s="33">
        <f>-H95*J95</f>
        <v>159847.53407391967</v>
      </c>
      <c r="M95" s="36"/>
      <c r="N95" s="166">
        <f>+N13</f>
        <v>1.6230755440453266</v>
      </c>
      <c r="O95" s="36"/>
      <c r="P95" s="33">
        <f>-L95*N95</f>
        <v>-259444.62333133104</v>
      </c>
      <c r="Q95" s="36"/>
    </row>
    <row r="96" spans="1:19" ht="12.75">
      <c r="A96" s="43"/>
      <c r="B96" s="163"/>
      <c r="C96" s="36"/>
      <c r="D96" s="33"/>
      <c r="E96" s="36"/>
      <c r="F96" s="33"/>
      <c r="G96" s="36"/>
      <c r="H96" s="33"/>
      <c r="I96" s="36"/>
      <c r="J96" s="165"/>
      <c r="K96" s="36"/>
      <c r="L96" s="33"/>
      <c r="M96" s="36"/>
      <c r="N96" s="166"/>
      <c r="O96" s="36"/>
      <c r="P96" s="33"/>
      <c r="Q96" s="36"/>
      <c r="R96" s="23"/>
      <c r="S96" s="23"/>
    </row>
    <row r="97" spans="1:17" ht="18">
      <c r="A97" s="43"/>
      <c r="B97" s="163"/>
      <c r="C97" s="36"/>
      <c r="D97" s="33"/>
      <c r="E97" s="148" t="s">
        <v>62</v>
      </c>
      <c r="F97" s="36"/>
      <c r="G97" s="36"/>
      <c r="H97" s="36"/>
      <c r="I97" s="36"/>
      <c r="J97" s="26"/>
      <c r="K97" s="36"/>
      <c r="L97" s="33"/>
      <c r="M97" s="36"/>
      <c r="N97" s="141"/>
      <c r="O97" s="36"/>
      <c r="P97" s="33"/>
      <c r="Q97" s="36"/>
    </row>
    <row r="98" spans="1:17" ht="12.75">
      <c r="A98" s="43"/>
      <c r="B98" s="163"/>
      <c r="C98" s="36"/>
      <c r="D98" s="33"/>
      <c r="E98" s="36"/>
      <c r="F98" s="36" t="str">
        <f>+F4</f>
        <v>Missouri Public Service Division</v>
      </c>
      <c r="G98" s="36"/>
      <c r="H98" s="36"/>
      <c r="I98" s="36"/>
      <c r="J98" s="26"/>
      <c r="K98" s="36"/>
      <c r="L98" s="33"/>
      <c r="M98" s="36"/>
      <c r="N98" s="141"/>
      <c r="O98" s="36"/>
      <c r="P98" s="33"/>
      <c r="Q98" s="36"/>
    </row>
    <row r="99" spans="1:17" ht="12.75">
      <c r="A99" s="43"/>
      <c r="B99" s="163"/>
      <c r="C99" s="36"/>
      <c r="D99" s="33"/>
      <c r="E99" s="36"/>
      <c r="F99" s="36" t="str">
        <f>+F6</f>
        <v>         Case No. ER 2004-0034</v>
      </c>
      <c r="G99" s="36"/>
      <c r="H99" s="36"/>
      <c r="I99" s="36"/>
      <c r="J99" s="26"/>
      <c r="K99" s="36"/>
      <c r="L99" s="33"/>
      <c r="M99" s="36"/>
      <c r="N99" s="141"/>
      <c r="O99" s="36"/>
      <c r="P99" s="33"/>
      <c r="Q99" s="36"/>
    </row>
    <row r="100" spans="1:18" ht="12.75">
      <c r="A100" s="43"/>
      <c r="B100" s="163"/>
      <c r="C100" s="36"/>
      <c r="D100" s="33"/>
      <c r="E100" s="36"/>
      <c r="F100" s="36"/>
      <c r="G100" s="36"/>
      <c r="H100" s="36"/>
      <c r="I100" s="36"/>
      <c r="J100" s="26"/>
      <c r="K100" s="36"/>
      <c r="L100" s="33"/>
      <c r="M100" s="36"/>
      <c r="N100" s="141"/>
      <c r="O100" s="36"/>
      <c r="P100" s="33"/>
      <c r="Q100" s="36"/>
      <c r="R100" s="23"/>
    </row>
    <row r="101" spans="1:18" ht="12.75">
      <c r="A101" s="43"/>
      <c r="B101" s="163"/>
      <c r="C101" s="36"/>
      <c r="D101" s="151" t="s">
        <v>118</v>
      </c>
      <c r="E101" s="36"/>
      <c r="F101" s="151" t="s">
        <v>118</v>
      </c>
      <c r="G101" s="36"/>
      <c r="H101" s="36"/>
      <c r="I101" s="36"/>
      <c r="J101" s="152"/>
      <c r="K101" s="36"/>
      <c r="L101" s="39" t="s">
        <v>17</v>
      </c>
      <c r="M101" s="36"/>
      <c r="N101" s="161" t="s">
        <v>53</v>
      </c>
      <c r="O101" s="36"/>
      <c r="P101" s="43" t="s">
        <v>34</v>
      </c>
      <c r="Q101" s="36"/>
      <c r="R101" s="23"/>
    </row>
    <row r="102" spans="1:17" ht="12.75">
      <c r="A102" s="43"/>
      <c r="B102" s="163"/>
      <c r="C102" s="36"/>
      <c r="D102" s="43" t="str">
        <f>+D10</f>
        <v>Staff</v>
      </c>
      <c r="E102" s="33"/>
      <c r="F102" s="43" t="str">
        <f>+F10</f>
        <v>MPS</v>
      </c>
      <c r="G102" s="33"/>
      <c r="H102" s="151" t="s">
        <v>118</v>
      </c>
      <c r="I102" s="36"/>
      <c r="J102" s="43" t="s">
        <v>59</v>
      </c>
      <c r="K102" s="36"/>
      <c r="L102" s="36" t="s">
        <v>68</v>
      </c>
      <c r="M102" s="36"/>
      <c r="N102" s="161" t="s">
        <v>70</v>
      </c>
      <c r="O102" s="36"/>
      <c r="P102" s="43" t="s">
        <v>33</v>
      </c>
      <c r="Q102" s="36"/>
    </row>
    <row r="103" spans="1:17" ht="12.75">
      <c r="A103" s="39" t="s">
        <v>181</v>
      </c>
      <c r="B103" s="35" t="s">
        <v>146</v>
      </c>
      <c r="C103" s="36"/>
      <c r="D103" s="43" t="str">
        <f>+D11</f>
        <v>Direct Filing</v>
      </c>
      <c r="E103" s="43"/>
      <c r="F103" s="43" t="str">
        <f>+F11</f>
        <v>Updated Filing</v>
      </c>
      <c r="G103" s="43"/>
      <c r="H103" s="43" t="s">
        <v>19</v>
      </c>
      <c r="I103" s="43"/>
      <c r="J103" s="43" t="s">
        <v>40</v>
      </c>
      <c r="K103" s="43"/>
      <c r="L103" s="43" t="s">
        <v>67</v>
      </c>
      <c r="M103" s="43"/>
      <c r="N103" s="161" t="s">
        <v>40</v>
      </c>
      <c r="O103" s="43"/>
      <c r="P103" s="43" t="s">
        <v>71</v>
      </c>
      <c r="Q103" s="36"/>
    </row>
    <row r="104" spans="1:17" ht="12.75">
      <c r="A104" s="162" t="s">
        <v>180</v>
      </c>
      <c r="B104" s="27" t="s">
        <v>147</v>
      </c>
      <c r="C104" s="36"/>
      <c r="D104" s="27" t="s">
        <v>42</v>
      </c>
      <c r="E104" s="36"/>
      <c r="F104" s="27" t="s">
        <v>64</v>
      </c>
      <c r="G104" s="36"/>
      <c r="H104" s="27" t="s">
        <v>42</v>
      </c>
      <c r="I104" s="36"/>
      <c r="J104" s="27" t="s">
        <v>11</v>
      </c>
      <c r="K104" s="36"/>
      <c r="L104" s="27" t="s">
        <v>31</v>
      </c>
      <c r="M104" s="36"/>
      <c r="N104" s="154" t="s">
        <v>42</v>
      </c>
      <c r="O104" s="36"/>
      <c r="P104" s="27" t="s">
        <v>42</v>
      </c>
      <c r="Q104" s="36"/>
    </row>
    <row r="105" spans="1:17" ht="12.75">
      <c r="A105" s="43">
        <f>+'IncomeAdj.s'!A71</f>
        <v>19</v>
      </c>
      <c r="B105" s="74" t="str">
        <f>+'IncomeAdj.s'!B71</f>
        <v>Annualize ESOP Contribution</v>
      </c>
      <c r="C105" s="36"/>
      <c r="D105" s="34">
        <f>+'IncomeAdj.s'!I71</f>
        <v>-295.23834</v>
      </c>
      <c r="E105" s="36"/>
      <c r="F105" s="34">
        <f>+'IncomeAdj.s'!T71</f>
        <v>-295</v>
      </c>
      <c r="G105" s="36"/>
      <c r="H105" s="33">
        <f>+D105-F105</f>
        <v>-0.23833999999999378</v>
      </c>
      <c r="I105" s="36"/>
      <c r="J105" s="38">
        <f>+J13</f>
        <v>0.6161137240475942</v>
      </c>
      <c r="K105" s="36"/>
      <c r="L105" s="33">
        <f>-H105*J105</f>
        <v>0.14684454498949978</v>
      </c>
      <c r="M105" s="36"/>
      <c r="N105" s="154">
        <f>+N13</f>
        <v>1.6230755440453266</v>
      </c>
      <c r="O105" s="36"/>
      <c r="P105" s="33">
        <f>-L105*N105</f>
        <v>-0.2383397897489208</v>
      </c>
      <c r="Q105" s="36"/>
    </row>
    <row r="106" spans="1:18" ht="12.75">
      <c r="A106" s="43"/>
      <c r="B106" s="74"/>
      <c r="C106" s="36"/>
      <c r="D106" s="33"/>
      <c r="E106" s="33"/>
      <c r="F106" s="33"/>
      <c r="G106" s="33"/>
      <c r="H106" s="33"/>
      <c r="I106" s="36"/>
      <c r="J106" s="26"/>
      <c r="K106" s="36"/>
      <c r="L106" s="33"/>
      <c r="M106" s="36"/>
      <c r="N106" s="141"/>
      <c r="O106" s="36"/>
      <c r="P106" s="164"/>
      <c r="Q106" s="36"/>
      <c r="R106" s="23"/>
    </row>
    <row r="107" spans="1:17" ht="12.75">
      <c r="A107" s="43">
        <f>+'IncomeAdj.s'!A73</f>
        <v>20</v>
      </c>
      <c r="B107" s="74" t="str">
        <f>+'IncomeAdj.s'!B73</f>
        <v>Write-Off Pre 2002 Misc Payroll Exp</v>
      </c>
      <c r="C107" s="36"/>
      <c r="D107" s="34">
        <f>+'IncomeAdj.s'!I73</f>
        <v>-1333072.87914</v>
      </c>
      <c r="E107" s="36"/>
      <c r="F107" s="34">
        <f>+'IncomeAdj.s'!T73</f>
        <v>-1333073</v>
      </c>
      <c r="G107" s="33"/>
      <c r="H107" s="33">
        <f>+D107-F107</f>
        <v>0.12085999990813434</v>
      </c>
      <c r="I107" s="36"/>
      <c r="J107" s="26">
        <f>+J13</f>
        <v>0.6161137240475942</v>
      </c>
      <c r="K107" s="36"/>
      <c r="L107" s="33">
        <f>-H107*J107</f>
        <v>-0.07446350463179255</v>
      </c>
      <c r="M107" s="36"/>
      <c r="N107" s="141">
        <f>+N13</f>
        <v>1.6230755440453266</v>
      </c>
      <c r="O107" s="36"/>
      <c r="P107" s="33">
        <f>-L107*N107</f>
        <v>0.12085989329176838</v>
      </c>
      <c r="Q107" s="36"/>
    </row>
    <row r="108" spans="1:18" ht="12.75">
      <c r="A108" s="43"/>
      <c r="B108" s="74"/>
      <c r="C108" s="36"/>
      <c r="D108" s="33"/>
      <c r="E108" s="33"/>
      <c r="F108" s="33"/>
      <c r="G108" s="33"/>
      <c r="H108" s="33"/>
      <c r="I108" s="36"/>
      <c r="J108" s="26"/>
      <c r="K108" s="36"/>
      <c r="L108" s="33"/>
      <c r="M108" s="36"/>
      <c r="N108" s="141"/>
      <c r="O108" s="36"/>
      <c r="P108" s="164"/>
      <c r="Q108" s="36"/>
      <c r="R108" s="23"/>
    </row>
    <row r="109" spans="1:17" ht="12.75">
      <c r="A109" s="43">
        <f>+'IncomeAdj.s'!A75</f>
        <v>21</v>
      </c>
      <c r="B109" s="74" t="str">
        <f>+'IncomeAdj.s'!B75</f>
        <v>Elimination of Greenwood Lease Costs</v>
      </c>
      <c r="C109" s="36"/>
      <c r="D109" s="34">
        <f>+'IncomeAdj.s'!I75</f>
        <v>-3862547.9711</v>
      </c>
      <c r="E109" s="36"/>
      <c r="F109" s="34">
        <f>+'IncomeAdj.s'!T75</f>
        <v>-3862548</v>
      </c>
      <c r="G109" s="33"/>
      <c r="H109" s="33">
        <f>+D109-F109</f>
        <v>0.028899999801069498</v>
      </c>
      <c r="I109" s="36"/>
      <c r="J109" s="26">
        <f>+J13</f>
        <v>0.6161137240475942</v>
      </c>
      <c r="K109" s="36"/>
      <c r="L109" s="33">
        <f>-H109*J109</f>
        <v>-0.017805686502411662</v>
      </c>
      <c r="M109" s="36"/>
      <c r="N109" s="141">
        <f>+N13</f>
        <v>1.6230755440453266</v>
      </c>
      <c r="O109" s="36"/>
      <c r="P109" s="33">
        <f>-L109*N109</f>
        <v>0.02889997430700234</v>
      </c>
      <c r="Q109" s="36"/>
    </row>
    <row r="110" spans="1:21" ht="12.75">
      <c r="A110" s="43"/>
      <c r="B110" s="74"/>
      <c r="C110" s="36"/>
      <c r="D110" s="33"/>
      <c r="E110" s="33"/>
      <c r="F110" s="33"/>
      <c r="G110" s="33"/>
      <c r="H110" s="33"/>
      <c r="I110" s="36"/>
      <c r="J110" s="26"/>
      <c r="K110" s="36"/>
      <c r="L110" s="33"/>
      <c r="M110" s="36"/>
      <c r="N110" s="141"/>
      <c r="O110" s="36"/>
      <c r="P110" s="164"/>
      <c r="Q110" s="36"/>
      <c r="R110" s="23"/>
      <c r="S110" s="23"/>
      <c r="T110" s="23"/>
      <c r="U110" s="23"/>
    </row>
    <row r="111" spans="1:17" ht="12.75">
      <c r="A111" s="43">
        <f>+'IncomeAdj.s'!A77</f>
        <v>22</v>
      </c>
      <c r="B111" s="74">
        <f>+'IncomeAdj.s'!B77</f>
        <v>0</v>
      </c>
      <c r="C111" s="36"/>
      <c r="D111" s="34">
        <f>+'IncomeAdj.s'!I77</f>
        <v>0</v>
      </c>
      <c r="E111" s="36"/>
      <c r="F111" s="34">
        <f>+'IncomeAdj.s'!T77</f>
        <v>0</v>
      </c>
      <c r="G111" s="33"/>
      <c r="H111" s="33">
        <f>+D111-F111</f>
        <v>0</v>
      </c>
      <c r="I111" s="36"/>
      <c r="J111" s="38">
        <f>+J13</f>
        <v>0.6161137240475942</v>
      </c>
      <c r="K111" s="36"/>
      <c r="L111" s="33">
        <f>-H111*J111</f>
        <v>0</v>
      </c>
      <c r="M111" s="36"/>
      <c r="N111" s="154">
        <f>+N13</f>
        <v>1.6230755440453266</v>
      </c>
      <c r="O111" s="36"/>
      <c r="P111" s="33">
        <f>-L111*N111</f>
        <v>0</v>
      </c>
      <c r="Q111" s="36"/>
    </row>
    <row r="112" spans="1:18" ht="12.75">
      <c r="A112" s="43"/>
      <c r="B112" s="167"/>
      <c r="C112" s="36"/>
      <c r="D112" s="33"/>
      <c r="E112" s="33"/>
      <c r="F112" s="33"/>
      <c r="G112" s="33"/>
      <c r="H112" s="33"/>
      <c r="I112" s="36"/>
      <c r="J112" s="26"/>
      <c r="K112" s="36"/>
      <c r="L112" s="33"/>
      <c r="M112" s="36"/>
      <c r="N112" s="141"/>
      <c r="O112" s="36"/>
      <c r="P112" s="33"/>
      <c r="Q112" s="36"/>
      <c r="R112" s="23"/>
    </row>
    <row r="113" spans="1:17" ht="12.75">
      <c r="A113" s="43">
        <f>+'IncomeAdj.s'!A79</f>
        <v>23</v>
      </c>
      <c r="B113" s="74" t="str">
        <f>+'IncomeAdj.s'!B79</f>
        <v>Eliminate Supplemental Retirement Plan</v>
      </c>
      <c r="C113" s="36"/>
      <c r="D113" s="34">
        <f>+'IncomeAdj.s'!I79</f>
        <v>-401550.90377</v>
      </c>
      <c r="E113" s="36"/>
      <c r="F113" s="34">
        <f>+'IncomeAdj.s'!T79</f>
        <v>0</v>
      </c>
      <c r="G113" s="33"/>
      <c r="H113" s="33">
        <f>+D113-F113</f>
        <v>-401550.90377</v>
      </c>
      <c r="I113" s="36"/>
      <c r="J113" s="26">
        <f>+J13</f>
        <v>0.6161137240475942</v>
      </c>
      <c r="K113" s="36"/>
      <c r="L113" s="33">
        <f>-H113*J113</f>
        <v>247401.02271641183</v>
      </c>
      <c r="M113" s="36"/>
      <c r="N113" s="141">
        <f>+N13</f>
        <v>1.6230755440453266</v>
      </c>
      <c r="O113" s="36"/>
      <c r="P113" s="33">
        <f>-L113*N113</f>
        <v>-401550.54954281036</v>
      </c>
      <c r="Q113" s="36"/>
    </row>
    <row r="114" spans="1:17" ht="12.75">
      <c r="A114" s="43"/>
      <c r="B114" s="74"/>
      <c r="C114" s="36"/>
      <c r="D114" s="33"/>
      <c r="E114" s="33"/>
      <c r="F114" s="33"/>
      <c r="G114" s="33"/>
      <c r="H114" s="33"/>
      <c r="I114" s="36"/>
      <c r="J114" s="26"/>
      <c r="K114" s="36"/>
      <c r="L114" s="33"/>
      <c r="M114" s="36"/>
      <c r="N114" s="141"/>
      <c r="O114" s="36"/>
      <c r="P114" s="164"/>
      <c r="Q114" s="36"/>
    </row>
    <row r="115" spans="1:17" ht="12.75">
      <c r="A115" s="43">
        <f>+'IncomeAdj.s'!A81</f>
        <v>24</v>
      </c>
      <c r="B115" s="74" t="str">
        <f>+'IncomeAdj.s'!B81</f>
        <v>Annualize Interest on Customer Deposits</v>
      </c>
      <c r="C115" s="36"/>
      <c r="D115" s="34">
        <f>+'IncomeAdj.s'!I81</f>
        <v>138032</v>
      </c>
      <c r="E115" s="36"/>
      <c r="F115" s="34">
        <f>+'IncomeAdj.s'!T81</f>
        <v>138032</v>
      </c>
      <c r="G115" s="33"/>
      <c r="H115" s="33">
        <f>+D115-F115</f>
        <v>0</v>
      </c>
      <c r="I115" s="36"/>
      <c r="J115" s="26">
        <f>+J13</f>
        <v>0.6161137240475942</v>
      </c>
      <c r="K115" s="36"/>
      <c r="L115" s="33">
        <f>-H115*J115</f>
        <v>0</v>
      </c>
      <c r="M115" s="36"/>
      <c r="N115" s="141">
        <f>+N13</f>
        <v>1.6230755440453266</v>
      </c>
      <c r="O115" s="36"/>
      <c r="P115" s="33">
        <f>-L115*N115</f>
        <v>0</v>
      </c>
      <c r="Q115" s="36"/>
    </row>
    <row r="116" spans="1:17" ht="12.75">
      <c r="A116" s="43"/>
      <c r="B116" s="74"/>
      <c r="C116" s="36"/>
      <c r="D116" s="33"/>
      <c r="E116" s="33"/>
      <c r="F116" s="33"/>
      <c r="G116" s="33"/>
      <c r="H116" s="33"/>
      <c r="I116" s="36"/>
      <c r="J116" s="26"/>
      <c r="K116" s="36"/>
      <c r="L116" s="33"/>
      <c r="M116" s="36"/>
      <c r="N116" s="141"/>
      <c r="O116" s="36"/>
      <c r="P116" s="164"/>
      <c r="Q116" s="36"/>
    </row>
    <row r="117" spans="1:17" ht="12.75">
      <c r="A117" s="43">
        <f>+'IncomeAdj.s'!A83</f>
        <v>25</v>
      </c>
      <c r="B117" s="74" t="str">
        <f>+'IncomeAdj.s'!B83</f>
        <v>Cost of Removal</v>
      </c>
      <c r="C117" s="36"/>
      <c r="D117" s="34">
        <f>+'IncomeAdj.s'!I83</f>
        <v>1471339.2694</v>
      </c>
      <c r="E117" s="36"/>
      <c r="F117" s="34">
        <f>+'IncomeAdj.s'!T83</f>
        <v>0</v>
      </c>
      <c r="G117" s="33"/>
      <c r="H117" s="33">
        <f>+D117-F117</f>
        <v>1471339.2694</v>
      </c>
      <c r="I117" s="36"/>
      <c r="J117" s="26">
        <f>+J13</f>
        <v>0.6161137240475942</v>
      </c>
      <c r="K117" s="36"/>
      <c r="L117" s="33">
        <f>-H117*J117</f>
        <v>-906512.3166075005</v>
      </c>
      <c r="M117" s="36"/>
      <c r="N117" s="141">
        <f>+N13</f>
        <v>1.6230755440453266</v>
      </c>
      <c r="O117" s="36"/>
      <c r="P117" s="33">
        <f>-L117*N117</f>
        <v>1471337.9714615084</v>
      </c>
      <c r="Q117" s="36"/>
    </row>
    <row r="118" spans="1:17" ht="12.75">
      <c r="A118" s="43"/>
      <c r="B118" s="74"/>
      <c r="C118" s="36"/>
      <c r="D118" s="33"/>
      <c r="E118" s="33"/>
      <c r="F118" s="33"/>
      <c r="G118" s="33"/>
      <c r="H118" s="33"/>
      <c r="I118" s="36"/>
      <c r="J118" s="26"/>
      <c r="K118" s="36"/>
      <c r="L118" s="33"/>
      <c r="M118" s="36"/>
      <c r="N118" s="141"/>
      <c r="O118" s="36"/>
      <c r="P118" s="164"/>
      <c r="Q118" s="36"/>
    </row>
    <row r="119" spans="1:17" ht="12.75">
      <c r="A119" s="43">
        <f>+'IncomeAdj.s'!A85</f>
        <v>26</v>
      </c>
      <c r="B119" s="74" t="str">
        <f>+'IncomeAdj.s'!B85</f>
        <v>Amortization of AAO Ice Storm</v>
      </c>
      <c r="C119" s="36"/>
      <c r="D119" s="34">
        <f>+'IncomeAdj.s'!I85</f>
        <v>138701</v>
      </c>
      <c r="E119" s="36"/>
      <c r="F119" s="34">
        <f>+'IncomeAdj.s'!T85</f>
        <v>138701</v>
      </c>
      <c r="G119" s="33"/>
      <c r="H119" s="33">
        <f>+D119-F119</f>
        <v>0</v>
      </c>
      <c r="I119" s="36"/>
      <c r="J119" s="26">
        <f>+J13</f>
        <v>0.6161137240475942</v>
      </c>
      <c r="K119" s="36"/>
      <c r="L119" s="33">
        <f>-H119*J119</f>
        <v>0</v>
      </c>
      <c r="M119" s="36"/>
      <c r="N119" s="141">
        <f>+N13</f>
        <v>1.6230755440453266</v>
      </c>
      <c r="O119" s="36"/>
      <c r="P119" s="33">
        <f>-L119*N119</f>
        <v>0</v>
      </c>
      <c r="Q119" s="36"/>
    </row>
    <row r="120" spans="1:17" ht="12.75">
      <c r="A120" s="43"/>
      <c r="B120" s="167"/>
      <c r="C120" s="36"/>
      <c r="D120" s="33"/>
      <c r="E120" s="33"/>
      <c r="F120" s="33"/>
      <c r="G120" s="33"/>
      <c r="H120" s="33"/>
      <c r="I120" s="36"/>
      <c r="J120" s="26"/>
      <c r="K120" s="36"/>
      <c r="L120" s="33"/>
      <c r="M120" s="36"/>
      <c r="N120" s="141"/>
      <c r="O120" s="36"/>
      <c r="P120" s="33"/>
      <c r="Q120" s="36"/>
    </row>
    <row r="121" spans="1:17" ht="12.75">
      <c r="A121" s="43">
        <f>+'IncomeAdj.s'!A87</f>
        <v>27</v>
      </c>
      <c r="B121" s="74" t="str">
        <f>+'IncomeAdj.s'!B87</f>
        <v>Amortization Expense-Merger Synergies</v>
      </c>
      <c r="C121" s="36"/>
      <c r="D121" s="34">
        <f>+'IncomeAdj.s'!I87</f>
        <v>0</v>
      </c>
      <c r="E121" s="36"/>
      <c r="F121" s="34">
        <f>+'IncomeAdj.s'!T87</f>
        <v>9301</v>
      </c>
      <c r="G121" s="33"/>
      <c r="H121" s="33">
        <f>+D121-F121</f>
        <v>-9301</v>
      </c>
      <c r="I121" s="36"/>
      <c r="J121" s="26">
        <f>+J13</f>
        <v>0.6161137240475942</v>
      </c>
      <c r="K121" s="36"/>
      <c r="L121" s="33">
        <f>-H121*J121</f>
        <v>5730.473747366674</v>
      </c>
      <c r="M121" s="36"/>
      <c r="N121" s="141">
        <f>+N13</f>
        <v>1.6230755440453266</v>
      </c>
      <c r="O121" s="36"/>
      <c r="P121" s="33">
        <f>-L121*N121</f>
        <v>-9300.991795144626</v>
      </c>
      <c r="Q121" s="36"/>
    </row>
    <row r="122" spans="1:17" ht="12.75">
      <c r="A122" s="43"/>
      <c r="B122" s="74"/>
      <c r="C122" s="36"/>
      <c r="D122" s="33"/>
      <c r="E122" s="33"/>
      <c r="F122" s="33"/>
      <c r="G122" s="33"/>
      <c r="H122" s="33"/>
      <c r="I122" s="36"/>
      <c r="J122" s="26"/>
      <c r="K122" s="36"/>
      <c r="L122" s="33"/>
      <c r="M122" s="36"/>
      <c r="N122" s="141"/>
      <c r="O122" s="36"/>
      <c r="P122" s="164"/>
      <c r="Q122" s="36"/>
    </row>
    <row r="123" spans="1:17" ht="12.75">
      <c r="A123" s="43">
        <f>+'IncomeAdj.s'!A89</f>
        <v>28</v>
      </c>
      <c r="B123" s="74">
        <f>+'IncomeAdj.s'!B89</f>
        <v>0</v>
      </c>
      <c r="C123" s="36"/>
      <c r="D123" s="34">
        <f>+'IncomeAdj.s'!I89</f>
        <v>0</v>
      </c>
      <c r="E123" s="36"/>
      <c r="F123" s="34">
        <f>+'IncomeAdj.s'!T89</f>
        <v>0</v>
      </c>
      <c r="G123" s="33"/>
      <c r="H123" s="33">
        <f>+D123-F123</f>
        <v>0</v>
      </c>
      <c r="I123" s="36"/>
      <c r="J123" s="26">
        <f>+J13</f>
        <v>0.6161137240475942</v>
      </c>
      <c r="K123" s="36"/>
      <c r="L123" s="33">
        <f>-H123*J123</f>
        <v>0</v>
      </c>
      <c r="M123" s="36"/>
      <c r="N123" s="141">
        <f>+N13</f>
        <v>1.6230755440453266</v>
      </c>
      <c r="O123" s="36"/>
      <c r="P123" s="33">
        <f>-L123*N123</f>
        <v>0</v>
      </c>
      <c r="Q123" s="36"/>
    </row>
    <row r="124" spans="1:17" ht="12.75">
      <c r="A124" s="43"/>
      <c r="B124" s="74"/>
      <c r="C124" s="36"/>
      <c r="D124" s="33"/>
      <c r="E124" s="33"/>
      <c r="F124" s="33"/>
      <c r="G124" s="33"/>
      <c r="H124" s="33"/>
      <c r="I124" s="36"/>
      <c r="J124" s="26"/>
      <c r="K124" s="36"/>
      <c r="L124" s="33"/>
      <c r="M124" s="36"/>
      <c r="N124" s="141"/>
      <c r="O124" s="36"/>
      <c r="P124" s="164"/>
      <c r="Q124" s="36"/>
    </row>
    <row r="125" spans="1:17" ht="12.75">
      <c r="A125" s="43">
        <f>+'IncomeAdj.s'!A91</f>
        <v>29</v>
      </c>
      <c r="B125" s="74">
        <f>+'IncomeAdj.s'!B91</f>
        <v>0</v>
      </c>
      <c r="C125" s="36"/>
      <c r="D125" s="34">
        <f>+'IncomeAdj.s'!I91</f>
        <v>0</v>
      </c>
      <c r="E125" s="36"/>
      <c r="F125" s="34">
        <f>+'IncomeAdj.s'!T91</f>
        <v>0</v>
      </c>
      <c r="G125" s="33"/>
      <c r="H125" s="33">
        <f>+D125-F125</f>
        <v>0</v>
      </c>
      <c r="I125" s="36"/>
      <c r="J125" s="26">
        <f>+J13</f>
        <v>0.6161137240475942</v>
      </c>
      <c r="K125" s="36"/>
      <c r="L125" s="33">
        <f>-H125*J125</f>
        <v>0</v>
      </c>
      <c r="M125" s="36"/>
      <c r="N125" s="141">
        <f>+N13</f>
        <v>1.6230755440453266</v>
      </c>
      <c r="O125" s="36"/>
      <c r="P125" s="33">
        <f>-L125*N125</f>
        <v>0</v>
      </c>
      <c r="Q125" s="36"/>
    </row>
    <row r="126" spans="1:17" ht="12.75">
      <c r="A126" s="43"/>
      <c r="B126" s="74"/>
      <c r="C126" s="36"/>
      <c r="D126" s="34"/>
      <c r="E126" s="33"/>
      <c r="F126" s="36"/>
      <c r="G126" s="33"/>
      <c r="H126" s="34"/>
      <c r="I126" s="36"/>
      <c r="J126" s="26"/>
      <c r="K126" s="36"/>
      <c r="L126" s="34"/>
      <c r="M126" s="36"/>
      <c r="N126" s="141"/>
      <c r="O126" s="36"/>
      <c r="P126" s="34"/>
      <c r="Q126" s="36"/>
    </row>
    <row r="127" spans="1:17" ht="12.75">
      <c r="A127" s="43">
        <f>+'IncomeAdj.s'!A93</f>
        <v>30</v>
      </c>
      <c r="B127" s="74">
        <f>+'IncomeAdj.s'!B93</f>
        <v>0</v>
      </c>
      <c r="C127" s="36"/>
      <c r="D127" s="34">
        <f>+'IncomeAdj.s'!I93</f>
        <v>0</v>
      </c>
      <c r="E127" s="36"/>
      <c r="F127" s="34">
        <f>+'IncomeAdj.s'!T93</f>
        <v>0</v>
      </c>
      <c r="G127" s="33"/>
      <c r="H127" s="33">
        <f>+D127-F127</f>
        <v>0</v>
      </c>
      <c r="I127" s="36"/>
      <c r="J127" s="26">
        <f>+J13</f>
        <v>0.6161137240475942</v>
      </c>
      <c r="K127" s="36"/>
      <c r="L127" s="33">
        <f>-H127*J127</f>
        <v>0</v>
      </c>
      <c r="M127" s="36"/>
      <c r="N127" s="141">
        <f>+N13</f>
        <v>1.6230755440453266</v>
      </c>
      <c r="O127" s="36"/>
      <c r="P127" s="33">
        <f>-L127*N127</f>
        <v>0</v>
      </c>
      <c r="Q127" s="36"/>
    </row>
    <row r="128" spans="1:17" ht="12.75">
      <c r="A128" s="43"/>
      <c r="B128" s="74"/>
      <c r="C128" s="36"/>
      <c r="D128" s="34"/>
      <c r="E128" s="36"/>
      <c r="F128" s="34"/>
      <c r="G128" s="33"/>
      <c r="H128" s="33"/>
      <c r="I128" s="36"/>
      <c r="J128" s="26"/>
      <c r="K128" s="36"/>
      <c r="L128" s="33"/>
      <c r="M128" s="36"/>
      <c r="N128" s="141"/>
      <c r="O128" s="36"/>
      <c r="P128" s="33"/>
      <c r="Q128" s="36"/>
    </row>
    <row r="129" spans="1:17" ht="12.75">
      <c r="A129" s="43">
        <f>+'IncomeAdj.s'!A95</f>
        <v>31</v>
      </c>
      <c r="B129" s="74">
        <f>+'IncomeAdj.s'!B95</f>
        <v>0</v>
      </c>
      <c r="C129" s="36"/>
      <c r="D129" s="34">
        <f>+'IncomeAdj.s'!I95</f>
        <v>0</v>
      </c>
      <c r="E129" s="36"/>
      <c r="F129" s="34">
        <f>+'IncomeAdj.s'!T95</f>
        <v>0</v>
      </c>
      <c r="G129" s="33"/>
      <c r="H129" s="33">
        <f>+D129-F129</f>
        <v>0</v>
      </c>
      <c r="I129" s="36"/>
      <c r="J129" s="26">
        <f>+J13</f>
        <v>0.6161137240475942</v>
      </c>
      <c r="K129" s="36"/>
      <c r="L129" s="33">
        <f>-H129*J129</f>
        <v>0</v>
      </c>
      <c r="M129" s="36"/>
      <c r="N129" s="141">
        <f>+N13</f>
        <v>1.6230755440453266</v>
      </c>
      <c r="O129" s="36"/>
      <c r="P129" s="33">
        <f>-L129*N129</f>
        <v>0</v>
      </c>
      <c r="Q129" s="36"/>
    </row>
    <row r="130" spans="1:17" ht="12.75">
      <c r="A130" s="43"/>
      <c r="B130" s="74"/>
      <c r="C130" s="36"/>
      <c r="D130" s="34"/>
      <c r="E130" s="36"/>
      <c r="F130" s="34"/>
      <c r="G130" s="33"/>
      <c r="H130" s="33"/>
      <c r="I130" s="36"/>
      <c r="J130" s="26"/>
      <c r="K130" s="36"/>
      <c r="L130" s="33"/>
      <c r="M130" s="36"/>
      <c r="N130" s="141"/>
      <c r="O130" s="36"/>
      <c r="P130" s="33"/>
      <c r="Q130" s="36"/>
    </row>
    <row r="131" spans="1:17" ht="12.75">
      <c r="A131" s="43">
        <f>+'IncomeAdj.s'!A97</f>
        <v>32</v>
      </c>
      <c r="B131" s="74" t="str">
        <f>+'IncomeAdj.s'!B97</f>
        <v>Annualize Payroll Taxes</v>
      </c>
      <c r="C131" s="36"/>
      <c r="D131" s="34">
        <f>+'IncomeAdj.s'!I103</f>
        <v>-119972.66735999999</v>
      </c>
      <c r="E131" s="36"/>
      <c r="F131" s="34">
        <f>+'IncomeAdj.s'!T103</f>
        <v>91826</v>
      </c>
      <c r="G131" s="33"/>
      <c r="H131" s="33">
        <f>+D131-F131</f>
        <v>-211798.66736</v>
      </c>
      <c r="I131" s="36"/>
      <c r="J131" s="26">
        <f>+J13</f>
        <v>0.6161137240475942</v>
      </c>
      <c r="K131" s="36"/>
      <c r="L131" s="33">
        <f>-H131*J131</f>
        <v>130492.06569548724</v>
      </c>
      <c r="M131" s="36"/>
      <c r="N131" s="141">
        <f>+N13</f>
        <v>1.6230755440453266</v>
      </c>
      <c r="O131" s="36"/>
      <c r="P131" s="33">
        <f>-L131*N131</f>
        <v>-211798.48052230146</v>
      </c>
      <c r="Q131" s="36"/>
    </row>
    <row r="132" spans="1:17" ht="12.75">
      <c r="A132" s="43"/>
      <c r="B132" s="74"/>
      <c r="C132" s="36"/>
      <c r="D132" s="34"/>
      <c r="E132" s="36"/>
      <c r="F132" s="34"/>
      <c r="G132" s="33"/>
      <c r="H132" s="33"/>
      <c r="I132" s="36"/>
      <c r="J132" s="26"/>
      <c r="K132" s="36"/>
      <c r="L132" s="33"/>
      <c r="M132" s="36"/>
      <c r="N132" s="141"/>
      <c r="O132" s="36"/>
      <c r="P132" s="33"/>
      <c r="Q132" s="36"/>
    </row>
    <row r="133" spans="1:17" ht="12.75">
      <c r="A133" s="43">
        <f>+'IncomeAdj.s'!A105</f>
        <v>33</v>
      </c>
      <c r="B133" s="74" t="str">
        <f>+'IncomeAdj.s'!B105</f>
        <v> Employee Medical / Dental Benefits</v>
      </c>
      <c r="C133" s="36"/>
      <c r="D133" s="34">
        <f>+'IncomeAdj.s'!I110</f>
        <v>-217224.49115999998</v>
      </c>
      <c r="E133" s="36"/>
      <c r="F133" s="34">
        <f>+'IncomeAdj.s'!T110</f>
        <v>-217224</v>
      </c>
      <c r="G133" s="33"/>
      <c r="H133" s="33">
        <f>+D133-F133</f>
        <v>-0.4911599999759346</v>
      </c>
      <c r="I133" s="36"/>
      <c r="J133" s="26">
        <f>+J13</f>
        <v>0.6161137240475942</v>
      </c>
      <c r="K133" s="36"/>
      <c r="L133" s="33">
        <f>-H133*J133</f>
        <v>0.3026104166883894</v>
      </c>
      <c r="M133" s="36"/>
      <c r="N133" s="141">
        <f>+N13</f>
        <v>1.6230755440453266</v>
      </c>
      <c r="O133" s="36"/>
      <c r="P133" s="33">
        <f>-L133*N133</f>
        <v>-0.4911595667002906</v>
      </c>
      <c r="Q133" s="36"/>
    </row>
    <row r="134" spans="1:17" ht="12.75">
      <c r="A134" s="43"/>
      <c r="B134" s="74"/>
      <c r="C134" s="36"/>
      <c r="D134" s="34"/>
      <c r="E134" s="36"/>
      <c r="F134" s="34"/>
      <c r="G134" s="33"/>
      <c r="H134" s="33"/>
      <c r="I134" s="36"/>
      <c r="J134" s="26"/>
      <c r="K134" s="36"/>
      <c r="L134" s="33"/>
      <c r="M134" s="36"/>
      <c r="N134" s="141"/>
      <c r="O134" s="36"/>
      <c r="P134" s="33"/>
      <c r="Q134" s="36"/>
    </row>
    <row r="135" spans="1:17" ht="12.75">
      <c r="A135" s="43">
        <f>+'IncomeAdj.s'!A111</f>
        <v>34</v>
      </c>
      <c r="B135" s="74" t="str">
        <f>+'IncomeAdj.s'!B111</f>
        <v>Annualize Insurance Expense</v>
      </c>
      <c r="C135" s="36"/>
      <c r="D135" s="34">
        <f>+'IncomeAdj.s'!I117</f>
        <v>1494259.08871</v>
      </c>
      <c r="E135" s="36"/>
      <c r="F135" s="34">
        <f>+'IncomeAdj.s'!T117</f>
        <v>1494259</v>
      </c>
      <c r="G135" s="33"/>
      <c r="H135" s="33">
        <f>+D135-F135</f>
        <v>0.08871000004000962</v>
      </c>
      <c r="I135" s="36"/>
      <c r="J135" s="26">
        <f>+J13</f>
        <v>0.6161137240475942</v>
      </c>
      <c r="K135" s="36"/>
      <c r="L135" s="33">
        <f>-H135*J135</f>
        <v>-0.05465544848491256</v>
      </c>
      <c r="M135" s="36"/>
      <c r="N135" s="141">
        <f>+N13</f>
        <v>1.6230755440453266</v>
      </c>
      <c r="O135" s="36"/>
      <c r="P135" s="33">
        <f>-L135*N135</f>
        <v>0.08870992178469077</v>
      </c>
      <c r="Q135" s="36"/>
    </row>
    <row r="136" spans="1:17" ht="12.75">
      <c r="A136" s="168"/>
      <c r="B136" s="169"/>
      <c r="C136" s="36"/>
      <c r="D136" s="33"/>
      <c r="E136" s="33"/>
      <c r="F136" s="34"/>
      <c r="G136" s="33"/>
      <c r="H136" s="33"/>
      <c r="I136" s="36"/>
      <c r="J136" s="26"/>
      <c r="K136" s="36"/>
      <c r="L136" s="33"/>
      <c r="M136" s="36"/>
      <c r="N136" s="141"/>
      <c r="O136" s="36"/>
      <c r="P136" s="33"/>
      <c r="Q136" s="36"/>
    </row>
    <row r="137" spans="1:17" ht="12.75">
      <c r="A137" s="43">
        <f>+'IncomeAdj.s'!A119</f>
        <v>35</v>
      </c>
      <c r="B137" s="74" t="str">
        <f>+'IncomeAdj.s'!B119</f>
        <v>Eliminate Interest charged to Corporate</v>
      </c>
      <c r="C137" s="36"/>
      <c r="D137" s="34">
        <f>+'IncomeAdj.s'!I123</f>
        <v>0.4250999999931082</v>
      </c>
      <c r="E137" s="36"/>
      <c r="F137" s="34">
        <f>+'IncomeAdj.s'!T123</f>
        <v>0</v>
      </c>
      <c r="G137" s="33"/>
      <c r="H137" s="33">
        <f>+D137-F137</f>
        <v>0.4250999999931082</v>
      </c>
      <c r="I137" s="36"/>
      <c r="J137" s="26">
        <f>+J13</f>
        <v>0.6161137240475942</v>
      </c>
      <c r="K137" s="36"/>
      <c r="L137" s="33">
        <f>-H137*J137</f>
        <v>-0.2619099440883862</v>
      </c>
      <c r="M137" s="36"/>
      <c r="N137" s="141">
        <f>+N13</f>
        <v>1.6230755440453266</v>
      </c>
      <c r="O137" s="36"/>
      <c r="P137" s="33">
        <f>-L137*N137</f>
        <v>0.4250996249921385</v>
      </c>
      <c r="Q137" s="36"/>
    </row>
    <row r="138" spans="1:17" ht="12.75">
      <c r="A138" s="43"/>
      <c r="B138" s="74"/>
      <c r="C138" s="36"/>
      <c r="D138" s="34"/>
      <c r="E138" s="36"/>
      <c r="F138" s="34"/>
      <c r="G138" s="33"/>
      <c r="H138" s="33"/>
      <c r="I138" s="36"/>
      <c r="J138" s="26"/>
      <c r="K138" s="36"/>
      <c r="L138" s="33"/>
      <c r="M138" s="36"/>
      <c r="N138" s="141"/>
      <c r="O138" s="36"/>
      <c r="P138" s="33"/>
      <c r="Q138" s="36"/>
    </row>
    <row r="139" spans="1:17" ht="12.75">
      <c r="A139" s="43">
        <f>+'IncomeAdj.s'!A125</f>
        <v>36</v>
      </c>
      <c r="B139" s="74" t="str">
        <f>+'IncomeAdj.s'!B125</f>
        <v>Annualize Postage Expense</v>
      </c>
      <c r="C139" s="36"/>
      <c r="D139" s="34">
        <f>+'IncomeAdj.s'!I129</f>
        <v>30318.28694</v>
      </c>
      <c r="E139" s="36"/>
      <c r="F139" s="34">
        <f>+'IncomeAdj.s'!T129</f>
        <v>30318</v>
      </c>
      <c r="G139" s="33"/>
      <c r="H139" s="33">
        <f>+D139-F139</f>
        <v>0.28694000000177766</v>
      </c>
      <c r="I139" s="36"/>
      <c r="J139" s="26">
        <f>+J13</f>
        <v>0.6161137240475942</v>
      </c>
      <c r="K139" s="36"/>
      <c r="L139" s="33">
        <f>-H139*J139</f>
        <v>-0.17678767197931194</v>
      </c>
      <c r="M139" s="36"/>
      <c r="N139" s="141">
        <f>+N13</f>
        <v>1.6230755440453266</v>
      </c>
      <c r="O139" s="36"/>
      <c r="P139" s="33">
        <f>-L139*N139</f>
        <v>0.28693974687832846</v>
      </c>
      <c r="Q139" s="36"/>
    </row>
    <row r="140" spans="1:17" ht="12.75">
      <c r="A140" s="43"/>
      <c r="B140" s="74"/>
      <c r="C140" s="36"/>
      <c r="D140" s="34"/>
      <c r="E140" s="36"/>
      <c r="F140" s="34"/>
      <c r="G140" s="33"/>
      <c r="H140" s="33"/>
      <c r="I140" s="36"/>
      <c r="J140" s="26"/>
      <c r="K140" s="36"/>
      <c r="L140" s="33"/>
      <c r="M140" s="36"/>
      <c r="N140" s="141"/>
      <c r="O140" s="36"/>
      <c r="P140" s="33"/>
      <c r="Q140" s="36"/>
    </row>
    <row r="141" spans="1:17" ht="12.75">
      <c r="A141" s="43">
        <f>+'IncomeAdj.s'!A130</f>
        <v>37</v>
      </c>
      <c r="B141" s="74" t="str">
        <f>+'IncomeAdj.s'!B130</f>
        <v>Fuel &amp; Purchase Power - Interchange</v>
      </c>
      <c r="C141" s="36"/>
      <c r="D141" s="34">
        <f>+'IncomeAdj.s'!I138</f>
        <v>-6088389.268300001</v>
      </c>
      <c r="E141" s="36"/>
      <c r="F141" s="34">
        <f>+'IncomeAdj.s'!T138</f>
        <v>-6088389</v>
      </c>
      <c r="G141" s="33"/>
      <c r="H141" s="33">
        <f>+D141-F141</f>
        <v>-0.26830000057816505</v>
      </c>
      <c r="I141" s="36"/>
      <c r="J141" s="26">
        <f>+J13</f>
        <v>0.6161137240475942</v>
      </c>
      <c r="K141" s="36"/>
      <c r="L141" s="33">
        <f>-H141*J141</f>
        <v>0.16530331251818495</v>
      </c>
      <c r="M141" s="36"/>
      <c r="N141" s="141">
        <f>+N13</f>
        <v>1.6230755440453266</v>
      </c>
      <c r="O141" s="36"/>
      <c r="P141" s="33">
        <f>-L141*N141</f>
        <v>-0.2682997638979477</v>
      </c>
      <c r="Q141" s="36"/>
    </row>
    <row r="142" spans="1:17" ht="12.75">
      <c r="A142" s="43"/>
      <c r="B142" s="74"/>
      <c r="C142" s="36"/>
      <c r="D142" s="34"/>
      <c r="E142" s="36"/>
      <c r="F142" s="34"/>
      <c r="G142" s="33"/>
      <c r="H142" s="33"/>
      <c r="I142" s="36"/>
      <c r="J142" s="26"/>
      <c r="K142" s="36"/>
      <c r="L142" s="33"/>
      <c r="M142" s="36"/>
      <c r="N142" s="141"/>
      <c r="O142" s="36"/>
      <c r="P142" s="33"/>
      <c r="Q142" s="36"/>
    </row>
    <row r="143" spans="1:17" ht="12.75">
      <c r="A143" s="43">
        <f>+'IncomeAdj.s'!A141</f>
        <v>38</v>
      </c>
      <c r="B143" s="74" t="str">
        <f>+'IncomeAdj.s'!B141</f>
        <v>Advertising Expense</v>
      </c>
      <c r="C143" s="36"/>
      <c r="D143" s="34">
        <f>+'IncomeAdj.s'!I152</f>
        <v>-348676.45228</v>
      </c>
      <c r="E143" s="36"/>
      <c r="F143" s="34">
        <f>+'IncomeAdj.s'!T152</f>
        <v>-348676</v>
      </c>
      <c r="G143" s="33"/>
      <c r="H143" s="33">
        <f>+D143-F143</f>
        <v>-0.45228000002680346</v>
      </c>
      <c r="I143" s="36"/>
      <c r="J143" s="26">
        <f>+J13</f>
        <v>0.6161137240475942</v>
      </c>
      <c r="K143" s="36"/>
      <c r="L143" s="33">
        <f>-H143*J143</f>
        <v>0.2786559151287599</v>
      </c>
      <c r="M143" s="36"/>
      <c r="N143" s="141">
        <f>+N13</f>
        <v>1.6230755440453266</v>
      </c>
      <c r="O143" s="36"/>
      <c r="P143" s="33">
        <f>-L143*N143</f>
        <v>-0.4522796010490604</v>
      </c>
      <c r="Q143" s="36"/>
    </row>
    <row r="144" spans="1:17" ht="12.75">
      <c r="A144" s="43"/>
      <c r="B144" s="74"/>
      <c r="C144" s="36"/>
      <c r="D144" s="34"/>
      <c r="E144" s="36"/>
      <c r="F144" s="34"/>
      <c r="G144" s="33"/>
      <c r="H144" s="33"/>
      <c r="I144" s="36"/>
      <c r="J144" s="26"/>
      <c r="K144" s="36"/>
      <c r="L144" s="33"/>
      <c r="M144" s="36"/>
      <c r="N144" s="141"/>
      <c r="O144" s="36"/>
      <c r="P144" s="33"/>
      <c r="Q144" s="36"/>
    </row>
    <row r="145" spans="1:17" ht="12.75">
      <c r="A145" s="43">
        <f>+'IncomeAdj.s'!A155</f>
        <v>39</v>
      </c>
      <c r="B145" s="74" t="str">
        <f>+'IncomeAdj.s'!B155</f>
        <v>Maintenance Expense Normalization</v>
      </c>
      <c r="C145" s="36"/>
      <c r="D145" s="34">
        <f>+'IncomeAdj.s'!I182</f>
        <v>0.3051899999845773</v>
      </c>
      <c r="E145" s="36"/>
      <c r="F145" s="34">
        <f>+'IncomeAdj.s'!T182</f>
        <v>0</v>
      </c>
      <c r="G145" s="33"/>
      <c r="H145" s="33">
        <f>+D145-F145</f>
        <v>0.3051899999845773</v>
      </c>
      <c r="I145" s="36"/>
      <c r="J145" s="26">
        <f>+J13</f>
        <v>0.6161137240475942</v>
      </c>
      <c r="K145" s="36"/>
      <c r="L145" s="33">
        <f>-H145*J145</f>
        <v>-0.18803174743258314</v>
      </c>
      <c r="M145" s="36"/>
      <c r="N145" s="141">
        <f>+N13</f>
        <v>1.6230755440453266</v>
      </c>
      <c r="O145" s="36"/>
      <c r="P145" s="33">
        <f>-L145*N145</f>
        <v>0.30518973076193334</v>
      </c>
      <c r="Q145" s="36"/>
    </row>
    <row r="146" spans="1:17" ht="12.75">
      <c r="A146" s="43"/>
      <c r="B146" s="74"/>
      <c r="C146" s="36"/>
      <c r="D146" s="34"/>
      <c r="E146" s="36"/>
      <c r="F146" s="34"/>
      <c r="G146" s="33"/>
      <c r="H146" s="33"/>
      <c r="I146" s="36"/>
      <c r="J146" s="26"/>
      <c r="K146" s="36"/>
      <c r="L146" s="33"/>
      <c r="M146" s="36"/>
      <c r="N146" s="141"/>
      <c r="O146" s="36"/>
      <c r="P146" s="33"/>
      <c r="Q146" s="36"/>
    </row>
    <row r="147" spans="1:17" ht="18">
      <c r="A147" s="43"/>
      <c r="B147" s="74"/>
      <c r="C147" s="36"/>
      <c r="D147" s="34"/>
      <c r="E147" s="148" t="s">
        <v>62</v>
      </c>
      <c r="F147" s="36"/>
      <c r="G147" s="36"/>
      <c r="H147" s="36"/>
      <c r="I147" s="36"/>
      <c r="J147" s="26"/>
      <c r="K147" s="36"/>
      <c r="L147" s="33"/>
      <c r="M147" s="36"/>
      <c r="N147" s="141"/>
      <c r="O147" s="36"/>
      <c r="P147" s="33"/>
      <c r="Q147" s="36"/>
    </row>
    <row r="148" spans="1:17" ht="12.75">
      <c r="A148" s="43"/>
      <c r="B148" s="74"/>
      <c r="C148" s="36"/>
      <c r="D148" s="34"/>
      <c r="E148" s="36"/>
      <c r="F148" s="36" t="str">
        <f>+F4</f>
        <v>Missouri Public Service Division</v>
      </c>
      <c r="G148" s="36"/>
      <c r="H148" s="36"/>
      <c r="I148" s="36"/>
      <c r="J148" s="26"/>
      <c r="K148" s="36"/>
      <c r="L148" s="33"/>
      <c r="M148" s="36"/>
      <c r="N148" s="141"/>
      <c r="O148" s="36"/>
      <c r="P148" s="33"/>
      <c r="Q148" s="36"/>
    </row>
    <row r="149" spans="1:17" ht="12.75">
      <c r="A149" s="43"/>
      <c r="B149" s="74"/>
      <c r="C149" s="36"/>
      <c r="D149" s="34"/>
      <c r="E149" s="36"/>
      <c r="F149" s="36" t="str">
        <f>+F6</f>
        <v>         Case No. ER 2004-0034</v>
      </c>
      <c r="G149" s="36"/>
      <c r="H149" s="36"/>
      <c r="I149" s="36"/>
      <c r="J149" s="26"/>
      <c r="K149" s="36"/>
      <c r="L149" s="33"/>
      <c r="M149" s="36"/>
      <c r="N149" s="141"/>
      <c r="O149" s="36"/>
      <c r="P149" s="33"/>
      <c r="Q149" s="36"/>
    </row>
    <row r="150" spans="1:17" ht="12.75">
      <c r="A150" s="43"/>
      <c r="B150" s="74"/>
      <c r="C150" s="36"/>
      <c r="D150" s="34"/>
      <c r="E150" s="36"/>
      <c r="F150" s="34"/>
      <c r="G150" s="33"/>
      <c r="H150" s="33"/>
      <c r="I150" s="36"/>
      <c r="J150" s="26"/>
      <c r="K150" s="36"/>
      <c r="L150" s="33"/>
      <c r="M150" s="36"/>
      <c r="N150" s="141"/>
      <c r="O150" s="36"/>
      <c r="P150" s="33"/>
      <c r="Q150" s="36"/>
    </row>
    <row r="151" spans="1:17" ht="12.75">
      <c r="A151" s="43"/>
      <c r="B151" s="74"/>
      <c r="C151" s="36"/>
      <c r="D151" s="34"/>
      <c r="E151" s="36"/>
      <c r="F151" s="34"/>
      <c r="G151" s="33"/>
      <c r="H151" s="33"/>
      <c r="I151" s="36"/>
      <c r="J151" s="26"/>
      <c r="K151" s="36"/>
      <c r="L151" s="33"/>
      <c r="M151" s="36"/>
      <c r="N151" s="141"/>
      <c r="O151" s="36"/>
      <c r="P151" s="33"/>
      <c r="Q151" s="36"/>
    </row>
    <row r="152" spans="1:17" ht="12.75">
      <c r="A152" s="168"/>
      <c r="B152" s="169"/>
      <c r="C152" s="36"/>
      <c r="D152" s="33"/>
      <c r="E152" s="33"/>
      <c r="F152" s="34"/>
      <c r="G152" s="33"/>
      <c r="H152" s="33"/>
      <c r="I152" s="36"/>
      <c r="J152" s="26"/>
      <c r="K152" s="36"/>
      <c r="L152" s="33"/>
      <c r="M152" s="36"/>
      <c r="N152" s="141"/>
      <c r="O152" s="36"/>
      <c r="P152" s="33"/>
      <c r="Q152" s="36"/>
    </row>
    <row r="153" spans="1:17" ht="12.75">
      <c r="A153" s="168">
        <f>+'IncomeAdj.s'!A184</f>
        <v>40</v>
      </c>
      <c r="B153" s="169" t="str">
        <f>+'IncomeAdj.s'!B184</f>
        <v>Dues &amp; Donations</v>
      </c>
      <c r="C153" s="36"/>
      <c r="D153" s="33">
        <f>+'IncomeAdj.s'!I190</f>
        <v>-332066.57954</v>
      </c>
      <c r="E153" s="33"/>
      <c r="F153" s="34">
        <f>+'IncomeAdj.s'!T190</f>
        <v>-332067</v>
      </c>
      <c r="G153" s="33"/>
      <c r="H153" s="33">
        <f>+D153-F153</f>
        <v>0.42045999999390915</v>
      </c>
      <c r="I153" s="36"/>
      <c r="J153" s="26">
        <f>+J13</f>
        <v>0.6161137240475942</v>
      </c>
      <c r="K153" s="36"/>
      <c r="L153" s="33">
        <f>-H153*J153</f>
        <v>-0.2590511764092988</v>
      </c>
      <c r="M153" s="36"/>
      <c r="N153" s="141">
        <f>+N13</f>
        <v>1.6230755440453266</v>
      </c>
      <c r="O153" s="36"/>
      <c r="P153" s="33">
        <f>-L153*N153</f>
        <v>0.42045962908610457</v>
      </c>
      <c r="Q153" s="36"/>
    </row>
    <row r="154" spans="1:17" ht="12.75">
      <c r="A154" s="168"/>
      <c r="B154" s="169"/>
      <c r="C154" s="36"/>
      <c r="D154" s="33"/>
      <c r="E154" s="33"/>
      <c r="F154" s="34"/>
      <c r="G154" s="33"/>
      <c r="H154" s="33"/>
      <c r="I154" s="36"/>
      <c r="J154" s="26"/>
      <c r="K154" s="36"/>
      <c r="L154" s="33"/>
      <c r="M154" s="36"/>
      <c r="N154" s="141"/>
      <c r="O154" s="36"/>
      <c r="P154" s="33"/>
      <c r="Q154" s="36"/>
    </row>
    <row r="155" spans="1:17" ht="12.75">
      <c r="A155" s="43">
        <f>+'IncomeAdj.s'!A193</f>
        <v>41</v>
      </c>
      <c r="B155" s="74" t="str">
        <f>+'IncomeAdj.s'!B193</f>
        <v>ESF/IBU Allocations-August Factors</v>
      </c>
      <c r="C155" s="36"/>
      <c r="D155" s="33">
        <f>+'IncomeAdj.s'!I249</f>
        <v>-1846236.64463</v>
      </c>
      <c r="E155" s="33"/>
      <c r="F155" s="33">
        <f>+'IncomeAdj.s'!T249</f>
        <v>-1814998</v>
      </c>
      <c r="G155" s="33"/>
      <c r="H155" s="33">
        <f>+D155-F155</f>
        <v>-31238.644629999995</v>
      </c>
      <c r="I155" s="36"/>
      <c r="J155" s="26">
        <f>+J13</f>
        <v>0.6161137240475942</v>
      </c>
      <c r="K155" s="36"/>
      <c r="L155" s="33">
        <f>-H155*J155</f>
        <v>19246.557677188677</v>
      </c>
      <c r="M155" s="36"/>
      <c r="N155" s="141">
        <f>+N13</f>
        <v>1.6230755440453266</v>
      </c>
      <c r="O155" s="36"/>
      <c r="P155" s="33">
        <f>-L155*N155</f>
        <v>-31238.61707290277</v>
      </c>
      <c r="Q155" s="36"/>
    </row>
    <row r="156" spans="1:17" ht="12.75">
      <c r="A156" s="43"/>
      <c r="B156" s="74"/>
      <c r="C156" s="36"/>
      <c r="D156" s="33"/>
      <c r="E156" s="33"/>
      <c r="F156" s="33"/>
      <c r="G156" s="33"/>
      <c r="H156" s="33"/>
      <c r="I156" s="36"/>
      <c r="J156" s="26"/>
      <c r="K156" s="36"/>
      <c r="L156" s="33"/>
      <c r="M156" s="36"/>
      <c r="N156" s="141"/>
      <c r="O156" s="36"/>
      <c r="P156" s="33"/>
      <c r="Q156" s="36"/>
    </row>
    <row r="157" spans="1:17" ht="12.75">
      <c r="A157" s="43">
        <f>+'IncomeAdj.s'!A251</f>
        <v>42</v>
      </c>
      <c r="B157" s="74" t="str">
        <f>+'IncomeAdj.s'!B251</f>
        <v>O&amp;M L&amp;P Synergies</v>
      </c>
      <c r="C157" s="36"/>
      <c r="D157" s="33">
        <f>+'IncomeAdj.s'!I306</f>
        <v>0</v>
      </c>
      <c r="E157" s="33"/>
      <c r="F157" s="33">
        <f>+'IncomeAdj.s'!T306</f>
        <v>1681031</v>
      </c>
      <c r="G157" s="33"/>
      <c r="H157" s="33">
        <f>+D157-F157</f>
        <v>-1681031</v>
      </c>
      <c r="I157" s="36"/>
      <c r="J157" s="26">
        <f>+J13</f>
        <v>0.6161137240475942</v>
      </c>
      <c r="K157" s="36"/>
      <c r="L157" s="33">
        <f>-H157*J157</f>
        <v>1035706.2696494514</v>
      </c>
      <c r="M157" s="36"/>
      <c r="N157" s="141">
        <f>+N13</f>
        <v>1.6230755440453266</v>
      </c>
      <c r="O157" s="36"/>
      <c r="P157" s="33">
        <f>-L157*N157</f>
        <v>-1681029.517082439</v>
      </c>
      <c r="Q157" s="36"/>
    </row>
    <row r="158" spans="1:17" ht="12.75">
      <c r="A158" s="43"/>
      <c r="B158" s="74"/>
      <c r="C158" s="36"/>
      <c r="D158" s="33"/>
      <c r="E158" s="33"/>
      <c r="F158" s="33"/>
      <c r="G158" s="33"/>
      <c r="H158" s="33"/>
      <c r="I158" s="36"/>
      <c r="J158" s="26"/>
      <c r="K158" s="36"/>
      <c r="L158" s="33"/>
      <c r="M158" s="36"/>
      <c r="N158" s="141"/>
      <c r="O158" s="36"/>
      <c r="P158" s="33"/>
      <c r="Q158" s="36"/>
    </row>
    <row r="159" spans="1:17" ht="12.75">
      <c r="A159" s="43">
        <f>+'IncomeAdj.s'!A308</f>
        <v>43</v>
      </c>
      <c r="B159" s="74" t="str">
        <f>+'IncomeAdj.s'!B308</f>
        <v>Synergies from Joint Dispatch</v>
      </c>
      <c r="C159" s="36"/>
      <c r="D159" s="33">
        <f>+'IncomeAdj.s'!I315</f>
        <v>0</v>
      </c>
      <c r="E159" s="33"/>
      <c r="F159" s="33">
        <f>+'IncomeAdj.s'!T315</f>
        <v>3893769</v>
      </c>
      <c r="G159" s="33"/>
      <c r="H159" s="33">
        <f>+D159-F159</f>
        <v>-3893769</v>
      </c>
      <c r="I159" s="36"/>
      <c r="J159" s="26">
        <f>+J13</f>
        <v>0.6161137240475942</v>
      </c>
      <c r="K159" s="36"/>
      <c r="L159" s="33">
        <f>-H159*J159</f>
        <v>2399004.519171077</v>
      </c>
      <c r="M159" s="36"/>
      <c r="N159" s="141">
        <f>+N13</f>
        <v>1.6230755440453266</v>
      </c>
      <c r="O159" s="36"/>
      <c r="P159" s="33">
        <f>-L159*N159</f>
        <v>-3893765.5651207925</v>
      </c>
      <c r="Q159" s="36"/>
    </row>
    <row r="160" spans="1:17" ht="12.75">
      <c r="A160" s="43"/>
      <c r="B160" s="74"/>
      <c r="C160" s="36"/>
      <c r="D160" s="33"/>
      <c r="E160" s="33"/>
      <c r="F160" s="33"/>
      <c r="G160" s="33"/>
      <c r="H160" s="33"/>
      <c r="I160" s="36"/>
      <c r="J160" s="26"/>
      <c r="K160" s="36"/>
      <c r="L160" s="33"/>
      <c r="M160" s="36"/>
      <c r="N160" s="141"/>
      <c r="O160" s="36"/>
      <c r="P160" s="33"/>
      <c r="Q160" s="36"/>
    </row>
    <row r="161" spans="1:17" ht="12.75">
      <c r="A161" s="43">
        <f>+'IncomeAdj.s'!A317</f>
        <v>44</v>
      </c>
      <c r="B161" s="74" t="str">
        <f>+'IncomeAdj.s'!B317</f>
        <v>MPS Share of JEC' Employee Expense</v>
      </c>
      <c r="C161" s="36"/>
      <c r="D161" s="33">
        <f>+'IncomeAdj.s'!I325</f>
        <v>101661.12626</v>
      </c>
      <c r="E161" s="33"/>
      <c r="F161" s="33">
        <f>+'IncomeAdj.s'!T325</f>
        <v>101661</v>
      </c>
      <c r="G161" s="33"/>
      <c r="H161" s="33">
        <f>+D161-F161</f>
        <v>0.1262600000045495</v>
      </c>
      <c r="I161" s="36"/>
      <c r="J161" s="26">
        <f>+J13</f>
        <v>0.6161137240475942</v>
      </c>
      <c r="K161" s="36"/>
      <c r="L161" s="33">
        <f>-H161*J161</f>
        <v>-0.07779051880105227</v>
      </c>
      <c r="M161" s="36"/>
      <c r="N161" s="141">
        <f>+N13</f>
        <v>1.6230755440453266</v>
      </c>
      <c r="O161" s="36"/>
      <c r="P161" s="33">
        <f>-L161*N161</f>
        <v>0.12625988862458612</v>
      </c>
      <c r="Q161" s="36"/>
    </row>
    <row r="162" spans="1:17" ht="12.75">
      <c r="A162" s="43"/>
      <c r="B162" s="74"/>
      <c r="C162" s="36"/>
      <c r="D162" s="33"/>
      <c r="E162" s="33"/>
      <c r="F162" s="33"/>
      <c r="G162" s="33"/>
      <c r="H162" s="33"/>
      <c r="I162" s="36"/>
      <c r="J162" s="26"/>
      <c r="K162" s="36"/>
      <c r="L162" s="33"/>
      <c r="M162" s="36"/>
      <c r="N162" s="141"/>
      <c r="O162" s="36"/>
      <c r="P162" s="33"/>
      <c r="Q162" s="36"/>
    </row>
    <row r="163" spans="1:17" ht="12.75">
      <c r="A163" s="43">
        <f>+'IncomeAdj.s'!A327</f>
        <v>45</v>
      </c>
      <c r="B163" s="74" t="str">
        <f>+'IncomeAdj.s'!B327</f>
        <v>Annualize Payroll at Sept. 30, 2003 </v>
      </c>
      <c r="C163" s="36"/>
      <c r="D163" s="33">
        <f>+'IncomeAdj.s'!I388</f>
        <v>348631.36364</v>
      </c>
      <c r="E163" s="33"/>
      <c r="F163" s="33">
        <f>+'IncomeAdj.s'!T388</f>
        <v>719968</v>
      </c>
      <c r="G163" s="33"/>
      <c r="H163" s="33">
        <f>+D163-F163</f>
        <v>-371336.63636</v>
      </c>
      <c r="I163" s="36"/>
      <c r="J163" s="26">
        <f>+J13</f>
        <v>0.6161137240475942</v>
      </c>
      <c r="K163" s="36"/>
      <c r="L163" s="33">
        <f>-H163*J163</f>
        <v>228785.5979030669</v>
      </c>
      <c r="M163" s="36"/>
      <c r="N163" s="141">
        <f>+N13</f>
        <v>1.6230755440453266</v>
      </c>
      <c r="O163" s="36"/>
      <c r="P163" s="33">
        <f>-L163*N163</f>
        <v>-371336.30878625566</v>
      </c>
      <c r="Q163" s="36"/>
    </row>
    <row r="164" spans="1:17" ht="12.75">
      <c r="A164" s="43"/>
      <c r="B164" s="74"/>
      <c r="C164" s="36"/>
      <c r="D164" s="33"/>
      <c r="E164" s="33"/>
      <c r="F164" s="33"/>
      <c r="G164" s="33"/>
      <c r="H164" s="33"/>
      <c r="I164" s="36"/>
      <c r="J164" s="26"/>
      <c r="K164" s="36"/>
      <c r="L164" s="33"/>
      <c r="M164" s="36"/>
      <c r="N164" s="141"/>
      <c r="O164" s="36"/>
      <c r="P164" s="33"/>
      <c r="Q164" s="36"/>
    </row>
    <row r="165" spans="1:17" ht="12.75">
      <c r="A165" s="43">
        <f>+'IncomeAdj.s'!A390</f>
        <v>46</v>
      </c>
      <c r="B165" s="74" t="str">
        <f>+'IncomeAdj.s'!B390</f>
        <v>Eliminate Payroll - Restrucuring</v>
      </c>
      <c r="C165" s="36"/>
      <c r="D165" s="33">
        <f>+'IncomeAdj.s'!I450</f>
        <v>-391950.21088999993</v>
      </c>
      <c r="E165" s="33"/>
      <c r="F165" s="33">
        <f>+'IncomeAdj.s'!T450</f>
        <v>0</v>
      </c>
      <c r="G165" s="33"/>
      <c r="H165" s="33">
        <f>+D165-F165</f>
        <v>-391950.21088999993</v>
      </c>
      <c r="I165" s="36"/>
      <c r="J165" s="26">
        <f>+J13</f>
        <v>0.6161137240475942</v>
      </c>
      <c r="K165" s="36"/>
      <c r="L165" s="33">
        <f>-H165*J165</f>
        <v>241485.90407267777</v>
      </c>
      <c r="M165" s="36"/>
      <c r="N165" s="141">
        <f>+N13</f>
        <v>1.6230755440453266</v>
      </c>
      <c r="O165" s="36"/>
      <c r="P165" s="33">
        <f>-L165*N165</f>
        <v>-391949.865132039</v>
      </c>
      <c r="Q165" s="36"/>
    </row>
    <row r="166" spans="1:17" ht="12.75">
      <c r="A166" s="43"/>
      <c r="B166" s="74"/>
      <c r="C166" s="36"/>
      <c r="D166" s="33"/>
      <c r="E166" s="33"/>
      <c r="F166" s="33"/>
      <c r="G166" s="33"/>
      <c r="H166" s="33"/>
      <c r="I166" s="36"/>
      <c r="J166" s="26"/>
      <c r="K166" s="36"/>
      <c r="L166" s="33"/>
      <c r="M166" s="36"/>
      <c r="N166" s="141"/>
      <c r="O166" s="36"/>
      <c r="P166" s="33"/>
      <c r="Q166" s="36"/>
    </row>
    <row r="167" spans="1:17" ht="12.75">
      <c r="A167" s="43">
        <f>+'IncomeAdj.s'!A452</f>
        <v>47</v>
      </c>
      <c r="B167" s="74" t="str">
        <f>+'IncomeAdj.s'!B452</f>
        <v>Annualize Depreciation Expense</v>
      </c>
      <c r="C167" s="36"/>
      <c r="D167" s="33">
        <f>+'IncomeAdj.s'!I461</f>
        <v>-6403886</v>
      </c>
      <c r="E167" s="33"/>
      <c r="F167" s="33">
        <f>+'IncomeAdj.s'!T461</f>
        <v>11312063</v>
      </c>
      <c r="G167" s="33"/>
      <c r="H167" s="33">
        <f>+D167-F167</f>
        <v>-17715949</v>
      </c>
      <c r="I167" s="36"/>
      <c r="J167" s="26">
        <f>+J13</f>
        <v>0.6161137240475942</v>
      </c>
      <c r="K167" s="36"/>
      <c r="L167" s="33">
        <f>-H167*J167</f>
        <v>10915039.313427253</v>
      </c>
      <c r="M167" s="36"/>
      <c r="N167" s="141">
        <f>+N13</f>
        <v>1.6230755440453266</v>
      </c>
      <c r="O167" s="36"/>
      <c r="P167" s="33">
        <f>-L167*N167</f>
        <v>-17715933.371917065</v>
      </c>
      <c r="Q167" s="36"/>
    </row>
    <row r="168" spans="1:17" ht="12.75">
      <c r="A168" s="43"/>
      <c r="B168" s="74"/>
      <c r="C168" s="36"/>
      <c r="D168" s="33"/>
      <c r="E168" s="33"/>
      <c r="F168" s="33"/>
      <c r="G168" s="33"/>
      <c r="H168" s="33"/>
      <c r="I168" s="36"/>
      <c r="J168" s="26"/>
      <c r="K168" s="36"/>
      <c r="L168" s="33"/>
      <c r="M168" s="36"/>
      <c r="N168" s="141"/>
      <c r="O168" s="36"/>
      <c r="P168" s="33"/>
      <c r="Q168" s="36"/>
    </row>
    <row r="169" spans="1:17" ht="12.75">
      <c r="A169" s="43">
        <f>+'IncomeAdj.s'!A463</f>
        <v>48</v>
      </c>
      <c r="B169" s="74" t="str">
        <f>+'IncomeAdj.s'!B463</f>
        <v>Annualize Incentive Compensation</v>
      </c>
      <c r="C169" s="36"/>
      <c r="D169" s="33">
        <f>+'IncomeAdj.s'!I526</f>
        <v>0</v>
      </c>
      <c r="E169" s="33"/>
      <c r="F169" s="33">
        <f>+'IncomeAdj.s'!T526</f>
        <v>601803.6000000001</v>
      </c>
      <c r="G169" s="33"/>
      <c r="H169" s="33">
        <f>+D169-F169</f>
        <v>-601803.6000000001</v>
      </c>
      <c r="I169" s="36"/>
      <c r="J169" s="26">
        <f>+J13</f>
        <v>0.6161137240475942</v>
      </c>
      <c r="K169" s="36"/>
      <c r="L169" s="33">
        <f>-H169*J169</f>
        <v>370779.45714124886</v>
      </c>
      <c r="M169" s="36"/>
      <c r="N169" s="141">
        <f>+N13</f>
        <v>1.6230755440453266</v>
      </c>
      <c r="O169" s="36"/>
      <c r="P169" s="33">
        <f>-L169*N169</f>
        <v>-601803.0691203633</v>
      </c>
      <c r="Q169" s="36"/>
    </row>
    <row r="170" spans="1:17" ht="12.75">
      <c r="A170" s="43"/>
      <c r="B170" s="74"/>
      <c r="C170" s="36"/>
      <c r="D170" s="33"/>
      <c r="E170" s="33"/>
      <c r="F170" s="33"/>
      <c r="G170" s="33"/>
      <c r="H170" s="33"/>
      <c r="I170" s="36"/>
      <c r="J170" s="26"/>
      <c r="K170" s="36"/>
      <c r="L170" s="33"/>
      <c r="M170" s="36"/>
      <c r="N170" s="141"/>
      <c r="O170" s="36"/>
      <c r="P170" s="33"/>
      <c r="Q170" s="36"/>
    </row>
    <row r="171" spans="1:17" ht="12.75">
      <c r="A171" s="43">
        <f>+'IncomeAdj.s'!A529</f>
        <v>49</v>
      </c>
      <c r="B171" s="74" t="str">
        <f>+'IncomeAdj.s'!B529</f>
        <v>Eliminate - Non-Labor Restructuring</v>
      </c>
      <c r="C171" s="36"/>
      <c r="D171" s="33">
        <f>+'IncomeAdj.s'!I581</f>
        <v>-495471.55289999984</v>
      </c>
      <c r="E171" s="33"/>
      <c r="F171" s="33">
        <f>+'IncomeAdj.s'!T581</f>
        <v>0</v>
      </c>
      <c r="G171" s="33"/>
      <c r="H171" s="33">
        <f>+D171-F171</f>
        <v>-495471.55289999984</v>
      </c>
      <c r="I171" s="36"/>
      <c r="J171" s="26">
        <f>+J13</f>
        <v>0.6161137240475942</v>
      </c>
      <c r="K171" s="36"/>
      <c r="L171" s="33">
        <f>-H171*J171</f>
        <v>305266.82361686346</v>
      </c>
      <c r="M171" s="36"/>
      <c r="N171" s="141">
        <f>+N13</f>
        <v>1.6230755440453266</v>
      </c>
      <c r="O171" s="36"/>
      <c r="P171" s="33">
        <f>-L171*N171</f>
        <v>-495471.1158209294</v>
      </c>
      <c r="Q171" s="36"/>
    </row>
    <row r="172" spans="1:17" ht="12.75" hidden="1">
      <c r="A172" s="43">
        <f>+'IncomeAdj.s'!A463</f>
        <v>48</v>
      </c>
      <c r="B172" s="74" t="str">
        <f>+'IncomeAdj.s'!B463</f>
        <v>Annualize Incentive Compensation</v>
      </c>
      <c r="C172" s="36"/>
      <c r="D172" s="33">
        <f>+'IncomeAdj.s'!I651</f>
        <v>0</v>
      </c>
      <c r="E172" s="33"/>
      <c r="F172" s="33">
        <f>+'IncomeAdj.s'!T651</f>
        <v>0</v>
      </c>
      <c r="G172" s="33"/>
      <c r="H172" s="33">
        <f>+D172-F172</f>
        <v>0</v>
      </c>
      <c r="I172" s="36"/>
      <c r="J172" s="26">
        <f>+J13</f>
        <v>0.6161137240475942</v>
      </c>
      <c r="K172" s="36"/>
      <c r="L172" s="33">
        <f>-H172*J172</f>
        <v>0</v>
      </c>
      <c r="M172" s="36"/>
      <c r="N172" s="141">
        <f>+N13</f>
        <v>1.6230755440453266</v>
      </c>
      <c r="O172" s="36"/>
      <c r="P172" s="33">
        <f>-L172*N172</f>
        <v>0</v>
      </c>
      <c r="Q172" s="36"/>
    </row>
    <row r="173" spans="1:17" ht="12.75">
      <c r="A173" s="43"/>
      <c r="B173" s="74"/>
      <c r="C173" s="36"/>
      <c r="D173" s="33"/>
      <c r="E173" s="33"/>
      <c r="F173" s="33"/>
      <c r="G173" s="33"/>
      <c r="H173" s="33"/>
      <c r="I173" s="36"/>
      <c r="J173" s="26"/>
      <c r="K173" s="36"/>
      <c r="L173" s="33"/>
      <c r="M173" s="36"/>
      <c r="N173" s="141"/>
      <c r="O173" s="36"/>
      <c r="P173" s="33"/>
      <c r="Q173" s="36"/>
    </row>
    <row r="174" spans="1:17" ht="12.75">
      <c r="A174" s="43">
        <f>+'IncomeAdj.s'!A583</f>
        <v>50</v>
      </c>
      <c r="B174" s="74">
        <f>+'IncomeAdj.s'!B583</f>
        <v>0</v>
      </c>
      <c r="C174" s="36"/>
      <c r="D174" s="33">
        <f>+'IncomeAdj.s'!I618</f>
        <v>0</v>
      </c>
      <c r="E174" s="33"/>
      <c r="F174" s="33">
        <f>+'IncomeAdj.s'!T618</f>
        <v>0</v>
      </c>
      <c r="G174" s="33"/>
      <c r="H174" s="33">
        <f>+D174-F174</f>
        <v>0</v>
      </c>
      <c r="I174" s="36"/>
      <c r="J174" s="26">
        <f>+J15</f>
        <v>0.6161137240475942</v>
      </c>
      <c r="K174" s="36"/>
      <c r="L174" s="33">
        <f>-H174*J174</f>
        <v>0</v>
      </c>
      <c r="M174" s="36"/>
      <c r="N174" s="141">
        <f>+N15</f>
        <v>1.6230755440453266</v>
      </c>
      <c r="O174" s="36"/>
      <c r="P174" s="33">
        <f>-L174*N174</f>
        <v>0</v>
      </c>
      <c r="Q174" s="36"/>
    </row>
    <row r="175" spans="1:17" ht="12.75">
      <c r="A175" s="43"/>
      <c r="B175" s="74"/>
      <c r="C175" s="36"/>
      <c r="D175" s="33"/>
      <c r="E175" s="33"/>
      <c r="F175" s="33"/>
      <c r="G175" s="33"/>
      <c r="H175" s="33"/>
      <c r="I175" s="36"/>
      <c r="J175" s="26"/>
      <c r="K175" s="36"/>
      <c r="L175" s="33"/>
      <c r="M175" s="36"/>
      <c r="N175" s="141"/>
      <c r="O175" s="36"/>
      <c r="P175" s="33"/>
      <c r="Q175" s="36"/>
    </row>
    <row r="176" spans="1:17" ht="12.75">
      <c r="A176" s="43">
        <f>+'IncomeAdj.s'!A620</f>
        <v>51</v>
      </c>
      <c r="B176" s="74" t="str">
        <f>+'IncomeAdj.s'!B620</f>
        <v>Turbine Overhaul Maintenance</v>
      </c>
      <c r="C176" s="36"/>
      <c r="D176" s="33">
        <f>+'IncomeAdj.s'!I626</f>
        <v>-322283.0509</v>
      </c>
      <c r="E176" s="33"/>
      <c r="F176" s="33">
        <f>+'IncomeAdj.s'!T626</f>
        <v>-322283</v>
      </c>
      <c r="G176" s="33"/>
      <c r="H176" s="33">
        <f>+D176-F176</f>
        <v>-0.05089999997289851</v>
      </c>
      <c r="I176" s="36"/>
      <c r="J176" s="26">
        <f>+J16</f>
        <v>0.6161137240475942</v>
      </c>
      <c r="K176" s="36"/>
      <c r="L176" s="33">
        <f>-H176*J176</f>
        <v>0.031360188537324946</v>
      </c>
      <c r="M176" s="36"/>
      <c r="N176" s="141">
        <f>+N16</f>
        <v>1.6230755440453266</v>
      </c>
      <c r="O176" s="36"/>
      <c r="P176" s="33">
        <f>-L176*N176</f>
        <v>-0.0508999550715827</v>
      </c>
      <c r="Q176" s="36"/>
    </row>
    <row r="177" spans="1:17" ht="12.75">
      <c r="A177" s="43"/>
      <c r="B177" s="74"/>
      <c r="C177" s="36"/>
      <c r="D177" s="33"/>
      <c r="E177" s="33"/>
      <c r="F177" s="33"/>
      <c r="G177" s="33"/>
      <c r="H177" s="33"/>
      <c r="I177" s="36"/>
      <c r="J177" s="26"/>
      <c r="K177" s="36"/>
      <c r="L177" s="33"/>
      <c r="M177" s="36"/>
      <c r="N177" s="141"/>
      <c r="O177" s="36"/>
      <c r="P177" s="33"/>
      <c r="Q177" s="36"/>
    </row>
    <row r="178" spans="1:17" ht="12.75">
      <c r="A178" s="43">
        <f>+'IncomeAdj.s'!A629</f>
        <v>52</v>
      </c>
      <c r="B178" s="74" t="str">
        <f>+'IncomeAdj.s'!B629</f>
        <v>Eliminate Restructuring Costs</v>
      </c>
      <c r="C178" s="36"/>
      <c r="D178" s="33">
        <f>+'IncomeAdj.s'!I649</f>
        <v>-2192105.0316</v>
      </c>
      <c r="E178" s="33"/>
      <c r="F178" s="33">
        <f>+'IncomeAdj.s'!T649</f>
        <v>-1336230.6</v>
      </c>
      <c r="G178" s="33"/>
      <c r="H178" s="33">
        <f>+D178-F178</f>
        <v>-855874.4315999998</v>
      </c>
      <c r="I178" s="36"/>
      <c r="J178" s="26">
        <f>+J17</f>
        <v>0.6161137240475942</v>
      </c>
      <c r="K178" s="36"/>
      <c r="L178" s="33">
        <f>-H178*J178</f>
        <v>527315.9833701939</v>
      </c>
      <c r="M178" s="36"/>
      <c r="N178" s="141">
        <f>+N17</f>
        <v>1.6230755440453266</v>
      </c>
      <c r="O178" s="36"/>
      <c r="P178" s="33">
        <f>-L178*N178</f>
        <v>-855873.6765923738</v>
      </c>
      <c r="Q178" s="36"/>
    </row>
    <row r="179" spans="1:17" ht="12.75">
      <c r="A179" s="43"/>
      <c r="B179" s="74"/>
      <c r="C179" s="36"/>
      <c r="D179" s="34" t="s">
        <v>31</v>
      </c>
      <c r="E179" s="33"/>
      <c r="F179" s="34" t="s">
        <v>31</v>
      </c>
      <c r="G179" s="33"/>
      <c r="H179" s="34" t="s">
        <v>42</v>
      </c>
      <c r="I179" s="36"/>
      <c r="J179" s="26"/>
      <c r="K179" s="36"/>
      <c r="L179" s="34" t="s">
        <v>31</v>
      </c>
      <c r="M179" s="36"/>
      <c r="N179" s="141"/>
      <c r="O179" s="36"/>
      <c r="P179" s="170" t="s">
        <v>31</v>
      </c>
      <c r="Q179" s="36"/>
    </row>
    <row r="180" spans="1:17" ht="12.75">
      <c r="A180" s="43"/>
      <c r="B180" s="74" t="s">
        <v>148</v>
      </c>
      <c r="C180" s="36"/>
      <c r="D180" s="33">
        <f>SUM(D61:D95)+SUM(D105:D179)</f>
        <v>-18683004.936520003</v>
      </c>
      <c r="E180" s="33"/>
      <c r="F180" s="33">
        <f>SUM(F61:F95)+SUM(F105:F179)</f>
        <v>21720754</v>
      </c>
      <c r="G180" s="33"/>
      <c r="H180" s="33">
        <f>SUM(H61:H95)+SUM(H105:H179)</f>
        <v>-40403758.93652001</v>
      </c>
      <c r="I180" s="36"/>
      <c r="J180" s="26"/>
      <c r="K180" s="36"/>
      <c r="L180" s="33">
        <f>SUM(L61:L95)+SUM(L105:L179)</f>
        <v>24893310.3839006</v>
      </c>
      <c r="M180" s="36"/>
      <c r="N180" s="141"/>
      <c r="O180" s="36"/>
      <c r="P180" s="33">
        <f>SUM(P61:P95)+SUM(P105:P179)</f>
        <v>-40403723.294438645</v>
      </c>
      <c r="Q180" s="36"/>
    </row>
    <row r="181" spans="1:17" ht="12.75">
      <c r="A181" s="43"/>
      <c r="B181" s="74"/>
      <c r="C181" s="36"/>
      <c r="D181" s="33"/>
      <c r="E181" s="33"/>
      <c r="F181" s="33"/>
      <c r="G181" s="33"/>
      <c r="H181" s="33"/>
      <c r="I181" s="36"/>
      <c r="J181" s="26"/>
      <c r="K181" s="36"/>
      <c r="L181" s="33"/>
      <c r="M181" s="36"/>
      <c r="N181" s="141"/>
      <c r="O181" s="36"/>
      <c r="P181" s="33"/>
      <c r="Q181" s="36"/>
    </row>
    <row r="182" spans="1:17" ht="15">
      <c r="A182" s="43"/>
      <c r="B182" s="171" t="s">
        <v>189</v>
      </c>
      <c r="C182" s="36"/>
      <c r="D182" s="151">
        <f>+D50+D180</f>
        <v>270336371.9155201</v>
      </c>
      <c r="E182" s="151"/>
      <c r="F182" s="151">
        <f>+F50+F180</f>
        <v>308742523.3725313</v>
      </c>
      <c r="G182" s="151"/>
      <c r="H182" s="151">
        <f>+H50+H180</f>
        <v>-38406151.45701128</v>
      </c>
      <c r="I182" s="35"/>
      <c r="J182" s="152"/>
      <c r="K182" s="35"/>
      <c r="L182" s="151">
        <f>+L50+L180</f>
        <v>23662557.00051515</v>
      </c>
      <c r="M182" s="35"/>
      <c r="N182" s="153">
        <f>+N13</f>
        <v>1.6230755440453266</v>
      </c>
      <c r="O182" s="35"/>
      <c r="P182" s="151">
        <f>+P50+P180</f>
        <v>-38406117.57711468</v>
      </c>
      <c r="Q182" s="35"/>
    </row>
    <row r="183" spans="1:17" ht="12.75">
      <c r="A183" s="43"/>
      <c r="B183" s="74"/>
      <c r="C183" s="36"/>
      <c r="D183" s="33"/>
      <c r="E183" s="33"/>
      <c r="F183" s="172" t="s">
        <v>73</v>
      </c>
      <c r="G183" s="33"/>
      <c r="H183" s="33">
        <f>+D182-F182</f>
        <v>-38406151.45701122</v>
      </c>
      <c r="I183" s="36"/>
      <c r="J183" s="26"/>
      <c r="K183" s="36"/>
      <c r="L183" s="33">
        <f>-H183*J171</f>
        <v>23662557.000515122</v>
      </c>
      <c r="M183" s="36"/>
      <c r="N183" s="141"/>
      <c r="O183" s="36"/>
      <c r="P183" s="164">
        <f>-L183*N182</f>
        <v>-38406117.577114634</v>
      </c>
      <c r="Q183" s="36"/>
    </row>
    <row r="184" spans="1:17" ht="12.75">
      <c r="A184" s="43"/>
      <c r="B184" s="74"/>
      <c r="C184" s="36"/>
      <c r="D184" s="33"/>
      <c r="E184" s="33"/>
      <c r="F184" s="172"/>
      <c r="G184" s="33"/>
      <c r="H184" s="33"/>
      <c r="I184" s="36"/>
      <c r="J184" s="26"/>
      <c r="K184" s="36"/>
      <c r="L184" s="33"/>
      <c r="M184" s="36"/>
      <c r="N184" s="141"/>
      <c r="O184" s="36"/>
      <c r="P184" s="164"/>
      <c r="Q184" s="36"/>
    </row>
    <row r="185" spans="1:17" ht="18">
      <c r="A185" s="43"/>
      <c r="B185" s="74"/>
      <c r="C185" s="36"/>
      <c r="D185" s="33"/>
      <c r="E185" s="148" t="s">
        <v>62</v>
      </c>
      <c r="F185" s="36"/>
      <c r="G185" s="36"/>
      <c r="H185" s="36"/>
      <c r="I185" s="36"/>
      <c r="J185" s="26"/>
      <c r="K185" s="36"/>
      <c r="L185" s="33"/>
      <c r="M185" s="36"/>
      <c r="N185" s="141"/>
      <c r="O185" s="36"/>
      <c r="P185" s="33"/>
      <c r="Q185" s="36"/>
    </row>
    <row r="186" spans="1:17" ht="12.75">
      <c r="A186" s="43"/>
      <c r="B186" s="74"/>
      <c r="C186" s="36"/>
      <c r="D186" s="33"/>
      <c r="E186" s="36"/>
      <c r="F186" s="36" t="str">
        <f>+F98</f>
        <v>Missouri Public Service Division</v>
      </c>
      <c r="G186" s="36"/>
      <c r="H186" s="36"/>
      <c r="I186" s="36"/>
      <c r="J186" s="26"/>
      <c r="K186" s="36"/>
      <c r="L186" s="33"/>
      <c r="M186" s="36"/>
      <c r="N186" s="141"/>
      <c r="O186" s="36"/>
      <c r="P186" s="33"/>
      <c r="Q186" s="36"/>
    </row>
    <row r="187" spans="1:17" ht="12.75">
      <c r="A187" s="43"/>
      <c r="B187" s="74"/>
      <c r="C187" s="36"/>
      <c r="D187" s="33"/>
      <c r="E187" s="36"/>
      <c r="F187" s="36" t="str">
        <f>+F99</f>
        <v>         Case No. ER 2004-0034</v>
      </c>
      <c r="G187" s="36"/>
      <c r="H187" s="36"/>
      <c r="I187" s="36"/>
      <c r="J187" s="26"/>
      <c r="K187" s="36"/>
      <c r="L187" s="33"/>
      <c r="M187" s="36"/>
      <c r="N187" s="141"/>
      <c r="O187" s="36"/>
      <c r="P187" s="33"/>
      <c r="Q187" s="36"/>
    </row>
    <row r="188" spans="1:18" ht="12.75">
      <c r="A188" s="43"/>
      <c r="B188" s="74"/>
      <c r="C188" s="36"/>
      <c r="D188" s="36"/>
      <c r="E188" s="36"/>
      <c r="F188" s="36"/>
      <c r="G188" s="36"/>
      <c r="H188" s="36"/>
      <c r="I188" s="36"/>
      <c r="J188" s="39"/>
      <c r="K188" s="36"/>
      <c r="L188" s="36"/>
      <c r="M188" s="36"/>
      <c r="N188" s="141"/>
      <c r="O188" s="36"/>
      <c r="P188" s="36"/>
      <c r="Q188" s="36"/>
      <c r="R188" s="23"/>
    </row>
    <row r="189" spans="1:18" ht="12.75">
      <c r="A189" s="43"/>
      <c r="B189" s="74"/>
      <c r="C189" s="36"/>
      <c r="D189" s="36"/>
      <c r="E189" s="36"/>
      <c r="F189" s="36"/>
      <c r="G189" s="36"/>
      <c r="H189" s="36"/>
      <c r="I189" s="36"/>
      <c r="J189" s="36"/>
      <c r="K189" s="36"/>
      <c r="L189" s="43" t="s">
        <v>69</v>
      </c>
      <c r="M189" s="36"/>
      <c r="N189" s="141"/>
      <c r="O189" s="36"/>
      <c r="P189" s="36"/>
      <c r="Q189" s="36"/>
      <c r="R189" s="23"/>
    </row>
    <row r="190" spans="1:17" ht="12.75">
      <c r="A190" s="43"/>
      <c r="B190" s="74"/>
      <c r="C190" s="36"/>
      <c r="D190" s="151"/>
      <c r="E190" s="36"/>
      <c r="F190" s="151"/>
      <c r="G190" s="36"/>
      <c r="H190" s="36"/>
      <c r="I190" s="36"/>
      <c r="J190" s="152"/>
      <c r="K190" s="36"/>
      <c r="L190" s="39" t="s">
        <v>17</v>
      </c>
      <c r="M190" s="36"/>
      <c r="N190" s="161" t="s">
        <v>53</v>
      </c>
      <c r="O190" s="36"/>
      <c r="P190" s="43" t="s">
        <v>34</v>
      </c>
      <c r="Q190" s="36"/>
    </row>
    <row r="191" spans="1:17" ht="12.75">
      <c r="A191" s="43"/>
      <c r="B191" s="74"/>
      <c r="C191" s="36"/>
      <c r="D191" s="43" t="s">
        <v>17</v>
      </c>
      <c r="E191" s="33"/>
      <c r="F191" s="43" t="s">
        <v>249</v>
      </c>
      <c r="G191" s="33"/>
      <c r="H191" s="151"/>
      <c r="I191" s="36"/>
      <c r="J191" s="43" t="s">
        <v>59</v>
      </c>
      <c r="K191" s="36"/>
      <c r="L191" s="36" t="s">
        <v>68</v>
      </c>
      <c r="M191" s="36"/>
      <c r="N191" s="161" t="s">
        <v>70</v>
      </c>
      <c r="O191" s="36"/>
      <c r="P191" s="43" t="s">
        <v>33</v>
      </c>
      <c r="Q191" s="36"/>
    </row>
    <row r="192" spans="1:17" ht="12.75">
      <c r="A192" s="43"/>
      <c r="B192" s="74"/>
      <c r="C192" s="36"/>
      <c r="D192" s="43" t="s">
        <v>222</v>
      </c>
      <c r="E192" s="43"/>
      <c r="F192" s="43" t="s">
        <v>241</v>
      </c>
      <c r="G192" s="43"/>
      <c r="H192" s="43" t="s">
        <v>19</v>
      </c>
      <c r="I192" s="43"/>
      <c r="J192" s="43" t="s">
        <v>40</v>
      </c>
      <c r="K192" s="43"/>
      <c r="L192" s="43" t="s">
        <v>67</v>
      </c>
      <c r="M192" s="43"/>
      <c r="N192" s="161" t="s">
        <v>40</v>
      </c>
      <c r="O192" s="43"/>
      <c r="P192" s="43" t="s">
        <v>71</v>
      </c>
      <c r="Q192" s="36"/>
    </row>
    <row r="193" spans="1:17" ht="12.75">
      <c r="A193" s="43"/>
      <c r="B193" s="74"/>
      <c r="C193" s="36"/>
      <c r="D193" s="27" t="s">
        <v>42</v>
      </c>
      <c r="E193" s="36"/>
      <c r="F193" s="27" t="s">
        <v>64</v>
      </c>
      <c r="G193" s="36"/>
      <c r="H193" s="27" t="s">
        <v>42</v>
      </c>
      <c r="I193" s="36"/>
      <c r="J193" s="27" t="s">
        <v>11</v>
      </c>
      <c r="K193" s="36"/>
      <c r="L193" s="27" t="s">
        <v>31</v>
      </c>
      <c r="M193" s="36"/>
      <c r="N193" s="154" t="s">
        <v>5</v>
      </c>
      <c r="O193" s="36"/>
      <c r="P193" s="27" t="s">
        <v>42</v>
      </c>
      <c r="Q193" s="36"/>
    </row>
    <row r="194" spans="1:17" ht="12.75">
      <c r="A194" s="43"/>
      <c r="B194" s="167" t="s">
        <v>74</v>
      </c>
      <c r="C194" s="36"/>
      <c r="D194" s="173">
        <f>+D33-D182</f>
        <v>58889654.36287987</v>
      </c>
      <c r="E194" s="36"/>
      <c r="F194" s="173">
        <f>+F33-F182</f>
        <v>18609707.42331618</v>
      </c>
      <c r="G194" s="36"/>
      <c r="H194" s="173">
        <f>+H33-H182</f>
        <v>40279946.93956378</v>
      </c>
      <c r="I194" s="36"/>
      <c r="J194" s="26">
        <f>+L194/H194</f>
        <v>0.616113724047594</v>
      </c>
      <c r="K194" s="36"/>
      <c r="L194" s="173">
        <f>+L33+L182</f>
        <v>24817028.11337413</v>
      </c>
      <c r="M194" s="36"/>
      <c r="N194" s="141"/>
      <c r="O194" s="36"/>
      <c r="P194" s="173">
        <f>+P33+P182</f>
        <v>-40279911.406702876</v>
      </c>
      <c r="Q194" s="36"/>
    </row>
    <row r="195" spans="1:18" ht="12.75">
      <c r="A195" s="43"/>
      <c r="B195" s="74"/>
      <c r="C195" s="36"/>
      <c r="D195" s="36"/>
      <c r="E195" s="36"/>
      <c r="F195" s="174" t="s">
        <v>73</v>
      </c>
      <c r="G195" s="36"/>
      <c r="H195" s="33">
        <f>+D194-F194</f>
        <v>40279946.93956369</v>
      </c>
      <c r="I195" s="36"/>
      <c r="J195" s="26"/>
      <c r="K195" s="36"/>
      <c r="L195" s="33"/>
      <c r="M195" s="36"/>
      <c r="N195" s="175" t="s">
        <v>73</v>
      </c>
      <c r="O195" s="36"/>
      <c r="P195" s="33"/>
      <c r="Q195" s="33">
        <f>-L194*N13</f>
        <v>-40279911.40670288</v>
      </c>
      <c r="R195" s="23"/>
    </row>
    <row r="196" spans="1:16" ht="15.75">
      <c r="A196" s="30"/>
      <c r="B196" s="63" t="s">
        <v>75</v>
      </c>
      <c r="C196" s="23"/>
      <c r="D196" s="23"/>
      <c r="E196" s="23"/>
      <c r="F196" s="23"/>
      <c r="G196" s="23"/>
      <c r="J196" s="6"/>
      <c r="L196" s="9"/>
      <c r="N196" s="90"/>
      <c r="P196" s="9"/>
    </row>
    <row r="197" spans="1:16" ht="12.75">
      <c r="A197" s="30"/>
      <c r="B197" s="64" t="s">
        <v>155</v>
      </c>
      <c r="C197" s="23"/>
      <c r="D197" s="23"/>
      <c r="E197" s="23"/>
      <c r="F197" s="23"/>
      <c r="G197" s="23"/>
      <c r="J197" s="6"/>
      <c r="L197" s="9"/>
      <c r="N197" s="90"/>
      <c r="P197" s="9"/>
    </row>
    <row r="198" spans="1:17" ht="12.75">
      <c r="A198" s="41" t="s">
        <v>76</v>
      </c>
      <c r="B198" s="53" t="s">
        <v>360</v>
      </c>
      <c r="C198" s="69"/>
      <c r="D198" s="33">
        <f>+D45+D167</f>
        <v>31459406.803050004</v>
      </c>
      <c r="E198" s="36"/>
      <c r="F198" s="33">
        <f>+F45+F167</f>
        <v>45705585.4917914</v>
      </c>
      <c r="G198" s="36"/>
      <c r="H198" s="33">
        <f>+D198-F198</f>
        <v>-14246178.688741393</v>
      </c>
      <c r="J198" s="26">
        <f>+J9</f>
        <v>0.3838862759524057</v>
      </c>
      <c r="K198" s="36"/>
      <c r="L198" s="33">
        <f>-H198*J198</f>
        <v>5468912.483373459</v>
      </c>
      <c r="M198" s="36"/>
      <c r="N198" s="141">
        <f>+N13</f>
        <v>1.6230755440453266</v>
      </c>
      <c r="O198" s="36"/>
      <c r="P198" s="33">
        <f>-L198*N198</f>
        <v>-8876458.104287656</v>
      </c>
      <c r="Q198" t="s">
        <v>391</v>
      </c>
    </row>
    <row r="199" spans="1:17" ht="12.75">
      <c r="A199" s="30"/>
      <c r="B199" s="52" t="s">
        <v>400</v>
      </c>
      <c r="C199" s="144" t="s">
        <v>18</v>
      </c>
      <c r="D199" s="21">
        <f>100000+14818</f>
        <v>114818</v>
      </c>
      <c r="E199" s="29"/>
      <c r="F199" s="21">
        <f>129637-14819</f>
        <v>114818</v>
      </c>
      <c r="G199" s="23"/>
      <c r="H199" s="9">
        <f>+D199-F199</f>
        <v>0</v>
      </c>
      <c r="J199" s="26">
        <f>+J9</f>
        <v>0.3838862759524057</v>
      </c>
      <c r="K199" s="36"/>
      <c r="L199" s="33">
        <f>-H199*J199</f>
        <v>0</v>
      </c>
      <c r="M199" s="36"/>
      <c r="N199" s="141">
        <f>+N13</f>
        <v>1.6230755440453266</v>
      </c>
      <c r="O199" s="36"/>
      <c r="P199" s="33">
        <f>-L199*N199</f>
        <v>0</v>
      </c>
      <c r="Q199" t="s">
        <v>392</v>
      </c>
    </row>
    <row r="200" spans="1:17" ht="12.75">
      <c r="A200" s="30"/>
      <c r="B200" s="53" t="s">
        <v>362</v>
      </c>
      <c r="C200" s="135" t="s">
        <v>18</v>
      </c>
      <c r="D200" s="20">
        <v>1546000</v>
      </c>
      <c r="E200" s="23"/>
      <c r="F200" s="20">
        <v>0</v>
      </c>
      <c r="G200" s="23"/>
      <c r="H200" s="9">
        <f>+D200-F200</f>
        <v>1546000</v>
      </c>
      <c r="J200" s="26">
        <f>+J9</f>
        <v>0.3838862759524057</v>
      </c>
      <c r="K200" s="36"/>
      <c r="L200" s="33">
        <f>-H200*J200</f>
        <v>-593488.1826224192</v>
      </c>
      <c r="M200" s="36"/>
      <c r="N200" s="141">
        <f>+N13</f>
        <v>1.6230755440453266</v>
      </c>
      <c r="O200" s="36"/>
      <c r="P200" s="33">
        <f>-L200*N200</f>
        <v>963276.1548943552</v>
      </c>
      <c r="Q200" t="s">
        <v>392</v>
      </c>
    </row>
    <row r="201" spans="1:17" ht="12.75">
      <c r="A201" s="30"/>
      <c r="B201" s="53" t="s">
        <v>363</v>
      </c>
      <c r="C201" s="135" t="s">
        <v>18</v>
      </c>
      <c r="D201" s="20">
        <v>769000</v>
      </c>
      <c r="E201" s="23"/>
      <c r="F201" s="20">
        <v>0</v>
      </c>
      <c r="G201" s="23"/>
      <c r="H201" s="9">
        <f>+D201-F201</f>
        <v>769000</v>
      </c>
      <c r="J201" s="26">
        <f>+J9</f>
        <v>0.3838862759524057</v>
      </c>
      <c r="K201" s="36"/>
      <c r="L201" s="33">
        <f>-H201*J201</f>
        <v>-295208.5462074</v>
      </c>
      <c r="M201" s="36"/>
      <c r="N201" s="141">
        <f>+N13</f>
        <v>1.6230755440453266</v>
      </c>
      <c r="O201" s="36"/>
      <c r="P201" s="33">
        <f>-L201*N201</f>
        <v>479145.77174240566</v>
      </c>
      <c r="Q201" t="s">
        <v>392</v>
      </c>
    </row>
    <row r="202" spans="1:17" ht="12.75">
      <c r="A202" s="30"/>
      <c r="B202" s="52" t="s">
        <v>872</v>
      </c>
      <c r="C202" s="135" t="s">
        <v>18</v>
      </c>
      <c r="D202" s="21">
        <v>68101</v>
      </c>
      <c r="E202" s="29"/>
      <c r="F202" s="21">
        <f>136201-68100</f>
        <v>68101</v>
      </c>
      <c r="G202" s="29"/>
      <c r="H202" s="9">
        <f>+D202-F202</f>
        <v>0</v>
      </c>
      <c r="I202" s="23"/>
      <c r="J202" s="26">
        <f>+J9</f>
        <v>0.3838862759524057</v>
      </c>
      <c r="K202" s="36"/>
      <c r="L202" s="33">
        <f>-H202*J202</f>
        <v>0</v>
      </c>
      <c r="M202" s="36"/>
      <c r="N202" s="141">
        <f>+N13</f>
        <v>1.6230755440453266</v>
      </c>
      <c r="O202" s="36"/>
      <c r="P202" s="33">
        <f>-L202*N202</f>
        <v>0</v>
      </c>
      <c r="Q202" t="s">
        <v>392</v>
      </c>
    </row>
    <row r="203" spans="1:17" ht="12.75">
      <c r="A203" s="30"/>
      <c r="B203" s="53"/>
      <c r="C203" s="136"/>
      <c r="D203" s="20"/>
      <c r="E203" s="23"/>
      <c r="F203" s="20"/>
      <c r="G203" s="23"/>
      <c r="H203" s="23"/>
      <c r="I203" s="23"/>
      <c r="J203" s="26"/>
      <c r="K203" s="36"/>
      <c r="L203" s="33"/>
      <c r="M203" s="36"/>
      <c r="N203" s="141"/>
      <c r="O203" s="36"/>
      <c r="P203" s="33"/>
      <c r="Q203" s="23"/>
    </row>
    <row r="204" spans="1:17" ht="12.75">
      <c r="A204" s="41" t="s">
        <v>77</v>
      </c>
      <c r="B204" s="53" t="s">
        <v>78</v>
      </c>
      <c r="C204" s="137">
        <v>0.9759</v>
      </c>
      <c r="D204" s="20">
        <f>+D198*C204</f>
        <v>30701235.0990965</v>
      </c>
      <c r="E204" s="23"/>
      <c r="F204" s="20">
        <v>37034896</v>
      </c>
      <c r="G204" s="23"/>
      <c r="H204" s="9">
        <f aca="true" t="shared" si="6" ref="H204:H209">+D204-F204</f>
        <v>-6333660.900903501</v>
      </c>
      <c r="J204" s="26">
        <f>+J9</f>
        <v>0.3838862759524057</v>
      </c>
      <c r="K204" s="36"/>
      <c r="L204" s="33">
        <f aca="true" t="shared" si="7" ref="L204:L210">+H204*J204</f>
        <v>-2431405.4963932037</v>
      </c>
      <c r="M204" s="36"/>
      <c r="N204" s="141">
        <f>+N13</f>
        <v>1.6230755440453266</v>
      </c>
      <c r="O204" s="36"/>
      <c r="P204" s="33">
        <f aca="true" t="shared" si="8" ref="P204:P210">-L204*N204</f>
        <v>3946354.7988531967</v>
      </c>
      <c r="Q204" t="s">
        <v>391</v>
      </c>
    </row>
    <row r="205" spans="1:17" ht="12.75">
      <c r="A205" s="30"/>
      <c r="B205" s="53" t="s">
        <v>79</v>
      </c>
      <c r="C205" s="23"/>
      <c r="D205" s="20">
        <v>11973235</v>
      </c>
      <c r="E205" s="23"/>
      <c r="F205" s="20">
        <v>11973235</v>
      </c>
      <c r="G205" s="23"/>
      <c r="H205" s="9">
        <f t="shared" si="6"/>
        <v>0</v>
      </c>
      <c r="J205" s="26">
        <f>+J9</f>
        <v>0.3838862759524057</v>
      </c>
      <c r="K205" s="36"/>
      <c r="L205" s="33">
        <f t="shared" si="7"/>
        <v>0</v>
      </c>
      <c r="M205" s="36"/>
      <c r="N205" s="141">
        <f>+N13</f>
        <v>1.6230755440453266</v>
      </c>
      <c r="O205" s="36"/>
      <c r="P205" s="33">
        <f t="shared" si="8"/>
        <v>0</v>
      </c>
      <c r="Q205" t="s">
        <v>392</v>
      </c>
    </row>
    <row r="206" spans="1:17" ht="12.75">
      <c r="A206" s="30"/>
      <c r="B206" s="53" t="str">
        <f>+RateofReturn!A12</f>
        <v>Long Term Debt</v>
      </c>
      <c r="C206" s="24">
        <f>+RateofReturn!H12</f>
        <v>0.0491</v>
      </c>
      <c r="D206" s="20">
        <f>+'Rate Base'!K69*'IncomeStat.'!C206</f>
        <v>32242473.7266</v>
      </c>
      <c r="E206" s="66" t="s">
        <v>18</v>
      </c>
      <c r="F206" s="20">
        <v>26111195</v>
      </c>
      <c r="G206" s="23"/>
      <c r="H206" s="9">
        <f t="shared" si="6"/>
        <v>6131278.726599999</v>
      </c>
      <c r="J206" s="26">
        <f>+J9</f>
        <v>0.3838862759524057</v>
      </c>
      <c r="K206" s="36"/>
      <c r="L206" s="33">
        <f t="shared" si="7"/>
        <v>2353713.757180682</v>
      </c>
      <c r="M206" s="36"/>
      <c r="N206" s="141">
        <f>+N13</f>
        <v>1.6230755440453266</v>
      </c>
      <c r="O206" s="36"/>
      <c r="P206" s="33">
        <f t="shared" si="8"/>
        <v>-3820255.2369630053</v>
      </c>
      <c r="Q206" t="s">
        <v>393</v>
      </c>
    </row>
    <row r="207" spans="1:17" ht="12.75">
      <c r="A207" s="30"/>
      <c r="B207" s="53" t="str">
        <f>+RateofReturn!A14</f>
        <v>Short Term Debt</v>
      </c>
      <c r="C207" s="92">
        <f>+RateofReturn!H14</f>
        <v>0.0001</v>
      </c>
      <c r="D207" s="20">
        <f>+'Rate Base'!K69*'IncomeStat.'!C207</f>
        <v>65666.9526</v>
      </c>
      <c r="E207" s="66" t="s">
        <v>18</v>
      </c>
      <c r="F207" s="20"/>
      <c r="G207" s="23"/>
      <c r="H207" s="9">
        <f t="shared" si="6"/>
        <v>65666.9526</v>
      </c>
      <c r="J207" s="26">
        <f>+J9</f>
        <v>0.3838862759524057</v>
      </c>
      <c r="K207" s="36"/>
      <c r="L207" s="33">
        <f t="shared" si="7"/>
        <v>25208.64188675715</v>
      </c>
      <c r="M207" s="36"/>
      <c r="N207" s="141">
        <f>+N13</f>
        <v>1.6230755440453266</v>
      </c>
      <c r="O207" s="36"/>
      <c r="P207" s="33">
        <f t="shared" si="8"/>
        <v>-40915.53014499217</v>
      </c>
      <c r="Q207" t="s">
        <v>393</v>
      </c>
    </row>
    <row r="208" spans="1:17" ht="12.75">
      <c r="A208" s="30"/>
      <c r="B208" s="53" t="str">
        <f>+RateofReturn!A16</f>
        <v>Preferred Stock</v>
      </c>
      <c r="C208" s="24">
        <f>+RateofReturn!H16</f>
        <v>0</v>
      </c>
      <c r="D208" s="20">
        <f>+'Rate Base'!K69*'IncomeStat.'!C208</f>
        <v>0</v>
      </c>
      <c r="E208" s="66" t="s">
        <v>18</v>
      </c>
      <c r="F208" s="20"/>
      <c r="G208" s="23"/>
      <c r="H208" s="9">
        <f t="shared" si="6"/>
        <v>0</v>
      </c>
      <c r="J208" s="26">
        <f>+J9</f>
        <v>0.3838862759524057</v>
      </c>
      <c r="K208" s="36"/>
      <c r="L208" s="33">
        <f t="shared" si="7"/>
        <v>0</v>
      </c>
      <c r="M208" s="36"/>
      <c r="N208" s="141">
        <f>+N13</f>
        <v>1.6230755440453266</v>
      </c>
      <c r="O208" s="36"/>
      <c r="P208" s="33">
        <f t="shared" si="8"/>
        <v>0</v>
      </c>
      <c r="Q208" t="s">
        <v>393</v>
      </c>
    </row>
    <row r="209" spans="1:17" ht="12.75">
      <c r="A209" s="30"/>
      <c r="B209" s="53" t="s">
        <v>54</v>
      </c>
      <c r="C209" s="24"/>
      <c r="D209" s="20">
        <v>0</v>
      </c>
      <c r="E209" s="24"/>
      <c r="F209" s="20"/>
      <c r="G209" s="23"/>
      <c r="H209" s="9">
        <f t="shared" si="6"/>
        <v>0</v>
      </c>
      <c r="J209" s="26">
        <f>+J9</f>
        <v>0.3838862759524057</v>
      </c>
      <c r="K209" s="36"/>
      <c r="L209" s="33">
        <f t="shared" si="7"/>
        <v>0</v>
      </c>
      <c r="M209" s="36"/>
      <c r="N209" s="141">
        <f>+N13</f>
        <v>1.6230755440453266</v>
      </c>
      <c r="O209" s="36"/>
      <c r="P209" s="33">
        <f t="shared" si="8"/>
        <v>0</v>
      </c>
      <c r="Q209" t="s">
        <v>392</v>
      </c>
    </row>
    <row r="210" spans="1:17" ht="12.75">
      <c r="A210" s="30"/>
      <c r="B210" s="53"/>
      <c r="C210" s="24"/>
      <c r="D210" s="20"/>
      <c r="E210" s="24"/>
      <c r="F210" s="20"/>
      <c r="G210" s="23"/>
      <c r="H210" s="9"/>
      <c r="J210" s="26">
        <f>+J9</f>
        <v>0.3838862759524057</v>
      </c>
      <c r="K210" s="36"/>
      <c r="L210" s="33">
        <f t="shared" si="7"/>
        <v>0</v>
      </c>
      <c r="M210" s="36"/>
      <c r="N210" s="141">
        <f>+N13</f>
        <v>1.6230755440453266</v>
      </c>
      <c r="O210" s="36"/>
      <c r="P210" s="33">
        <f t="shared" si="8"/>
        <v>0</v>
      </c>
      <c r="Q210" t="s">
        <v>392</v>
      </c>
    </row>
    <row r="211" spans="1:16" ht="12.75">
      <c r="A211" s="30"/>
      <c r="B211" s="53"/>
      <c r="C211" s="23"/>
      <c r="D211" s="32" t="s">
        <v>31</v>
      </c>
      <c r="E211" s="23"/>
      <c r="F211" s="32" t="s">
        <v>31</v>
      </c>
      <c r="H211" s="8" t="s">
        <v>31</v>
      </c>
      <c r="J211" s="26"/>
      <c r="K211" s="36"/>
      <c r="L211" s="34" t="s">
        <v>31</v>
      </c>
      <c r="M211" s="36"/>
      <c r="N211" s="141"/>
      <c r="O211" s="36"/>
      <c r="P211" s="34" t="s">
        <v>31</v>
      </c>
    </row>
    <row r="212" spans="1:16" ht="12.75">
      <c r="A212" s="30"/>
      <c r="B212" s="53" t="s">
        <v>55</v>
      </c>
      <c r="C212" s="23"/>
      <c r="D212" s="20">
        <f>SUM(D194:D202)-SUM(D204:D210)</f>
        <v>17864369.387633383</v>
      </c>
      <c r="E212" s="23"/>
      <c r="F212" s="20">
        <f>SUM(F194:F202)-SUM(F204:F210)</f>
        <v>-10621114.084892422</v>
      </c>
      <c r="H212" s="9">
        <f>+H194+SUM(H198:H203)-SUM(H204:H211)</f>
        <v>28485483.47252589</v>
      </c>
      <c r="J212" s="26"/>
      <c r="K212" s="36"/>
      <c r="L212" s="33">
        <f>SUM(L198:L211)</f>
        <v>4527732.657217874</v>
      </c>
      <c r="M212" s="36"/>
      <c r="N212" s="141"/>
      <c r="O212" s="36"/>
      <c r="P212" s="33">
        <f>SUM(P198:P211)</f>
        <v>-7348852.145905696</v>
      </c>
    </row>
    <row r="213" spans="1:17" ht="12.75">
      <c r="A213" s="30"/>
      <c r="B213" s="53"/>
      <c r="C213" s="23"/>
      <c r="D213" s="20"/>
      <c r="E213" s="23"/>
      <c r="F213" s="20"/>
      <c r="G213" s="23"/>
      <c r="H213" s="23"/>
      <c r="I213" s="23"/>
      <c r="J213" s="26"/>
      <c r="K213" s="36"/>
      <c r="L213" s="33"/>
      <c r="M213" s="36"/>
      <c r="N213" s="141"/>
      <c r="O213" s="36"/>
      <c r="P213" s="33"/>
      <c r="Q213" s="23"/>
    </row>
    <row r="214" spans="1:16" ht="12.75">
      <c r="A214" s="30"/>
      <c r="B214" s="52" t="s">
        <v>81</v>
      </c>
      <c r="C214" s="134">
        <f>+J9</f>
        <v>0.3838862759524057</v>
      </c>
      <c r="D214" s="20">
        <f>+D212*C214</f>
        <v>6857886.236456738</v>
      </c>
      <c r="E214" s="24">
        <f>+J9</f>
        <v>0.3838862759524057</v>
      </c>
      <c r="F214" s="20">
        <f>+E214*F212</f>
        <v>-4077299.9325149953</v>
      </c>
      <c r="G214" s="23"/>
      <c r="H214" s="9">
        <f>+H212*$C$214</f>
        <v>10935186.168971766</v>
      </c>
      <c r="J214" s="26"/>
      <c r="K214" s="36"/>
      <c r="L214" s="33"/>
      <c r="M214" s="36"/>
      <c r="N214" s="141"/>
      <c r="O214" s="36"/>
      <c r="P214" s="33"/>
    </row>
    <row r="215" spans="1:18" ht="12.75">
      <c r="A215" s="30"/>
      <c r="B215" s="53"/>
      <c r="C215" s="23"/>
      <c r="D215" s="20"/>
      <c r="E215" s="23"/>
      <c r="F215" s="20"/>
      <c r="G215" s="23"/>
      <c r="H215" s="23"/>
      <c r="I215" s="23"/>
      <c r="J215" s="26"/>
      <c r="K215" s="36"/>
      <c r="L215" s="33"/>
      <c r="M215" s="36"/>
      <c r="N215" s="141"/>
      <c r="O215" s="36"/>
      <c r="P215" s="33"/>
      <c r="Q215" s="23"/>
      <c r="R215" s="23"/>
    </row>
    <row r="216" spans="1:16" ht="15.75">
      <c r="A216" s="30"/>
      <c r="B216" s="63" t="s">
        <v>82</v>
      </c>
      <c r="C216" s="23"/>
      <c r="D216" s="23"/>
      <c r="E216" s="23"/>
      <c r="F216" s="20"/>
      <c r="G216" s="23"/>
      <c r="J216" s="26"/>
      <c r="K216" s="36"/>
      <c r="L216" s="33"/>
      <c r="M216" s="36"/>
      <c r="N216" s="141"/>
      <c r="O216" s="36"/>
      <c r="P216" s="33"/>
    </row>
    <row r="217" spans="1:16" ht="12.75">
      <c r="A217" s="30"/>
      <c r="B217" s="64" t="s">
        <v>154</v>
      </c>
      <c r="C217" s="23"/>
      <c r="D217" s="23"/>
      <c r="E217" s="23"/>
      <c r="F217" s="20"/>
      <c r="G217" s="23"/>
      <c r="J217" s="26"/>
      <c r="K217" s="36"/>
      <c r="L217" s="33"/>
      <c r="M217" s="36"/>
      <c r="N217" s="141"/>
      <c r="O217" s="36"/>
      <c r="P217" s="33"/>
    </row>
    <row r="218" spans="1:16" ht="12.75">
      <c r="A218" s="30"/>
      <c r="B218" s="53" t="s">
        <v>79</v>
      </c>
      <c r="C218" s="69"/>
      <c r="D218" s="20">
        <f>+D205</f>
        <v>11973235</v>
      </c>
      <c r="E218" s="20"/>
      <c r="F218" s="20">
        <f>+F205</f>
        <v>11973235</v>
      </c>
      <c r="G218" s="20"/>
      <c r="H218" s="9">
        <f aca="true" t="shared" si="9" ref="H218:H224">+D218-F218</f>
        <v>0</v>
      </c>
      <c r="I218" s="9"/>
      <c r="J218" s="26">
        <f>+J9</f>
        <v>0.3838862759524057</v>
      </c>
      <c r="K218" s="36"/>
      <c r="L218" s="33">
        <f aca="true" t="shared" si="10" ref="L218:L224">-H218*J218</f>
        <v>0</v>
      </c>
      <c r="M218" s="36"/>
      <c r="N218" s="141">
        <f>+N13</f>
        <v>1.6230755440453266</v>
      </c>
      <c r="O218" s="36"/>
      <c r="P218" s="33">
        <f aca="true" t="shared" si="11" ref="P218:P224">-L218*N218</f>
        <v>0</v>
      </c>
    </row>
    <row r="219" spans="1:16" ht="12.75">
      <c r="A219" s="30"/>
      <c r="B219" s="53" t="s">
        <v>80</v>
      </c>
      <c r="C219" s="144" t="s">
        <v>18</v>
      </c>
      <c r="D219" s="20"/>
      <c r="E219" s="20"/>
      <c r="F219" s="20"/>
      <c r="G219" s="20"/>
      <c r="H219" s="9">
        <f t="shared" si="9"/>
        <v>0</v>
      </c>
      <c r="I219" s="9"/>
      <c r="J219" s="26">
        <f>+J9</f>
        <v>0.3838862759524057</v>
      </c>
      <c r="K219" s="36"/>
      <c r="L219" s="33">
        <f t="shared" si="10"/>
        <v>0</v>
      </c>
      <c r="M219" s="36"/>
      <c r="N219" s="141">
        <f>+N13</f>
        <v>1.6230755440453266</v>
      </c>
      <c r="O219" s="36"/>
      <c r="P219" s="33">
        <f t="shared" si="11"/>
        <v>0</v>
      </c>
    </row>
    <row r="220" spans="1:16" ht="12.75">
      <c r="A220" s="30"/>
      <c r="B220" s="53" t="s">
        <v>818</v>
      </c>
      <c r="C220" s="135" t="s">
        <v>18</v>
      </c>
      <c r="D220" s="20">
        <v>-1546000</v>
      </c>
      <c r="E220" s="20"/>
      <c r="F220" s="20"/>
      <c r="G220" s="20"/>
      <c r="H220" s="9">
        <f t="shared" si="9"/>
        <v>-1546000</v>
      </c>
      <c r="I220" s="9"/>
      <c r="J220" s="26">
        <f>+J9</f>
        <v>0.3838862759524057</v>
      </c>
      <c r="K220" s="36"/>
      <c r="L220" s="33">
        <f t="shared" si="10"/>
        <v>593488.1826224192</v>
      </c>
      <c r="M220" s="36"/>
      <c r="N220" s="141">
        <f>+N13</f>
        <v>1.6230755440453266</v>
      </c>
      <c r="O220" s="36"/>
      <c r="P220" s="33">
        <f t="shared" si="11"/>
        <v>-963276.1548943552</v>
      </c>
    </row>
    <row r="221" spans="1:16" ht="12.75">
      <c r="A221" s="30"/>
      <c r="B221" s="52" t="s">
        <v>461</v>
      </c>
      <c r="C221" s="135" t="s">
        <v>18</v>
      </c>
      <c r="D221" s="20"/>
      <c r="E221" s="20"/>
      <c r="F221" s="21">
        <v>0</v>
      </c>
      <c r="G221" s="20"/>
      <c r="H221" s="9">
        <f t="shared" si="9"/>
        <v>0</v>
      </c>
      <c r="I221" s="9"/>
      <c r="J221" s="26">
        <f>+J9</f>
        <v>0.3838862759524057</v>
      </c>
      <c r="K221" s="36"/>
      <c r="L221" s="33">
        <f t="shared" si="10"/>
        <v>0</v>
      </c>
      <c r="M221" s="36"/>
      <c r="N221" s="141">
        <f>+N13</f>
        <v>1.6230755440453266</v>
      </c>
      <c r="O221" s="36"/>
      <c r="P221" s="33">
        <f t="shared" si="11"/>
        <v>0</v>
      </c>
    </row>
    <row r="222" spans="1:16" ht="12.75">
      <c r="A222" s="30"/>
      <c r="B222" s="53" t="s">
        <v>363</v>
      </c>
      <c r="C222" s="135" t="s">
        <v>18</v>
      </c>
      <c r="D222" s="20">
        <v>-769000</v>
      </c>
      <c r="E222" s="20"/>
      <c r="F222" s="20"/>
      <c r="G222" s="20"/>
      <c r="H222" s="9">
        <f t="shared" si="9"/>
        <v>-769000</v>
      </c>
      <c r="I222" s="9"/>
      <c r="J222" s="26">
        <f>+J9</f>
        <v>0.3838862759524057</v>
      </c>
      <c r="K222" s="36"/>
      <c r="L222" s="33">
        <f t="shared" si="10"/>
        <v>295208.5462074</v>
      </c>
      <c r="M222" s="36"/>
      <c r="N222" s="141">
        <f>+N13</f>
        <v>1.6230755440453266</v>
      </c>
      <c r="O222" s="36"/>
      <c r="P222" s="33">
        <f t="shared" si="11"/>
        <v>-479145.77174240566</v>
      </c>
    </row>
    <row r="223" spans="1:16" ht="12.75">
      <c r="A223" s="30"/>
      <c r="B223" s="53"/>
      <c r="C223" s="135" t="s">
        <v>18</v>
      </c>
      <c r="D223" s="20"/>
      <c r="E223" s="20"/>
      <c r="F223" s="20"/>
      <c r="G223" s="20"/>
      <c r="H223" s="9">
        <f t="shared" si="9"/>
        <v>0</v>
      </c>
      <c r="I223" s="9"/>
      <c r="J223" s="26">
        <f>+J9</f>
        <v>0.3838862759524057</v>
      </c>
      <c r="K223" s="36"/>
      <c r="L223" s="33">
        <f t="shared" si="10"/>
        <v>0</v>
      </c>
      <c r="M223" s="36"/>
      <c r="N223" s="141">
        <f>+N13</f>
        <v>1.6230755440453266</v>
      </c>
      <c r="O223" s="36"/>
      <c r="P223" s="33">
        <f t="shared" si="11"/>
        <v>0</v>
      </c>
    </row>
    <row r="224" spans="1:16" ht="12.75">
      <c r="A224" s="30"/>
      <c r="B224" s="53"/>
      <c r="C224" s="135" t="s">
        <v>18</v>
      </c>
      <c r="D224" s="20"/>
      <c r="E224" s="20"/>
      <c r="F224" s="20"/>
      <c r="G224" s="20"/>
      <c r="H224" s="9">
        <f t="shared" si="9"/>
        <v>0</v>
      </c>
      <c r="I224" s="9"/>
      <c r="J224" s="26">
        <f>+J9</f>
        <v>0.3838862759524057</v>
      </c>
      <c r="K224" s="36"/>
      <c r="L224" s="33">
        <f t="shared" si="10"/>
        <v>0</v>
      </c>
      <c r="M224" s="36"/>
      <c r="N224" s="141">
        <f>+N13</f>
        <v>1.6230755440453266</v>
      </c>
      <c r="O224" s="36"/>
      <c r="P224" s="33">
        <f t="shared" si="11"/>
        <v>0</v>
      </c>
    </row>
    <row r="225" spans="1:16" ht="12.75">
      <c r="A225" s="30"/>
      <c r="B225" s="53"/>
      <c r="C225" s="23"/>
      <c r="D225" s="32" t="s">
        <v>31</v>
      </c>
      <c r="E225" s="20"/>
      <c r="F225" s="32" t="s">
        <v>64</v>
      </c>
      <c r="G225" s="9"/>
      <c r="H225" s="8" t="s">
        <v>42</v>
      </c>
      <c r="I225" s="9"/>
      <c r="J225" s="26"/>
      <c r="K225" s="36"/>
      <c r="L225" s="34" t="s">
        <v>42</v>
      </c>
      <c r="M225" s="36"/>
      <c r="N225" s="141"/>
      <c r="O225" s="36"/>
      <c r="P225" s="34" t="s">
        <v>31</v>
      </c>
    </row>
    <row r="226" spans="1:17" ht="12.75">
      <c r="A226" s="30"/>
      <c r="B226" s="53" t="s">
        <v>83</v>
      </c>
      <c r="C226" s="23"/>
      <c r="D226" s="20">
        <f>SUM(D218:D225)</f>
        <v>9658235</v>
      </c>
      <c r="E226" s="20"/>
      <c r="F226" s="20">
        <f>SUM(F218:F225)</f>
        <v>11973235</v>
      </c>
      <c r="G226" s="9"/>
      <c r="H226" s="9">
        <f>SUM(H218:H225)</f>
        <v>-2315000</v>
      </c>
      <c r="I226" s="9"/>
      <c r="J226" s="26"/>
      <c r="K226" s="36"/>
      <c r="L226" s="164">
        <f>SUM(L218:L225)</f>
        <v>888696.7288298192</v>
      </c>
      <c r="M226" s="36"/>
      <c r="N226" s="141"/>
      <c r="O226" s="36"/>
      <c r="P226" s="33">
        <f>SUM(P218:P225)</f>
        <v>-1442421.9266367608</v>
      </c>
      <c r="Q226" t="s">
        <v>394</v>
      </c>
    </row>
    <row r="227" spans="1:17" ht="12.75">
      <c r="A227" s="30"/>
      <c r="B227" s="53"/>
      <c r="C227" s="23"/>
      <c r="D227" s="23"/>
      <c r="E227" s="23"/>
      <c r="F227" s="23"/>
      <c r="G227" s="23"/>
      <c r="H227" s="23"/>
      <c r="I227" s="23"/>
      <c r="J227" s="26"/>
      <c r="K227" s="36"/>
      <c r="L227" s="33"/>
      <c r="M227" s="36"/>
      <c r="N227" s="141"/>
      <c r="O227" s="36"/>
      <c r="P227" s="33"/>
      <c r="Q227" s="23"/>
    </row>
    <row r="228" spans="1:16" ht="12.75">
      <c r="A228" s="30"/>
      <c r="B228" s="52" t="s">
        <v>84</v>
      </c>
      <c r="C228" s="70"/>
      <c r="D228" s="20">
        <f>+D226*C214</f>
        <v>3707663.866423183</v>
      </c>
      <c r="E228" s="20"/>
      <c r="F228" s="20">
        <f>+F226*C214</f>
        <v>4596360.595253003</v>
      </c>
      <c r="G228" s="20"/>
      <c r="H228" s="49">
        <f>+H226*C214</f>
        <v>-888696.7288298192</v>
      </c>
      <c r="J228" s="26"/>
      <c r="K228" s="36"/>
      <c r="L228" s="33"/>
      <c r="M228" s="36"/>
      <c r="N228" s="141"/>
      <c r="O228" s="36"/>
      <c r="P228" s="33"/>
    </row>
    <row r="229" spans="1:19" ht="12.75">
      <c r="A229" s="30"/>
      <c r="B229" s="53"/>
      <c r="C229" s="24"/>
      <c r="D229" s="20"/>
      <c r="E229" s="20"/>
      <c r="F229" s="20"/>
      <c r="G229" s="20"/>
      <c r="H229" s="21"/>
      <c r="I229" s="23"/>
      <c r="J229" s="26"/>
      <c r="K229" s="36"/>
      <c r="L229" s="33"/>
      <c r="M229" s="36"/>
      <c r="N229" s="141"/>
      <c r="O229" s="36"/>
      <c r="P229" s="33"/>
      <c r="Q229" s="23"/>
      <c r="R229" s="23"/>
      <c r="S229" s="23"/>
    </row>
    <row r="230" spans="1:16" ht="12.75">
      <c r="A230" s="30"/>
      <c r="B230" s="52" t="s">
        <v>114</v>
      </c>
      <c r="C230" s="135" t="s">
        <v>18</v>
      </c>
      <c r="D230" s="20">
        <v>-382259</v>
      </c>
      <c r="E230" s="20"/>
      <c r="F230" s="21">
        <v>-382259</v>
      </c>
      <c r="G230" s="20"/>
      <c r="H230" s="9">
        <f>+D230-F230</f>
        <v>0</v>
      </c>
      <c r="J230" s="26">
        <v>1</v>
      </c>
      <c r="K230" s="36"/>
      <c r="L230" s="33">
        <f>-H230*J230</f>
        <v>0</v>
      </c>
      <c r="M230" s="36"/>
      <c r="N230" s="141">
        <f>+N13</f>
        <v>1.6230755440453266</v>
      </c>
      <c r="O230" s="36"/>
      <c r="P230" s="33">
        <f>-L230*N230</f>
        <v>0</v>
      </c>
    </row>
    <row r="231" spans="1:16" ht="12.75">
      <c r="A231" s="30"/>
      <c r="B231" s="52" t="s">
        <v>85</v>
      </c>
      <c r="C231" s="135" t="s">
        <v>18</v>
      </c>
      <c r="D231" s="20">
        <v>-713161</v>
      </c>
      <c r="E231" s="20"/>
      <c r="F231" s="21">
        <v>-713161</v>
      </c>
      <c r="G231" s="20"/>
      <c r="H231" s="9">
        <f>+D231-F231</f>
        <v>0</v>
      </c>
      <c r="J231" s="26">
        <v>1</v>
      </c>
      <c r="K231" s="36"/>
      <c r="L231" s="33">
        <f>-H231*J231</f>
        <v>0</v>
      </c>
      <c r="M231" s="36"/>
      <c r="N231" s="141">
        <f>+N13</f>
        <v>1.6230755440453266</v>
      </c>
      <c r="O231" s="36"/>
      <c r="P231" s="33">
        <f>-L231*N231</f>
        <v>0</v>
      </c>
    </row>
    <row r="232" spans="1:16" ht="12.75">
      <c r="A232" s="30"/>
      <c r="B232" s="53" t="s">
        <v>175</v>
      </c>
      <c r="C232" s="135" t="s">
        <v>18</v>
      </c>
      <c r="D232" s="20"/>
      <c r="E232" s="20"/>
      <c r="F232" s="20">
        <v>0</v>
      </c>
      <c r="G232" s="20"/>
      <c r="H232" s="9">
        <f>+D232-F232</f>
        <v>0</v>
      </c>
      <c r="J232" s="26">
        <v>1</v>
      </c>
      <c r="K232" s="36"/>
      <c r="L232" s="33">
        <f>-H232*J232</f>
        <v>0</v>
      </c>
      <c r="M232" s="36"/>
      <c r="N232" s="141">
        <f>+N13</f>
        <v>1.6230755440453266</v>
      </c>
      <c r="O232" s="36"/>
      <c r="P232" s="33">
        <f>-L232*N232</f>
        <v>0</v>
      </c>
    </row>
    <row r="233" spans="1:16" ht="12.75">
      <c r="A233" s="30"/>
      <c r="B233" s="53"/>
      <c r="C233" s="135"/>
      <c r="D233" s="32" t="s">
        <v>31</v>
      </c>
      <c r="E233" s="20"/>
      <c r="F233" s="32" t="s">
        <v>31</v>
      </c>
      <c r="G233" s="20"/>
      <c r="H233" s="32" t="s">
        <v>31</v>
      </c>
      <c r="J233" s="26"/>
      <c r="K233" s="36"/>
      <c r="L233" s="34" t="s">
        <v>31</v>
      </c>
      <c r="M233" s="36"/>
      <c r="N233" s="141"/>
      <c r="O233" s="36"/>
      <c r="P233" s="34" t="s">
        <v>31</v>
      </c>
    </row>
    <row r="234" spans="1:17" ht="12.75">
      <c r="A234" s="30"/>
      <c r="B234" s="52" t="s">
        <v>395</v>
      </c>
      <c r="C234" s="135"/>
      <c r="D234" s="20">
        <f>SUM(D230:D233)</f>
        <v>-1095420</v>
      </c>
      <c r="E234" s="20"/>
      <c r="F234" s="20">
        <f>SUM(F230:F233)</f>
        <v>-1095420</v>
      </c>
      <c r="G234" s="20"/>
      <c r="H234" s="20">
        <f>SUM(H230:H233)</f>
        <v>0</v>
      </c>
      <c r="J234" s="26"/>
      <c r="K234" s="36"/>
      <c r="L234" s="33">
        <f>SUM(L230:L233)</f>
        <v>0</v>
      </c>
      <c r="M234" s="36"/>
      <c r="N234" s="141"/>
      <c r="O234" s="36"/>
      <c r="P234" s="33">
        <f>SUM(P230:P233)</f>
        <v>0</v>
      </c>
      <c r="Q234" t="s">
        <v>401</v>
      </c>
    </row>
    <row r="235" spans="1:16" ht="12.75">
      <c r="A235" s="30"/>
      <c r="B235" s="53"/>
      <c r="C235" s="135"/>
      <c r="D235" s="20"/>
      <c r="E235" s="20"/>
      <c r="F235" s="20"/>
      <c r="G235" s="20"/>
      <c r="H235" s="20"/>
      <c r="J235" s="26"/>
      <c r="K235" s="36"/>
      <c r="L235" s="33"/>
      <c r="M235" s="36"/>
      <c r="N235" s="141"/>
      <c r="O235" s="36"/>
      <c r="P235" s="33"/>
    </row>
    <row r="236" spans="1:16" ht="12.75">
      <c r="A236" s="30"/>
      <c r="B236" s="52" t="s">
        <v>396</v>
      </c>
      <c r="C236" s="135" t="s">
        <v>18</v>
      </c>
      <c r="D236" s="20">
        <v>132</v>
      </c>
      <c r="E236" s="20"/>
      <c r="F236" s="21"/>
      <c r="G236" s="20"/>
      <c r="H236" s="9">
        <f>+D236-F236</f>
        <v>132</v>
      </c>
      <c r="J236" s="26">
        <v>1</v>
      </c>
      <c r="K236" s="36"/>
      <c r="L236" s="33">
        <f>-H236*J236</f>
        <v>-132</v>
      </c>
      <c r="M236" s="36"/>
      <c r="N236" s="141">
        <f>+N13</f>
        <v>1.6230755440453266</v>
      </c>
      <c r="O236" s="36"/>
      <c r="P236" s="33">
        <f>-L236*N236</f>
        <v>214.24597181398312</v>
      </c>
    </row>
    <row r="237" spans="1:16" ht="12.75">
      <c r="A237" s="30"/>
      <c r="B237" s="53"/>
      <c r="C237" s="23"/>
      <c r="D237" s="32" t="s">
        <v>31</v>
      </c>
      <c r="E237" s="20"/>
      <c r="F237" s="32" t="s">
        <v>64</v>
      </c>
      <c r="G237" s="9"/>
      <c r="H237" s="8" t="s">
        <v>42</v>
      </c>
      <c r="J237" s="26"/>
      <c r="K237" s="36"/>
      <c r="L237" s="34" t="s">
        <v>31</v>
      </c>
      <c r="M237" s="36"/>
      <c r="N237" s="141"/>
      <c r="O237" s="36"/>
      <c r="P237" s="34" t="s">
        <v>42</v>
      </c>
    </row>
    <row r="238" spans="1:16" ht="12.75">
      <c r="A238" s="5"/>
      <c r="B238" s="46" t="s">
        <v>86</v>
      </c>
      <c r="D238" s="9">
        <f>+D214+D228+D234+D236</f>
        <v>9470262.102879921</v>
      </c>
      <c r="E238" s="9"/>
      <c r="F238" s="9">
        <f>+F214+F228+F234+F236</f>
        <v>-576359.3372619925</v>
      </c>
      <c r="G238" s="9"/>
      <c r="H238" s="9">
        <f>+H214+H228+H234+H236</f>
        <v>10046621.440141946</v>
      </c>
      <c r="J238" s="36"/>
      <c r="K238" s="36"/>
      <c r="L238" s="33">
        <f>+L212+L226+L234+L236</f>
        <v>5416297.386047693</v>
      </c>
      <c r="M238" s="36"/>
      <c r="N238" s="141"/>
      <c r="O238" s="36"/>
      <c r="P238" s="33">
        <f>+P212+P226+P234+P236</f>
        <v>-8791059.826570643</v>
      </c>
    </row>
    <row r="239" spans="1:16" ht="12.75">
      <c r="A239" s="5"/>
      <c r="B239" s="45"/>
      <c r="D239" s="8" t="s">
        <v>31</v>
      </c>
      <c r="E239" s="9"/>
      <c r="F239" s="8" t="s">
        <v>64</v>
      </c>
      <c r="G239" s="9"/>
      <c r="H239" s="8" t="s">
        <v>42</v>
      </c>
      <c r="J239" s="26"/>
      <c r="K239" s="36"/>
      <c r="L239" s="34" t="s">
        <v>31</v>
      </c>
      <c r="M239" s="36"/>
      <c r="N239" s="141"/>
      <c r="O239" s="36"/>
      <c r="P239" s="34" t="s">
        <v>42</v>
      </c>
    </row>
    <row r="240" spans="1:17" ht="12.75">
      <c r="A240" s="30"/>
      <c r="B240" s="46" t="s">
        <v>87</v>
      </c>
      <c r="C240" s="23"/>
      <c r="D240" s="23"/>
      <c r="E240" s="23"/>
      <c r="F240" s="23"/>
      <c r="G240" s="23"/>
      <c r="H240" s="23"/>
      <c r="I240" s="23"/>
      <c r="J240" s="36"/>
      <c r="K240" s="36"/>
      <c r="L240" s="33"/>
      <c r="M240" s="36"/>
      <c r="N240" s="141"/>
      <c r="O240" s="36"/>
      <c r="P240" s="33"/>
      <c r="Q240" s="23"/>
    </row>
    <row r="241" spans="1:16" ht="12.75">
      <c r="A241" s="5"/>
      <c r="D241" s="9">
        <f>+D194-D238</f>
        <v>49419392.25999995</v>
      </c>
      <c r="F241" s="9">
        <f>+F194-F238</f>
        <v>19186066.760578174</v>
      </c>
      <c r="H241" s="9">
        <f>+H194-H238</f>
        <v>30233325.499421835</v>
      </c>
      <c r="J241" s="36"/>
      <c r="K241" s="36"/>
      <c r="L241" s="33">
        <f>+L194+L238</f>
        <v>30233325.49942182</v>
      </c>
      <c r="M241" s="36"/>
      <c r="N241" s="141"/>
      <c r="O241" s="36"/>
      <c r="P241" s="176">
        <f>+P194+P238</f>
        <v>-49070971.23327352</v>
      </c>
    </row>
    <row r="242" spans="1:16" ht="12.75">
      <c r="A242" s="5"/>
      <c r="B242" s="45"/>
      <c r="D242" s="4" t="s">
        <v>38</v>
      </c>
      <c r="F242" s="4" t="s">
        <v>38</v>
      </c>
      <c r="H242" s="4" t="s">
        <v>38</v>
      </c>
      <c r="J242" s="36"/>
      <c r="K242" s="36"/>
      <c r="L242" s="34" t="s">
        <v>88</v>
      </c>
      <c r="M242" s="36"/>
      <c r="N242" s="141"/>
      <c r="O242" s="36"/>
      <c r="P242" s="34" t="s">
        <v>88</v>
      </c>
    </row>
    <row r="243" spans="1:16" ht="12.75">
      <c r="A243" s="5"/>
      <c r="B243" s="45"/>
      <c r="F243" t="s">
        <v>73</v>
      </c>
      <c r="H243" s="9">
        <f>+D241-F241</f>
        <v>30233325.49942178</v>
      </c>
      <c r="J243" s="36"/>
      <c r="K243" s="36"/>
      <c r="L243" s="33"/>
      <c r="M243" s="36"/>
      <c r="N243" s="141" t="s">
        <v>73</v>
      </c>
      <c r="O243" s="36"/>
      <c r="P243" s="33">
        <f>-L241*N13</f>
        <v>-49070971.23327351</v>
      </c>
    </row>
    <row r="244" spans="1:16" ht="12.75">
      <c r="A244" s="5"/>
      <c r="B244" s="45"/>
      <c r="H244" s="4" t="s">
        <v>38</v>
      </c>
      <c r="J244" s="36"/>
      <c r="K244" s="36"/>
      <c r="L244" s="36"/>
      <c r="M244" s="36"/>
      <c r="N244" s="141"/>
      <c r="O244" s="36"/>
      <c r="P244" s="34" t="s">
        <v>38</v>
      </c>
    </row>
    <row r="245" spans="1:18" ht="12.75">
      <c r="A245" s="30"/>
      <c r="B245" s="5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91"/>
      <c r="O245" s="23"/>
      <c r="P245" s="20"/>
      <c r="Q245" s="23"/>
      <c r="R245" s="23"/>
    </row>
    <row r="246" spans="1:18" ht="12.75">
      <c r="A246" s="30"/>
      <c r="B246" s="5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91"/>
      <c r="O246" s="23"/>
      <c r="P246" s="23"/>
      <c r="Q246" s="23"/>
      <c r="R246" s="23"/>
    </row>
    <row r="247" spans="1:18" ht="12.75">
      <c r="A247" s="30"/>
      <c r="B247" s="5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91"/>
      <c r="O247" s="23"/>
      <c r="P247" s="23"/>
      <c r="Q247" s="23"/>
      <c r="R247" s="23"/>
    </row>
    <row r="248" spans="1:18" ht="12.75">
      <c r="A248" s="30"/>
      <c r="B248" s="5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91"/>
      <c r="O248" s="23"/>
      <c r="P248" s="23"/>
      <c r="Q248" s="23"/>
      <c r="R248" s="23"/>
    </row>
    <row r="249" spans="1:18" ht="12.75">
      <c r="A249" s="30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91"/>
      <c r="O249" s="23"/>
      <c r="P249" s="23"/>
      <c r="Q249" s="23"/>
      <c r="R249" s="23"/>
    </row>
    <row r="250" spans="1:18" ht="12.75">
      <c r="A250" s="30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91"/>
      <c r="O250" s="23"/>
      <c r="P250" s="23"/>
      <c r="Q250" s="23"/>
      <c r="R250" s="23"/>
    </row>
    <row r="251" spans="1:18" ht="12.75">
      <c r="A251" s="30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91"/>
      <c r="O251" s="23"/>
      <c r="P251" s="23"/>
      <c r="Q251" s="23"/>
      <c r="R251" s="23"/>
    </row>
    <row r="252" spans="1:18" ht="12.75">
      <c r="A252" s="30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91"/>
      <c r="O252" s="23"/>
      <c r="P252" s="23"/>
      <c r="Q252" s="23"/>
      <c r="R252" s="23"/>
    </row>
    <row r="253" spans="1:18" ht="12.75">
      <c r="A253" s="30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91"/>
      <c r="O253" s="23"/>
      <c r="P253" s="23"/>
      <c r="Q253" s="23"/>
      <c r="R253" s="23"/>
    </row>
    <row r="254" spans="1:18" ht="12.75">
      <c r="A254" s="30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91"/>
      <c r="O254" s="23"/>
      <c r="P254" s="23"/>
      <c r="Q254" s="23"/>
      <c r="R254" s="23"/>
    </row>
    <row r="255" spans="1:18" ht="12.75">
      <c r="A255" s="30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91"/>
      <c r="O255" s="23"/>
      <c r="P255" s="23"/>
      <c r="Q255" s="23"/>
      <c r="R255" s="23"/>
    </row>
    <row r="256" spans="1:18" ht="12.75">
      <c r="A256" s="30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91"/>
      <c r="O256" s="23"/>
      <c r="P256" s="23"/>
      <c r="Q256" s="23"/>
      <c r="R256" s="23"/>
    </row>
    <row r="257" spans="1:18" ht="12.75">
      <c r="A257" s="30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91"/>
      <c r="O257" s="23"/>
      <c r="P257" s="23"/>
      <c r="Q257" s="23"/>
      <c r="R257" s="23"/>
    </row>
    <row r="258" spans="1:18" ht="12.75">
      <c r="A258" s="30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91"/>
      <c r="O258" s="23"/>
      <c r="P258" s="23"/>
      <c r="Q258" s="23"/>
      <c r="R258" s="23"/>
    </row>
    <row r="259" spans="1:18" ht="12.75">
      <c r="A259" s="30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91"/>
      <c r="O259" s="23"/>
      <c r="P259" s="23"/>
      <c r="Q259" s="23"/>
      <c r="R259" s="23"/>
    </row>
    <row r="260" spans="1:18" ht="12.75">
      <c r="A260" s="30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91"/>
      <c r="O260" s="23"/>
      <c r="P260" s="23"/>
      <c r="Q260" s="23"/>
      <c r="R260" s="23"/>
    </row>
    <row r="261" spans="1:18" ht="12.75">
      <c r="A261" s="30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91"/>
      <c r="O261" s="23"/>
      <c r="P261" s="23"/>
      <c r="Q261" s="23"/>
      <c r="R261" s="23"/>
    </row>
    <row r="262" spans="1:18" ht="12.75">
      <c r="A262" s="30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91"/>
      <c r="O262" s="23"/>
      <c r="P262" s="23"/>
      <c r="Q262" s="23"/>
      <c r="R262" s="23"/>
    </row>
    <row r="263" spans="1:18" ht="12.75">
      <c r="A263" s="30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91"/>
      <c r="O263" s="23"/>
      <c r="P263" s="23"/>
      <c r="Q263" s="23"/>
      <c r="R263" s="23"/>
    </row>
    <row r="264" spans="1:18" ht="12.75">
      <c r="A264" s="30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91"/>
      <c r="O264" s="23"/>
      <c r="P264" s="23"/>
      <c r="Q264" s="23"/>
      <c r="R264" s="23"/>
    </row>
    <row r="265" spans="1:18" ht="12.75">
      <c r="A265" s="30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91"/>
      <c r="O265" s="23"/>
      <c r="P265" s="23"/>
      <c r="Q265" s="23"/>
      <c r="R265" s="23"/>
    </row>
    <row r="266" spans="1:18" ht="12.75">
      <c r="A266" s="30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91"/>
      <c r="O266" s="23"/>
      <c r="P266" s="23"/>
      <c r="Q266" s="23"/>
      <c r="R266" s="23"/>
    </row>
    <row r="267" spans="1:18" ht="12.75">
      <c r="A267" s="3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91"/>
      <c r="O267" s="23"/>
      <c r="P267" s="23"/>
      <c r="Q267" s="23"/>
      <c r="R267" s="23"/>
    </row>
    <row r="268" spans="1:18" ht="12.75">
      <c r="A268" s="3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91"/>
      <c r="O268" s="23"/>
      <c r="P268" s="23"/>
      <c r="Q268" s="23"/>
      <c r="R268" s="23"/>
    </row>
    <row r="269" spans="1:18" ht="12.75">
      <c r="A269" s="3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91"/>
      <c r="O269" s="23"/>
      <c r="P269" s="23"/>
      <c r="Q269" s="23"/>
      <c r="R269" s="23"/>
    </row>
    <row r="270" spans="1:18" ht="12.75">
      <c r="A270" s="3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91"/>
      <c r="O270" s="23"/>
      <c r="P270" s="23"/>
      <c r="Q270" s="23"/>
      <c r="R270" s="23"/>
    </row>
    <row r="271" spans="1:18" ht="12.75">
      <c r="A271" s="3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91"/>
      <c r="O271" s="23"/>
      <c r="P271" s="23"/>
      <c r="Q271" s="23"/>
      <c r="R271" s="23"/>
    </row>
    <row r="272" spans="1:18" ht="12.75">
      <c r="A272" s="3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91"/>
      <c r="O272" s="23"/>
      <c r="P272" s="23"/>
      <c r="Q272" s="23"/>
      <c r="R272" s="23"/>
    </row>
    <row r="273" spans="1:18" ht="12.75">
      <c r="A273" s="3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1:18" ht="12.75">
      <c r="A274" s="3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1:18" ht="12.75">
      <c r="A275" s="3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ht="12.75">
      <c r="A276" s="3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 ht="12.75">
      <c r="A277" s="3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ht="12.75">
      <c r="A278" s="3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1:18" ht="12.75">
      <c r="A279" s="3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</row>
    <row r="280" spans="1:18" ht="12.75">
      <c r="A280" s="3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1:18" ht="12.75">
      <c r="A281" s="3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ht="12.75">
      <c r="A282" s="3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ht="12.75">
      <c r="A283" s="3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ht="12.75">
      <c r="A284" s="3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ht="12.75">
      <c r="A285" s="30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ht="12.75">
      <c r="A286" s="30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ht="12.75">
      <c r="A287" s="30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18" ht="12.75">
      <c r="A288" s="30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18" ht="12.75">
      <c r="A289" s="30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ht="12.75">
      <c r="A290" s="30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ht="12.75">
      <c r="A291" s="30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1:18" ht="12.75">
      <c r="A292" s="30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ht="12.75">
      <c r="A293" s="30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1:18" ht="12.75">
      <c r="A294" s="3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1:18" ht="12.75">
      <c r="A295" s="30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1:18" ht="12.75">
      <c r="A296" s="30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1:18" ht="12.75">
      <c r="A297" s="30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1:18" ht="12.75">
      <c r="A298" s="30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1:18" ht="12.75">
      <c r="A299" s="30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1:18" ht="12.75">
      <c r="A300" s="30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1:18" ht="12.75">
      <c r="A301" s="30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1:18" ht="12.75">
      <c r="A302" s="30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1:18" ht="12.75">
      <c r="A303" s="30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1:18" ht="12.75">
      <c r="A304" s="30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1:18" ht="12.75">
      <c r="A305" s="30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2.75">
      <c r="A306" s="30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.75">
      <c r="A307" s="30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.75">
      <c r="A308" s="30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2.75">
      <c r="A309" s="30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2.75">
      <c r="A310" s="30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2.75">
      <c r="A311" s="30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.75">
      <c r="A312" s="30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.75">
      <c r="A313" s="30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.75">
      <c r="A314" s="30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2.75">
      <c r="A315" s="30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2.75">
      <c r="A316" s="30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ht="12.75">
      <c r="A317" s="30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>
      <c r="A318" s="30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ht="12.75">
      <c r="A319" s="30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2.75">
      <c r="A320" s="30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2.75">
      <c r="A321" s="30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ht="12.75">
      <c r="A322" s="30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12.75">
      <c r="A323" s="30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ht="12.75">
      <c r="A324" s="30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ht="12.75">
      <c r="A325" s="30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ht="12.75">
      <c r="A326" s="30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2.75">
      <c r="A327" s="30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ht="12.75">
      <c r="A328" s="30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ht="12.75">
      <c r="A329" s="30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2.75">
      <c r="A330" s="30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ht="12.75">
      <c r="A331" s="30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1:18" ht="12.75">
      <c r="A332" s="30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ht="12.75">
      <c r="A333" s="30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ht="12.75">
      <c r="A334" s="30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ht="12.75">
      <c r="A335" s="30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2.75">
      <c r="A336" s="30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.75">
      <c r="A337" s="30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1:18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1:18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1:18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1:18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1:18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1:18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1:18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1:18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1:18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1:18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1:18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1:18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1:18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1:18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1:18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1:18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1:18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1:18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1:18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</sheetData>
  <printOptions/>
  <pageMargins left="0.25" right="0.25" top="0.25" bottom="0.25" header="0.5" footer="0.5"/>
  <pageSetup fitToHeight="0" fitToWidth="1" horizontalDpi="300" verticalDpi="300" orientation="landscape" scale="74" r:id="rId1"/>
  <headerFooter alignWithMargins="0">
    <oddFooter>&amp;LPage &amp;P of &amp;N</oddFooter>
  </headerFooter>
  <rowBreaks count="5" manualBreakCount="5">
    <brk id="34" max="255" man="1"/>
    <brk id="52" max="255" man="1"/>
    <brk id="96" max="255" man="1"/>
    <brk id="145" max="255" man="1"/>
    <brk id="1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workbookViewId="0" topLeftCell="A28">
      <selection activeCell="H12" sqref="H12"/>
    </sheetView>
  </sheetViews>
  <sheetFormatPr defaultColWidth="9.140625" defaultRowHeight="12.75"/>
  <cols>
    <col min="1" max="1" width="3.7109375" style="0" customWidth="1"/>
    <col min="8" max="8" width="11.7109375" style="0" customWidth="1"/>
    <col min="9" max="9" width="3.7109375" style="0" customWidth="1"/>
    <col min="10" max="10" width="11.7109375" style="0" customWidth="1"/>
    <col min="11" max="11" width="3.7109375" style="0" customWidth="1"/>
    <col min="12" max="12" width="11.7109375" style="0" customWidth="1"/>
    <col min="13" max="13" width="6.7109375" style="0" customWidth="1"/>
  </cols>
  <sheetData>
    <row r="2" ht="15.75">
      <c r="C2" s="2" t="s">
        <v>428</v>
      </c>
    </row>
    <row r="4" spans="1:12" ht="12.75">
      <c r="A4" s="5">
        <v>1</v>
      </c>
      <c r="B4" t="s">
        <v>378</v>
      </c>
      <c r="H4" s="5" t="s">
        <v>17</v>
      </c>
      <c r="I4" s="5"/>
      <c r="J4" s="5" t="s">
        <v>249</v>
      </c>
      <c r="L4" s="5" t="s">
        <v>19</v>
      </c>
    </row>
    <row r="5" spans="1:12" ht="12.75">
      <c r="A5" s="5"/>
      <c r="B5" s="4" t="s">
        <v>375</v>
      </c>
      <c r="H5" s="123" t="s">
        <v>31</v>
      </c>
      <c r="I5" s="5"/>
      <c r="J5" s="123" t="s">
        <v>31</v>
      </c>
      <c r="L5" s="4" t="s">
        <v>42</v>
      </c>
    </row>
    <row r="6" spans="1:16" ht="12.75">
      <c r="A6" s="5">
        <v>2</v>
      </c>
      <c r="B6" t="s">
        <v>857</v>
      </c>
      <c r="G6" s="123" t="s">
        <v>96</v>
      </c>
      <c r="H6" s="15">
        <f>+'IncomeStat.'!D198</f>
        <v>31459406.803050004</v>
      </c>
      <c r="I6" s="15"/>
      <c r="J6" s="15">
        <f>+'IncomeStat.'!F45+'IncomeAdj.s'!T461</f>
        <v>45705585.4917914</v>
      </c>
      <c r="K6" s="15"/>
      <c r="L6" s="15">
        <f>+H6-J6</f>
        <v>-14246178.688741393</v>
      </c>
      <c r="M6" s="15"/>
      <c r="N6" s="15"/>
      <c r="O6" s="15"/>
      <c r="P6" s="15"/>
    </row>
    <row r="7" spans="1:16" ht="12.75">
      <c r="A7" s="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5">
        <v>3</v>
      </c>
      <c r="B8" t="s">
        <v>431</v>
      </c>
      <c r="G8" s="88"/>
      <c r="H8" s="129">
        <f>+'IncomeStat.'!D204</f>
        <v>30701235.0990965</v>
      </c>
      <c r="I8" s="131"/>
      <c r="J8" s="128">
        <f>+'IncomeStat.'!F204</f>
        <v>37034896</v>
      </c>
      <c r="K8" s="15"/>
      <c r="L8" s="15">
        <f>+H8-J8</f>
        <v>-6333660.900903501</v>
      </c>
      <c r="M8" s="15"/>
      <c r="N8" s="15"/>
      <c r="O8" s="15"/>
      <c r="P8" s="15"/>
    </row>
    <row r="9" spans="1:16" ht="12.75">
      <c r="A9" s="5">
        <v>4</v>
      </c>
      <c r="B9" t="s">
        <v>839</v>
      </c>
      <c r="G9" s="88"/>
      <c r="H9" s="129"/>
      <c r="I9" s="131"/>
      <c r="J9" s="128"/>
      <c r="K9" s="15"/>
      <c r="L9" s="15">
        <f>+H9-J9</f>
        <v>0</v>
      </c>
      <c r="M9" s="15"/>
      <c r="N9" s="15"/>
      <c r="O9" s="15"/>
      <c r="P9" s="15"/>
    </row>
    <row r="10" spans="1:16" ht="12.75">
      <c r="A10" s="5"/>
      <c r="G10" s="88"/>
      <c r="H10" s="205" t="s">
        <v>42</v>
      </c>
      <c r="I10" s="131"/>
      <c r="J10" s="206" t="s">
        <v>43</v>
      </c>
      <c r="K10" s="15"/>
      <c r="L10" s="124" t="s">
        <v>43</v>
      </c>
      <c r="M10" s="15"/>
      <c r="N10" s="15"/>
      <c r="O10" s="15"/>
      <c r="P10" s="15"/>
    </row>
    <row r="11" spans="1:16" ht="12.75">
      <c r="A11" s="5">
        <v>5</v>
      </c>
      <c r="B11" t="s">
        <v>840</v>
      </c>
      <c r="G11" s="88"/>
      <c r="H11" s="129">
        <f>SUM(H8:H10)</f>
        <v>30701235.0990965</v>
      </c>
      <c r="I11" s="131"/>
      <c r="J11" s="129">
        <f>SUM(J8:J10)</f>
        <v>37034896</v>
      </c>
      <c r="K11" s="15"/>
      <c r="L11" s="129">
        <f>SUM(L8:L10)</f>
        <v>-6333660.900903501</v>
      </c>
      <c r="M11" s="15"/>
      <c r="N11" s="15"/>
      <c r="O11" s="15"/>
      <c r="P11" s="15"/>
    </row>
    <row r="12" spans="1:16" ht="12.75">
      <c r="A12" s="5">
        <v>6</v>
      </c>
      <c r="B12" t="s">
        <v>370</v>
      </c>
      <c r="H12" s="125">
        <f>+'IncomeStat.'!J9</f>
        <v>0.3838862759524057</v>
      </c>
      <c r="I12" s="126"/>
      <c r="J12" s="125">
        <f>+'IncomeStat.'!J9</f>
        <v>0.3838862759524057</v>
      </c>
      <c r="K12" s="6"/>
      <c r="L12" s="7">
        <f>+'IncomeStat.'!J9</f>
        <v>0.3838862759524057</v>
      </c>
      <c r="M12" s="6"/>
      <c r="N12" s="6"/>
      <c r="O12" s="15"/>
      <c r="P12" s="15"/>
    </row>
    <row r="13" spans="1:16" ht="12.75">
      <c r="A13" s="5"/>
      <c r="H13" s="123" t="s">
        <v>31</v>
      </c>
      <c r="I13" s="5"/>
      <c r="J13" s="123" t="s">
        <v>31</v>
      </c>
      <c r="L13" s="4" t="s">
        <v>42</v>
      </c>
      <c r="P13" s="15"/>
    </row>
    <row r="14" spans="1:16" ht="12.75">
      <c r="A14" s="5">
        <v>7</v>
      </c>
      <c r="B14" t="s">
        <v>371</v>
      </c>
      <c r="G14" s="123" t="s">
        <v>98</v>
      </c>
      <c r="H14" s="15">
        <f>+H11*H12</f>
        <v>11785782.809331443</v>
      </c>
      <c r="I14" s="15"/>
      <c r="J14" s="15">
        <f>+J11*J12</f>
        <v>14217188.305724647</v>
      </c>
      <c r="K14" s="15"/>
      <c r="L14" s="15">
        <f>+L11*L12</f>
        <v>-2431405.4963932037</v>
      </c>
      <c r="M14" s="15"/>
      <c r="N14" s="15"/>
      <c r="O14" s="15"/>
      <c r="P14" s="15"/>
    </row>
    <row r="15" spans="1:16" ht="12.75">
      <c r="A15" s="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5">
        <v>8</v>
      </c>
      <c r="B16" t="s">
        <v>372</v>
      </c>
      <c r="G16" s="4" t="s">
        <v>373</v>
      </c>
      <c r="H16" s="15">
        <f>+H6-H14</f>
        <v>19673623.99371856</v>
      </c>
      <c r="I16" s="15"/>
      <c r="J16" s="15">
        <f>+J6-J14</f>
        <v>31488397.18606675</v>
      </c>
      <c r="K16" s="15"/>
      <c r="L16" s="15">
        <f>+L6-L14</f>
        <v>-11814773.19234819</v>
      </c>
      <c r="M16" s="15"/>
      <c r="N16" s="15"/>
      <c r="O16" s="15"/>
      <c r="P16" s="15"/>
    </row>
    <row r="17" spans="1:16" ht="12.75">
      <c r="A17" s="5">
        <v>9</v>
      </c>
      <c r="B17" t="s">
        <v>374</v>
      </c>
      <c r="H17" s="127">
        <f>+'Rev.Requirement'!D22</f>
        <v>1.6230755440453266</v>
      </c>
      <c r="I17" s="127"/>
      <c r="J17" s="127">
        <f>+'Rev.Requirement'!D22</f>
        <v>1.6230755440453266</v>
      </c>
      <c r="K17" s="127"/>
      <c r="L17" s="127">
        <f>+'Rev.Requirement'!D22</f>
        <v>1.6230755440453266</v>
      </c>
      <c r="M17" s="127"/>
      <c r="N17" s="127"/>
      <c r="O17" s="15"/>
      <c r="P17" s="15"/>
    </row>
    <row r="18" spans="1:16" ht="12.75">
      <c r="A18" s="5"/>
      <c r="H18" s="123" t="s">
        <v>31</v>
      </c>
      <c r="I18" s="5"/>
      <c r="J18" s="123" t="s">
        <v>31</v>
      </c>
      <c r="L18" s="4" t="s">
        <v>42</v>
      </c>
      <c r="P18" s="15"/>
    </row>
    <row r="19" spans="1:16" ht="12.75">
      <c r="A19" s="5">
        <v>10</v>
      </c>
      <c r="B19" t="s">
        <v>432</v>
      </c>
      <c r="H19" s="15">
        <f>+H16*H17</f>
        <v>31931777.966947943</v>
      </c>
      <c r="I19" s="15"/>
      <c r="J19" s="15">
        <f>+J16*J17</f>
        <v>51108047.39389062</v>
      </c>
      <c r="K19" s="15"/>
      <c r="L19" s="15">
        <f>+L16*L17</f>
        <v>-19176269.42694268</v>
      </c>
      <c r="M19" s="15"/>
      <c r="N19" s="15"/>
      <c r="O19" s="15"/>
      <c r="P19" s="15"/>
    </row>
    <row r="20" spans="1:16" ht="12.75">
      <c r="A20" s="5"/>
      <c r="H20" s="15"/>
      <c r="I20" s="15"/>
      <c r="J20" s="15" t="s">
        <v>73</v>
      </c>
      <c r="K20" s="15"/>
      <c r="L20" s="15">
        <f>+H19-J19</f>
        <v>-19176269.426942676</v>
      </c>
      <c r="M20" s="131" t="s">
        <v>100</v>
      </c>
      <c r="N20" s="15"/>
      <c r="O20" s="15"/>
      <c r="P20" s="15"/>
    </row>
    <row r="21" spans="1:16" ht="12.75">
      <c r="A21" s="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5">
        <v>11</v>
      </c>
      <c r="B22" t="s">
        <v>376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5"/>
      <c r="B23" s="4" t="s">
        <v>377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5">
        <v>12</v>
      </c>
      <c r="B24" t="s">
        <v>433</v>
      </c>
      <c r="G24" s="88">
        <f>+'IncomeStat.'!C204</f>
        <v>0.9759</v>
      </c>
      <c r="H24" s="128">
        <f>+J6*G24</f>
        <v>44604080.881439224</v>
      </c>
      <c r="I24" s="131"/>
      <c r="J24" s="15"/>
      <c r="K24" s="15"/>
      <c r="L24" s="15"/>
      <c r="M24" s="15"/>
      <c r="N24" s="15"/>
      <c r="O24" s="15"/>
      <c r="P24" s="15"/>
    </row>
    <row r="25" spans="1:16" ht="12.75">
      <c r="A25" s="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5">
        <v>13</v>
      </c>
      <c r="B26" t="s">
        <v>379</v>
      </c>
      <c r="H26" s="15">
        <f>+'IncomeStat.'!F204</f>
        <v>37034896</v>
      </c>
      <c r="K26" s="15"/>
      <c r="L26" s="15"/>
      <c r="M26" s="15"/>
      <c r="N26" s="15"/>
      <c r="O26" s="15"/>
      <c r="P26" s="15"/>
    </row>
    <row r="27" spans="1:16" ht="12.75">
      <c r="A27" s="5"/>
      <c r="H27" s="124" t="s">
        <v>42</v>
      </c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5">
        <v>14</v>
      </c>
      <c r="B28" t="s">
        <v>380</v>
      </c>
      <c r="H28" s="15">
        <f>+H24-H26</f>
        <v>7569184.881439224</v>
      </c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5">
        <v>15</v>
      </c>
      <c r="B29" t="s">
        <v>370</v>
      </c>
      <c r="H29" s="6">
        <f>+'IncomeStat.'!J9</f>
        <v>0.3838862759524057</v>
      </c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5"/>
      <c r="H30" s="124" t="s">
        <v>42</v>
      </c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5">
        <v>16</v>
      </c>
      <c r="B31" t="s">
        <v>372</v>
      </c>
      <c r="H31" s="15">
        <f>+H28*H29</f>
        <v>2905706.196130955</v>
      </c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5">
        <v>17</v>
      </c>
      <c r="B32" t="str">
        <f>+B17</f>
        <v>Tax Gross Up Factor</v>
      </c>
      <c r="H32" s="130">
        <f>+'Rev.Requirement'!D22</f>
        <v>1.6230755440453266</v>
      </c>
      <c r="I32" s="15"/>
      <c r="J32" s="15"/>
      <c r="K32" s="15"/>
      <c r="L32" s="15"/>
      <c r="M32" s="15"/>
      <c r="N32" s="15"/>
      <c r="O32" s="15"/>
      <c r="P32" s="15"/>
    </row>
    <row r="33" spans="1:11" ht="12.75">
      <c r="A33" s="5"/>
      <c r="H33" s="124" t="s">
        <v>43</v>
      </c>
      <c r="I33" s="15"/>
      <c r="J33" s="15"/>
      <c r="K33" s="15"/>
    </row>
    <row r="34" spans="1:13" ht="12.75">
      <c r="A34" s="5">
        <v>18</v>
      </c>
      <c r="B34" t="s">
        <v>435</v>
      </c>
      <c r="H34" s="15">
        <f>-H31*H32</f>
        <v>-4716180.665121127</v>
      </c>
      <c r="I34" s="131"/>
      <c r="J34" s="15"/>
      <c r="K34" s="15"/>
      <c r="L34" s="15">
        <f>+H34</f>
        <v>-4716180.665121127</v>
      </c>
      <c r="M34" s="12" t="s">
        <v>101</v>
      </c>
    </row>
    <row r="35" spans="1:12" ht="12.75">
      <c r="A35" s="5"/>
      <c r="H35" s="124" t="s">
        <v>39</v>
      </c>
      <c r="I35" s="15"/>
      <c r="J35" s="15"/>
      <c r="K35" s="15"/>
      <c r="L35" s="124" t="s">
        <v>42</v>
      </c>
    </row>
    <row r="36" spans="1:13" ht="12.75">
      <c r="A36" s="5">
        <v>19</v>
      </c>
      <c r="B36" t="s">
        <v>436</v>
      </c>
      <c r="H36" s="15"/>
      <c r="I36" s="15"/>
      <c r="J36" s="15"/>
      <c r="K36" s="15"/>
      <c r="L36" s="15">
        <f>+L20-L34</f>
        <v>-14460088.76182155</v>
      </c>
      <c r="M36" s="12" t="s">
        <v>434</v>
      </c>
    </row>
    <row r="37" spans="1:12" ht="12.75">
      <c r="A37" s="5"/>
      <c r="H37" s="15"/>
      <c r="I37" s="15"/>
      <c r="J37" s="15"/>
      <c r="K37" s="15"/>
      <c r="L37" s="124" t="s">
        <v>39</v>
      </c>
    </row>
    <row r="38" spans="1:12" ht="12.75">
      <c r="A38" s="5"/>
      <c r="H38" s="15"/>
      <c r="I38" s="15"/>
      <c r="J38" s="15"/>
      <c r="K38" s="15"/>
      <c r="L38" s="15"/>
    </row>
    <row r="39" spans="1:2" ht="12.75">
      <c r="A39" s="5">
        <v>20</v>
      </c>
      <c r="B39" t="s">
        <v>390</v>
      </c>
    </row>
    <row r="40" spans="1:2" ht="12.75">
      <c r="A40" s="5"/>
      <c r="B40" s="4" t="s">
        <v>341</v>
      </c>
    </row>
    <row r="41" spans="1:12" ht="12.75">
      <c r="A41" s="5">
        <v>21</v>
      </c>
      <c r="B41" t="s">
        <v>383</v>
      </c>
      <c r="L41" s="15">
        <f>+'IncomeStat.'!P167</f>
        <v>-17715933.371917065</v>
      </c>
    </row>
    <row r="42" spans="1:12" ht="12.75">
      <c r="A42" s="5">
        <v>22</v>
      </c>
      <c r="B42" t="s">
        <v>382</v>
      </c>
      <c r="L42" s="15">
        <f>+'IncomeStat.'!P198</f>
        <v>-8876458.104287656</v>
      </c>
    </row>
    <row r="43" spans="1:12" ht="12.75">
      <c r="A43" s="5">
        <v>23</v>
      </c>
      <c r="B43" t="s">
        <v>381</v>
      </c>
      <c r="L43" s="15">
        <f>+'IncomeStat.'!P204</f>
        <v>3946354.7988531967</v>
      </c>
    </row>
    <row r="44" spans="1:12" ht="12.75">
      <c r="A44" s="5">
        <v>24</v>
      </c>
      <c r="B44" t="s">
        <v>384</v>
      </c>
      <c r="L44" s="15">
        <f>+'IncomeStat.'!P45</f>
        <v>3469767.2504088497</v>
      </c>
    </row>
    <row r="45" spans="1:12" ht="12.75">
      <c r="A45" s="5">
        <v>25</v>
      </c>
      <c r="L45" s="15"/>
    </row>
    <row r="46" spans="1:12" ht="12.75">
      <c r="A46" s="5">
        <v>26</v>
      </c>
      <c r="K46" s="16"/>
      <c r="L46" s="15"/>
    </row>
    <row r="47" spans="1:12" ht="12.75">
      <c r="A47" s="5"/>
      <c r="L47" s="124" t="s">
        <v>43</v>
      </c>
    </row>
    <row r="48" spans="1:13" ht="12.75">
      <c r="A48" s="5">
        <v>27</v>
      </c>
      <c r="B48" t="s">
        <v>385</v>
      </c>
      <c r="L48" s="15">
        <f>SUM(L41:L47)</f>
        <v>-19176269.426942676</v>
      </c>
      <c r="M48" s="12" t="s">
        <v>100</v>
      </c>
    </row>
    <row r="49" spans="1:12" ht="12.75">
      <c r="A49" s="5"/>
      <c r="J49" s="131"/>
      <c r="L49" s="124" t="s">
        <v>39</v>
      </c>
    </row>
    <row r="50" spans="1:12" ht="12.75">
      <c r="A50" s="5"/>
      <c r="J50" s="15"/>
      <c r="L50" s="124">
        <f>+L19-L48</f>
        <v>0</v>
      </c>
    </row>
    <row r="51" spans="1:12" ht="12.75">
      <c r="A51" s="5"/>
      <c r="J51" s="9"/>
      <c r="L51" s="15"/>
    </row>
    <row r="52" spans="1:12" ht="12.75">
      <c r="A52" s="5"/>
      <c r="J52" s="4"/>
      <c r="L52" s="124"/>
    </row>
    <row r="53" spans="1:10" ht="12.75">
      <c r="A53" s="5"/>
      <c r="J53" s="9"/>
    </row>
    <row r="54" spans="1:12" ht="12.75">
      <c r="A54" s="5"/>
      <c r="J54" s="6"/>
      <c r="L54" s="15"/>
    </row>
    <row r="55" spans="1:12" ht="12.75">
      <c r="A55" s="5"/>
      <c r="J55" s="4"/>
      <c r="L55" s="130"/>
    </row>
    <row r="56" spans="1:12" ht="12.75">
      <c r="A56" s="5"/>
      <c r="J56" s="9"/>
      <c r="L56" s="15"/>
    </row>
    <row r="57" spans="1:12" ht="12.75">
      <c r="A57" s="5"/>
      <c r="J57" s="204"/>
      <c r="L57" s="9"/>
    </row>
    <row r="58" ht="12.75">
      <c r="J58" s="8"/>
    </row>
    <row r="59" spans="9:12" ht="12.75">
      <c r="I59" s="16"/>
      <c r="J59" s="9"/>
      <c r="L59" s="9"/>
    </row>
    <row r="60" spans="10:12" ht="12.75">
      <c r="J60" s="9"/>
      <c r="L60" s="124"/>
    </row>
    <row r="61" ht="12.75">
      <c r="L61" s="15"/>
    </row>
    <row r="62" ht="12.75">
      <c r="L62" s="124"/>
    </row>
    <row r="63" ht="12.75">
      <c r="L63" s="15"/>
    </row>
  </sheetData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&amp;CPage &amp;P of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9"/>
  <sheetViews>
    <sheetView workbookViewId="0" topLeftCell="D1">
      <selection activeCell="C47" sqref="C47"/>
    </sheetView>
  </sheetViews>
  <sheetFormatPr defaultColWidth="9.140625" defaultRowHeight="12.75"/>
  <cols>
    <col min="1" max="1" width="9.28125" style="0" bestFit="1" customWidth="1"/>
    <col min="2" max="2" width="10.28125" style="0" bestFit="1" customWidth="1"/>
    <col min="8" max="8" width="11.7109375" style="0" customWidth="1"/>
    <col min="9" max="9" width="20.7109375" style="0" customWidth="1"/>
    <col min="10" max="10" width="18.00390625" style="0" bestFit="1" customWidth="1"/>
    <col min="11" max="11" width="16.57421875" style="0" bestFit="1" customWidth="1"/>
    <col min="12" max="12" width="12.7109375" style="0" customWidth="1"/>
  </cols>
  <sheetData>
    <row r="3" ht="12.75">
      <c r="E3" s="3" t="str">
        <f>+'Rev.Requirement'!E4</f>
        <v>Missouri Public Service Division</v>
      </c>
    </row>
    <row r="5" ht="12.75">
      <c r="E5" s="56" t="str">
        <f>+'Rev.Requirement'!E6</f>
        <v>         Case No. ER 2004-0034</v>
      </c>
    </row>
    <row r="7" ht="12.75">
      <c r="E7" t="s">
        <v>219</v>
      </c>
    </row>
    <row r="8" spans="10:12" ht="15.75">
      <c r="J8" s="82"/>
      <c r="L8" s="58"/>
    </row>
    <row r="9" spans="10:12" ht="15.75">
      <c r="J9" s="58"/>
      <c r="L9" s="58"/>
    </row>
    <row r="10" spans="1:12" ht="12.75">
      <c r="A10" s="5" t="s">
        <v>149</v>
      </c>
      <c r="J10" s="60"/>
      <c r="L10" s="60"/>
    </row>
    <row r="11" spans="1:12" ht="12.75">
      <c r="A11" s="103">
        <v>1</v>
      </c>
      <c r="B11" s="104" t="s">
        <v>821</v>
      </c>
      <c r="C11" s="105"/>
      <c r="D11" s="105"/>
      <c r="E11" s="105"/>
      <c r="F11" s="105"/>
      <c r="G11" s="105"/>
      <c r="H11" s="105"/>
      <c r="I11" s="143"/>
      <c r="J11" s="106">
        <v>75222607</v>
      </c>
      <c r="L11" s="77"/>
    </row>
    <row r="12" spans="1:12" ht="12.75">
      <c r="A12" s="103">
        <f>+A11+1</f>
        <v>2</v>
      </c>
      <c r="B12" s="104" t="s">
        <v>868</v>
      </c>
      <c r="C12" s="105"/>
      <c r="D12" s="105"/>
      <c r="E12" s="105"/>
      <c r="F12" s="105"/>
      <c r="G12" s="105"/>
      <c r="H12" s="105"/>
      <c r="I12" s="143"/>
      <c r="J12" s="106">
        <f>+J14-J11</f>
        <v>1782071.9102825075</v>
      </c>
      <c r="L12" s="77"/>
    </row>
    <row r="13" spans="1:12" ht="12.75">
      <c r="A13" s="103">
        <f aca="true" t="shared" si="0" ref="A13:A90">+A12+1</f>
        <v>3</v>
      </c>
      <c r="B13" s="104"/>
      <c r="C13" s="105"/>
      <c r="D13" s="105"/>
      <c r="E13" s="105"/>
      <c r="F13" s="105"/>
      <c r="G13" s="105"/>
      <c r="H13" s="105"/>
      <c r="I13" s="105"/>
      <c r="J13" s="122" t="s">
        <v>860</v>
      </c>
      <c r="L13" s="77"/>
    </row>
    <row r="14" spans="1:12" ht="12.75">
      <c r="A14" s="103">
        <f t="shared" si="0"/>
        <v>4</v>
      </c>
      <c r="B14" s="104" t="s">
        <v>869</v>
      </c>
      <c r="C14" s="105"/>
      <c r="D14" s="105"/>
      <c r="E14" s="105"/>
      <c r="F14" s="105"/>
      <c r="G14" s="105"/>
      <c r="H14" s="105"/>
      <c r="I14" s="105"/>
      <c r="J14" s="106">
        <f>+'Rev.Requirement'!F24</f>
        <v>77004678.91028251</v>
      </c>
      <c r="L14" s="77"/>
    </row>
    <row r="15" spans="1:12" ht="12.75">
      <c r="A15" s="103">
        <f t="shared" si="0"/>
        <v>5</v>
      </c>
      <c r="B15" s="104"/>
      <c r="C15" s="105"/>
      <c r="D15" s="105"/>
      <c r="E15" s="105"/>
      <c r="F15" s="105"/>
      <c r="G15" s="105"/>
      <c r="H15" s="105"/>
      <c r="I15" s="105"/>
      <c r="J15" s="106"/>
      <c r="L15" s="77"/>
    </row>
    <row r="16" spans="1:12" ht="12.75">
      <c r="A16" s="103">
        <f t="shared" si="0"/>
        <v>6</v>
      </c>
      <c r="B16" s="107" t="s">
        <v>246</v>
      </c>
      <c r="C16" s="105"/>
      <c r="D16" s="105"/>
      <c r="E16" s="108"/>
      <c r="F16" s="105"/>
      <c r="G16" s="105"/>
      <c r="H16" s="105"/>
      <c r="I16" s="105"/>
      <c r="J16" s="109"/>
      <c r="L16" s="77"/>
    </row>
    <row r="17" spans="1:12" ht="12.75">
      <c r="A17" s="103">
        <f t="shared" si="0"/>
        <v>7</v>
      </c>
      <c r="B17" s="110" t="s">
        <v>224</v>
      </c>
      <c r="C17" s="105"/>
      <c r="D17" s="105"/>
      <c r="E17" s="108"/>
      <c r="F17" s="105"/>
      <c r="G17" s="105"/>
      <c r="H17" s="105"/>
      <c r="I17" s="105"/>
      <c r="J17" s="109"/>
      <c r="L17" s="77"/>
    </row>
    <row r="18" spans="1:12" ht="12.75">
      <c r="A18" s="103">
        <f t="shared" si="0"/>
        <v>8</v>
      </c>
      <c r="B18" s="105" t="str">
        <f>+RateofReturn!G91</f>
        <v>Value of Capital Structure Issue - Staff / Company</v>
      </c>
      <c r="C18" s="105"/>
      <c r="D18" s="105"/>
      <c r="E18" s="108"/>
      <c r="F18" s="105"/>
      <c r="G18" s="105"/>
      <c r="H18" s="105"/>
      <c r="I18" s="111">
        <f>+RateofReturn!E112</f>
        <v>-3827606.7234840286</v>
      </c>
      <c r="J18" s="112"/>
      <c r="L18" s="77"/>
    </row>
    <row r="19" spans="1:12" ht="12.75">
      <c r="A19" s="103">
        <f t="shared" si="0"/>
        <v>9</v>
      </c>
      <c r="B19" s="105" t="s">
        <v>247</v>
      </c>
      <c r="C19" s="105"/>
      <c r="D19" s="105"/>
      <c r="E19" s="108"/>
      <c r="F19" s="105"/>
      <c r="G19" s="105"/>
      <c r="H19" s="105"/>
      <c r="I19" s="112">
        <f>SUM('IncomeStat.'!P206:P208)</f>
        <v>-3861170.7671079976</v>
      </c>
      <c r="J19" s="105"/>
      <c r="L19" s="77"/>
    </row>
    <row r="20" spans="1:12" ht="12.75">
      <c r="A20" s="103">
        <f t="shared" si="0"/>
        <v>10</v>
      </c>
      <c r="B20" s="105" t="str">
        <f>+RateofReturn!A91</f>
        <v>Rev. Req. Value of Return on Equity </v>
      </c>
      <c r="C20" s="105"/>
      <c r="D20" s="105"/>
      <c r="E20" s="108"/>
      <c r="F20" s="105"/>
      <c r="G20" s="105"/>
      <c r="H20" s="105"/>
      <c r="I20" s="112">
        <f>+RateofReturn!E111</f>
        <v>-12405325.26762651</v>
      </c>
      <c r="J20" s="105"/>
      <c r="L20" s="77"/>
    </row>
    <row r="21" spans="1:12" ht="12.75">
      <c r="A21" s="103">
        <f t="shared" si="0"/>
        <v>11</v>
      </c>
      <c r="B21" s="105"/>
      <c r="C21" s="105"/>
      <c r="D21" s="105"/>
      <c r="E21" s="108"/>
      <c r="F21" s="105"/>
      <c r="G21" s="105"/>
      <c r="H21" s="105"/>
      <c r="I21" s="113" t="s">
        <v>364</v>
      </c>
      <c r="J21" s="112"/>
      <c r="L21" s="77"/>
    </row>
    <row r="22" spans="1:12" ht="12.75">
      <c r="A22" s="103">
        <f t="shared" si="0"/>
        <v>12</v>
      </c>
      <c r="B22" s="107" t="s">
        <v>366</v>
      </c>
      <c r="C22" s="105"/>
      <c r="D22" s="105"/>
      <c r="E22" s="108"/>
      <c r="F22" s="105"/>
      <c r="G22" s="105"/>
      <c r="H22" s="105"/>
      <c r="I22" s="113"/>
      <c r="J22" s="112">
        <f>SUM(I18:I21)</f>
        <v>-20094102.758218534</v>
      </c>
      <c r="L22" s="77"/>
    </row>
    <row r="23" spans="1:10" ht="12.75">
      <c r="A23" s="103">
        <f t="shared" si="0"/>
        <v>13</v>
      </c>
      <c r="B23" s="105"/>
      <c r="C23" s="105"/>
      <c r="D23" s="105"/>
      <c r="E23" s="108"/>
      <c r="F23" s="105"/>
      <c r="G23" s="105"/>
      <c r="H23" s="105"/>
      <c r="I23" s="105"/>
      <c r="J23" s="109"/>
    </row>
    <row r="24" spans="1:10" ht="12.75">
      <c r="A24" s="103">
        <f t="shared" si="0"/>
        <v>14</v>
      </c>
      <c r="B24" s="203" t="s">
        <v>827</v>
      </c>
      <c r="C24" s="105"/>
      <c r="D24" s="105"/>
      <c r="E24" s="105"/>
      <c r="F24" s="105"/>
      <c r="G24" s="105"/>
      <c r="H24" s="105"/>
      <c r="I24" s="105"/>
      <c r="J24" s="109"/>
    </row>
    <row r="25" spans="1:10" ht="12.75">
      <c r="A25" s="103">
        <f t="shared" si="0"/>
        <v>15</v>
      </c>
      <c r="B25" s="114" t="s">
        <v>220</v>
      </c>
      <c r="C25" s="105"/>
      <c r="D25" s="105"/>
      <c r="E25" s="105"/>
      <c r="F25" s="105"/>
      <c r="G25" s="105"/>
      <c r="H25" s="105"/>
      <c r="I25" s="105"/>
      <c r="J25" s="109"/>
    </row>
    <row r="26" spans="1:12" ht="12.75">
      <c r="A26" s="103">
        <f t="shared" si="0"/>
        <v>16</v>
      </c>
      <c r="B26" s="111" t="str">
        <f>+'Rate Base'!C17</f>
        <v>Synergies from Merger - Plant</v>
      </c>
      <c r="C26" s="105"/>
      <c r="D26" s="105"/>
      <c r="E26" s="105"/>
      <c r="F26" s="105"/>
      <c r="G26" s="105"/>
      <c r="H26" s="105"/>
      <c r="I26" s="109">
        <f>+'Rate Base'!S17</f>
        <v>-264880.11006237194</v>
      </c>
      <c r="J26" s="105"/>
      <c r="L26" s="77"/>
    </row>
    <row r="27" spans="1:12" ht="12.75">
      <c r="A27" s="103">
        <f t="shared" si="0"/>
        <v>17</v>
      </c>
      <c r="B27" s="111" t="str">
        <f>+'Rate Base'!C32</f>
        <v>Synergies from Merger - Reserve</v>
      </c>
      <c r="C27" s="105"/>
      <c r="D27" s="105"/>
      <c r="E27" s="105"/>
      <c r="F27" s="105"/>
      <c r="G27" s="105"/>
      <c r="H27" s="105"/>
      <c r="I27" s="109">
        <f>+'Rate Base'!S32</f>
        <v>48431.91688871721</v>
      </c>
      <c r="J27" s="105"/>
      <c r="L27" s="77"/>
    </row>
    <row r="28" spans="1:12" ht="12.75">
      <c r="A28" s="103">
        <f t="shared" si="0"/>
        <v>18</v>
      </c>
      <c r="B28" s="105" t="str">
        <f>+'Rate Base'!C18</f>
        <v>Include Jeffrey Common Plant</v>
      </c>
      <c r="C28" s="105"/>
      <c r="D28" s="105"/>
      <c r="E28" s="105"/>
      <c r="F28" s="105"/>
      <c r="G28" s="105"/>
      <c r="H28" s="105"/>
      <c r="I28" s="109">
        <f>+'Rate Base'!S18</f>
        <v>-0.013786946826160499</v>
      </c>
      <c r="J28" s="105"/>
      <c r="L28" s="77"/>
    </row>
    <row r="29" spans="1:12" ht="12.75">
      <c r="A29" s="103">
        <f t="shared" si="0"/>
        <v>19</v>
      </c>
      <c r="B29" s="111" t="str">
        <f>+'Rate Base'!C33</f>
        <v>Include Jeffrey Common Plant - Reserve</v>
      </c>
      <c r="C29" s="105"/>
      <c r="D29" s="105"/>
      <c r="E29" s="105"/>
      <c r="F29" s="105"/>
      <c r="G29" s="105"/>
      <c r="H29" s="105"/>
      <c r="I29" s="109">
        <f>+'Rate Base'!S33</f>
        <v>0.055757375984828404</v>
      </c>
      <c r="J29" s="105"/>
      <c r="L29" s="77"/>
    </row>
    <row r="30" spans="1:12" ht="12.75">
      <c r="A30" s="103">
        <f t="shared" si="0"/>
        <v>20</v>
      </c>
      <c r="B30" s="105" t="str">
        <f>+'Rate Base'!C34</f>
        <v>Eliminate Corp. Reserve Write Off</v>
      </c>
      <c r="C30" s="105"/>
      <c r="D30" s="105"/>
      <c r="E30" s="105"/>
      <c r="F30" s="105"/>
      <c r="G30" s="105"/>
      <c r="H30" s="105"/>
      <c r="I30" s="109">
        <f>+'Rate Base'!S34</f>
        <v>0</v>
      </c>
      <c r="J30" s="105"/>
      <c r="L30" s="77"/>
    </row>
    <row r="31" spans="1:12" ht="12.75">
      <c r="A31" s="103">
        <f t="shared" si="0"/>
        <v>21</v>
      </c>
      <c r="B31" s="111" t="str">
        <f>+'Rate Base'!C20</f>
        <v>Plant not at Issue</v>
      </c>
      <c r="C31" s="105"/>
      <c r="D31" s="105"/>
      <c r="E31" s="105"/>
      <c r="F31" s="105"/>
      <c r="G31" s="105"/>
      <c r="H31" s="105"/>
      <c r="I31" s="109">
        <f>+'Rate Base'!S20</f>
        <v>-478505.81707409717</v>
      </c>
      <c r="J31" s="105"/>
      <c r="L31" s="77"/>
    </row>
    <row r="32" spans="1:12" ht="12.75">
      <c r="A32" s="103">
        <f t="shared" si="0"/>
        <v>22</v>
      </c>
      <c r="B32" s="111" t="str">
        <f>+'Rate Base'!C35</f>
        <v>Depr. Reserve not at issue</v>
      </c>
      <c r="C32" s="105"/>
      <c r="D32" s="105"/>
      <c r="E32" s="105"/>
      <c r="F32" s="105"/>
      <c r="G32" s="105"/>
      <c r="H32" s="105"/>
      <c r="I32" s="109">
        <f>+'Rate Base'!S35</f>
        <v>393333.43490034255</v>
      </c>
      <c r="J32" s="105"/>
      <c r="L32" s="77"/>
    </row>
    <row r="33" spans="1:12" ht="12.75">
      <c r="A33" s="103">
        <f t="shared" si="0"/>
        <v>23</v>
      </c>
      <c r="B33" s="105" t="str">
        <f>+'Rate Base'!C40</f>
        <v>Cash Working Capital</v>
      </c>
      <c r="C33" s="105"/>
      <c r="D33" s="105"/>
      <c r="E33" s="105"/>
      <c r="F33" s="105"/>
      <c r="G33" s="105"/>
      <c r="H33" s="105"/>
      <c r="I33" s="109">
        <f>+'Rate Base'!S40</f>
        <v>-1975017.0083483371</v>
      </c>
      <c r="J33" s="105"/>
      <c r="L33" s="77"/>
    </row>
    <row r="34" spans="1:12" ht="12.75">
      <c r="A34" s="103">
        <f t="shared" si="0"/>
        <v>24</v>
      </c>
      <c r="B34" s="105" t="str">
        <f>+'Rate Base'!C41</f>
        <v>Materials &amp; Supplies</v>
      </c>
      <c r="C34" s="105"/>
      <c r="D34" s="105"/>
      <c r="E34" s="105"/>
      <c r="F34" s="105"/>
      <c r="G34" s="105"/>
      <c r="H34" s="105"/>
      <c r="I34" s="109">
        <f>+'Rate Base'!S41</f>
        <v>0</v>
      </c>
      <c r="J34" s="105"/>
      <c r="L34" s="77"/>
    </row>
    <row r="35" spans="1:12" ht="12.75">
      <c r="A35" s="103">
        <f t="shared" si="0"/>
        <v>25</v>
      </c>
      <c r="B35" s="105" t="str">
        <f>+'Rate Base'!C42</f>
        <v>Undistributed Stores</v>
      </c>
      <c r="C35" s="105"/>
      <c r="D35" s="105"/>
      <c r="E35" s="105"/>
      <c r="F35" s="105"/>
      <c r="G35" s="105"/>
      <c r="H35" s="105"/>
      <c r="I35" s="109">
        <f>+'Rate Base'!S42</f>
        <v>0</v>
      </c>
      <c r="J35" s="105"/>
      <c r="L35" s="77"/>
    </row>
    <row r="36" spans="1:12" ht="12.75">
      <c r="A36" s="103">
        <f t="shared" si="0"/>
        <v>26</v>
      </c>
      <c r="B36" s="105" t="str">
        <f>+'Rate Base'!C43</f>
        <v>Prepayments - MPS</v>
      </c>
      <c r="C36" s="105"/>
      <c r="D36" s="105"/>
      <c r="E36" s="105"/>
      <c r="F36" s="105"/>
      <c r="G36" s="105"/>
      <c r="H36" s="105"/>
      <c r="I36" s="109">
        <f>+'Rate Base'!S43</f>
        <v>0</v>
      </c>
      <c r="J36" s="105"/>
      <c r="L36" s="77"/>
    </row>
    <row r="37" spans="1:12" ht="12.75">
      <c r="A37" s="103">
        <f t="shared" si="0"/>
        <v>27</v>
      </c>
      <c r="B37" s="105" t="str">
        <f>+'Rate Base'!C44</f>
        <v>Prepayments - MPS of UCU</v>
      </c>
      <c r="C37" s="105"/>
      <c r="D37" s="105"/>
      <c r="E37" s="105"/>
      <c r="F37" s="105"/>
      <c r="G37" s="105"/>
      <c r="H37" s="105"/>
      <c r="I37" s="109">
        <f>+'Rate Base'!S44</f>
        <v>0</v>
      </c>
      <c r="J37" s="105"/>
      <c r="L37" s="77"/>
    </row>
    <row r="38" spans="1:12" ht="12.75">
      <c r="A38" s="103">
        <f t="shared" si="0"/>
        <v>28</v>
      </c>
      <c r="B38" s="105" t="str">
        <f>+'Rate Base'!C45</f>
        <v>Emission Allowances</v>
      </c>
      <c r="C38" s="105"/>
      <c r="D38" s="105"/>
      <c r="E38" s="105"/>
      <c r="F38" s="105"/>
      <c r="G38" s="105"/>
      <c r="H38" s="105"/>
      <c r="I38" s="109">
        <f>+'Rate Base'!S45</f>
        <v>0</v>
      </c>
      <c r="J38" s="105"/>
      <c r="L38" s="77"/>
    </row>
    <row r="39" spans="1:12" ht="12.75">
      <c r="A39" s="103">
        <f t="shared" si="0"/>
        <v>29</v>
      </c>
      <c r="B39" s="105" t="str">
        <f>+'Rate Base'!C46</f>
        <v>Fuel Inventory - Oil &amp; Propane</v>
      </c>
      <c r="C39" s="105"/>
      <c r="D39" s="105"/>
      <c r="E39" s="105"/>
      <c r="F39" s="105"/>
      <c r="G39" s="105"/>
      <c r="H39" s="105"/>
      <c r="I39" s="109">
        <f>+'Rate Base'!S46</f>
        <v>-3047.8786142433923</v>
      </c>
      <c r="J39" s="105"/>
      <c r="L39" s="77"/>
    </row>
    <row r="40" spans="1:12" ht="12.75">
      <c r="A40" s="103">
        <f t="shared" si="0"/>
        <v>30</v>
      </c>
      <c r="B40" s="105" t="str">
        <f>+'Rate Base'!C47</f>
        <v>Fuel Inventory - Coal</v>
      </c>
      <c r="C40" s="105"/>
      <c r="D40" s="105"/>
      <c r="E40" s="105"/>
      <c r="F40" s="105"/>
      <c r="G40" s="105"/>
      <c r="H40" s="105"/>
      <c r="I40" s="109">
        <f>+'Rate Base'!S47</f>
        <v>-164592.05920198516</v>
      </c>
      <c r="J40" s="105"/>
      <c r="L40" s="77"/>
    </row>
    <row r="41" spans="1:12" ht="12.75">
      <c r="A41" s="103">
        <f t="shared" si="0"/>
        <v>31</v>
      </c>
      <c r="B41" s="105" t="str">
        <f>+'Rate Base'!C48</f>
        <v>Fuel Inventory - Coke</v>
      </c>
      <c r="C41" s="105"/>
      <c r="D41" s="105"/>
      <c r="E41" s="105"/>
      <c r="F41" s="105"/>
      <c r="G41" s="105"/>
      <c r="H41" s="105"/>
      <c r="I41" s="109">
        <f>+'Rate Base'!S48</f>
        <v>0</v>
      </c>
      <c r="J41" s="105"/>
      <c r="L41" s="77"/>
    </row>
    <row r="42" spans="1:12" ht="12.75">
      <c r="A42" s="103">
        <f t="shared" si="0"/>
        <v>32</v>
      </c>
      <c r="B42" s="105" t="str">
        <f>+'Rate Base'!C49</f>
        <v>Prepaid Pension Asset</v>
      </c>
      <c r="C42" s="105"/>
      <c r="D42" s="105"/>
      <c r="E42" s="105"/>
      <c r="F42" s="105"/>
      <c r="G42" s="105"/>
      <c r="H42" s="105"/>
      <c r="I42" s="109">
        <f>+'Rate Base'!S49</f>
        <v>-1045205.2921276096</v>
      </c>
      <c r="J42" s="105"/>
      <c r="L42" s="77"/>
    </row>
    <row r="43" spans="1:12" ht="12.75">
      <c r="A43" s="103">
        <f t="shared" si="0"/>
        <v>33</v>
      </c>
      <c r="B43" s="105" t="str">
        <f>+'Rate Base'!C50</f>
        <v>AAO-Def. Sibley Rebuild - 1990</v>
      </c>
      <c r="C43" s="105"/>
      <c r="D43" s="105"/>
      <c r="E43" s="105"/>
      <c r="F43" s="105"/>
      <c r="G43" s="105"/>
      <c r="H43" s="105"/>
      <c r="I43" s="109">
        <f>+'Rate Base'!S50</f>
        <v>1.058245254717553</v>
      </c>
      <c r="J43" s="105"/>
      <c r="L43" s="77"/>
    </row>
    <row r="44" spans="1:12" ht="12.75">
      <c r="A44" s="103">
        <f t="shared" si="0"/>
        <v>34</v>
      </c>
      <c r="B44" s="105" t="str">
        <f>+'Rate Base'!C51</f>
        <v>AAO-Def. Sibley Rebuild - 1993</v>
      </c>
      <c r="C44" s="105"/>
      <c r="D44" s="105"/>
      <c r="E44" s="105"/>
      <c r="F44" s="105"/>
      <c r="G44" s="105"/>
      <c r="H44" s="105"/>
      <c r="I44" s="109">
        <f>+'Rate Base'!S51</f>
        <v>0.13228065683969412</v>
      </c>
      <c r="J44" s="105"/>
      <c r="L44" s="77"/>
    </row>
    <row r="45" spans="1:12" ht="12.75">
      <c r="A45" s="103">
        <f t="shared" si="0"/>
        <v>35</v>
      </c>
      <c r="B45" s="105" t="str">
        <f>+'Rate Base'!C52</f>
        <v>AAO-Ice Storm</v>
      </c>
      <c r="C45" s="105"/>
      <c r="D45" s="105"/>
      <c r="E45" s="105"/>
      <c r="F45" s="105"/>
      <c r="G45" s="105"/>
      <c r="H45" s="105"/>
      <c r="I45" s="109">
        <f>+'Rate Base'!S52</f>
        <v>-727229.842900294</v>
      </c>
      <c r="J45" s="105"/>
      <c r="L45" s="77"/>
    </row>
    <row r="46" spans="1:12" ht="12.75">
      <c r="A46" s="103">
        <f t="shared" si="0"/>
        <v>36</v>
      </c>
      <c r="B46" s="105" t="str">
        <f>+'Rate Base'!C53</f>
        <v>Regulatory Asset-FAS 109</v>
      </c>
      <c r="C46" s="105"/>
      <c r="D46" s="105"/>
      <c r="E46" s="105"/>
      <c r="F46" s="105"/>
      <c r="G46" s="105"/>
      <c r="H46" s="105"/>
      <c r="I46" s="109">
        <f>+'Rate Base'!S53</f>
        <v>0</v>
      </c>
      <c r="J46" s="105"/>
      <c r="L46" s="77"/>
    </row>
    <row r="47" spans="1:12" ht="12.75">
      <c r="A47" s="103">
        <f t="shared" si="0"/>
        <v>37</v>
      </c>
      <c r="B47" s="105" t="str">
        <f>+'Rate Base'!C56</f>
        <v>Income Tax Offsets</v>
      </c>
      <c r="C47" s="105"/>
      <c r="D47" s="105"/>
      <c r="E47" s="105"/>
      <c r="F47" s="105"/>
      <c r="G47" s="105"/>
      <c r="H47" s="105"/>
      <c r="I47" s="109">
        <f>+'Rate Base'!S56</f>
        <v>-134829.30825502452</v>
      </c>
      <c r="J47" s="105"/>
      <c r="L47" s="77"/>
    </row>
    <row r="48" spans="1:12" ht="12.75">
      <c r="A48" s="103">
        <f t="shared" si="0"/>
        <v>38</v>
      </c>
      <c r="B48" s="105" t="str">
        <f>+'Rate Base'!C57</f>
        <v>Interest Offset</v>
      </c>
      <c r="C48" s="105"/>
      <c r="D48" s="105"/>
      <c r="E48" s="105"/>
      <c r="F48" s="105"/>
      <c r="G48" s="105"/>
      <c r="H48" s="105"/>
      <c r="I48" s="109">
        <f>+'Rate Base'!S57</f>
        <v>-804300.9188367755</v>
      </c>
      <c r="J48" s="105"/>
      <c r="L48" s="77"/>
    </row>
    <row r="49" spans="1:12" ht="12.75">
      <c r="A49" s="103">
        <f t="shared" si="0"/>
        <v>39</v>
      </c>
      <c r="B49" s="105" t="str">
        <f>+'Rate Base'!C58</f>
        <v>Customer Advances</v>
      </c>
      <c r="C49" s="105"/>
      <c r="D49" s="105"/>
      <c r="E49" s="105"/>
      <c r="F49" s="105"/>
      <c r="G49" s="105"/>
      <c r="H49" s="105"/>
      <c r="I49" s="109">
        <f>+'Rate Base'!S58</f>
        <v>0</v>
      </c>
      <c r="J49" s="105"/>
      <c r="L49" s="77"/>
    </row>
    <row r="50" spans="1:12" ht="12.75">
      <c r="A50" s="103">
        <f t="shared" si="0"/>
        <v>40</v>
      </c>
      <c r="B50" s="105" t="str">
        <f>+'Rate Base'!C59</f>
        <v>Customer Deposits</v>
      </c>
      <c r="C50" s="105"/>
      <c r="D50" s="105"/>
      <c r="E50" s="105"/>
      <c r="F50" s="105"/>
      <c r="G50" s="105"/>
      <c r="H50" s="105"/>
      <c r="I50" s="109">
        <f>+'Rate Base'!S59</f>
        <v>0.13228065683969412</v>
      </c>
      <c r="J50" s="105"/>
      <c r="L50" s="77"/>
    </row>
    <row r="51" spans="1:12" ht="12.75">
      <c r="A51" s="103">
        <f t="shared" si="0"/>
        <v>41</v>
      </c>
      <c r="B51" s="105" t="str">
        <f>+'Rate Base'!C60</f>
        <v>Deferred Income Tax - MPS</v>
      </c>
      <c r="C51" s="105"/>
      <c r="D51" s="105"/>
      <c r="E51" s="105"/>
      <c r="F51" s="105"/>
      <c r="G51" s="105"/>
      <c r="H51" s="105"/>
      <c r="I51" s="109">
        <f>+'Rate Base'!S60</f>
        <v>0</v>
      </c>
      <c r="J51" s="105"/>
      <c r="L51" s="77"/>
    </row>
    <row r="52" spans="1:12" ht="12.75">
      <c r="A52" s="103">
        <f t="shared" si="0"/>
        <v>42</v>
      </c>
      <c r="B52" s="105" t="str">
        <f>+'Rate Base'!C61</f>
        <v>Deferred Income Taxes-Synergies</v>
      </c>
      <c r="C52" s="105"/>
      <c r="D52" s="105"/>
      <c r="E52" s="105"/>
      <c r="F52" s="105"/>
      <c r="G52" s="105"/>
      <c r="H52" s="105"/>
      <c r="I52" s="109">
        <f>+'Rate Base'!S61</f>
        <v>108335.08005791587</v>
      </c>
      <c r="J52" s="105"/>
      <c r="L52" s="77"/>
    </row>
    <row r="53" spans="1:12" ht="12.75">
      <c r="A53" s="103">
        <f t="shared" si="0"/>
        <v>43</v>
      </c>
      <c r="B53" s="105" t="str">
        <f>+'Rate Base'!C62</f>
        <v>Deferred Income Tax -AAO</v>
      </c>
      <c r="C53" s="105"/>
      <c r="D53" s="105"/>
      <c r="E53" s="105"/>
      <c r="F53" s="105"/>
      <c r="G53" s="105"/>
      <c r="H53" s="105"/>
      <c r="I53" s="109">
        <f>+'Rate Base'!S62</f>
        <v>0</v>
      </c>
      <c r="J53" s="105"/>
      <c r="L53" s="77"/>
    </row>
    <row r="54" spans="1:12" ht="12.75">
      <c r="A54" s="103">
        <f t="shared" si="0"/>
        <v>44</v>
      </c>
      <c r="B54" s="105" t="str">
        <f>+'Rate Base'!C63</f>
        <v>FAS 109-Deferred Tax Liability</v>
      </c>
      <c r="C54" s="105"/>
      <c r="D54" s="105"/>
      <c r="E54" s="105"/>
      <c r="F54" s="105"/>
      <c r="G54" s="105"/>
      <c r="H54" s="105"/>
      <c r="I54" s="109">
        <f>+'Rate Base'!S63</f>
        <v>0</v>
      </c>
      <c r="J54" s="105"/>
      <c r="L54" s="77"/>
    </row>
    <row r="55" spans="1:12" ht="12.75">
      <c r="A55" s="103">
        <f t="shared" si="0"/>
        <v>45</v>
      </c>
      <c r="B55" s="105" t="str">
        <f>+'Rate Base'!C64</f>
        <v>Unamortized ITC</v>
      </c>
      <c r="C55" s="105"/>
      <c r="D55" s="105"/>
      <c r="E55" s="105"/>
      <c r="F55" s="105"/>
      <c r="G55" s="105"/>
      <c r="H55" s="105"/>
      <c r="I55" s="109">
        <f>+'Rate Base'!S64</f>
        <v>0</v>
      </c>
      <c r="J55" s="105"/>
      <c r="L55" s="77"/>
    </row>
    <row r="56" spans="1:12" ht="12.75">
      <c r="A56" s="103">
        <f t="shared" si="0"/>
        <v>46</v>
      </c>
      <c r="B56" s="105"/>
      <c r="C56" s="105"/>
      <c r="D56" s="105"/>
      <c r="E56" s="105"/>
      <c r="F56" s="105"/>
      <c r="G56" s="105"/>
      <c r="H56" s="105"/>
      <c r="I56" s="118" t="s">
        <v>825</v>
      </c>
      <c r="J56" s="105"/>
      <c r="L56" s="77"/>
    </row>
    <row r="57" spans="1:12" ht="12.75">
      <c r="A57" s="103">
        <f t="shared" si="0"/>
        <v>47</v>
      </c>
      <c r="B57" s="105" t="s">
        <v>826</v>
      </c>
      <c r="C57" s="105"/>
      <c r="D57" s="105"/>
      <c r="E57" s="105"/>
      <c r="F57" s="105"/>
      <c r="G57" s="105"/>
      <c r="H57" s="105"/>
      <c r="I57" s="109"/>
      <c r="J57" s="109">
        <f>SUM(I26:I56)</f>
        <v>-5047506.438796764</v>
      </c>
      <c r="L57" s="77"/>
    </row>
    <row r="58" spans="1:12" ht="12.75">
      <c r="A58" s="103">
        <f t="shared" si="0"/>
        <v>48</v>
      </c>
      <c r="B58" s="105"/>
      <c r="C58" s="105"/>
      <c r="D58" s="105"/>
      <c r="E58" s="105"/>
      <c r="F58" s="105"/>
      <c r="G58" s="105"/>
      <c r="H58" s="105"/>
      <c r="I58" s="109"/>
      <c r="J58" s="105"/>
      <c r="L58" s="77"/>
    </row>
    <row r="59" spans="1:12" ht="12.75">
      <c r="A59" s="103">
        <f t="shared" si="0"/>
        <v>49</v>
      </c>
      <c r="B59" s="107" t="s">
        <v>830</v>
      </c>
      <c r="C59" s="105"/>
      <c r="D59" s="105"/>
      <c r="E59" s="105"/>
      <c r="F59" s="105"/>
      <c r="G59" s="105"/>
      <c r="H59" s="105"/>
      <c r="I59" s="109"/>
      <c r="J59" s="105"/>
      <c r="L59" s="77"/>
    </row>
    <row r="60" spans="1:12" ht="12.75">
      <c r="A60" s="103">
        <f t="shared" si="0"/>
        <v>50</v>
      </c>
      <c r="B60" s="113" t="s">
        <v>831</v>
      </c>
      <c r="C60" s="105"/>
      <c r="D60" s="105"/>
      <c r="E60" s="105"/>
      <c r="F60" s="105"/>
      <c r="G60" s="105"/>
      <c r="H60" s="105"/>
      <c r="I60" s="109"/>
      <c r="J60" s="105"/>
      <c r="L60" s="77"/>
    </row>
    <row r="61" spans="1:12" ht="12.75">
      <c r="A61" s="103">
        <f t="shared" si="0"/>
        <v>51</v>
      </c>
      <c r="B61" s="105" t="str">
        <f>+'IncomeStat.'!B13</f>
        <v>Booked Revenue - Unadjusted</v>
      </c>
      <c r="C61" s="105"/>
      <c r="D61" s="105"/>
      <c r="E61" s="105"/>
      <c r="F61" s="105"/>
      <c r="G61" s="105"/>
      <c r="H61" s="105"/>
      <c r="I61" s="109">
        <f>+'IncomeStat.'!P13</f>
        <v>274238.2509286578</v>
      </c>
      <c r="J61" s="105"/>
      <c r="L61" s="77"/>
    </row>
    <row r="62" spans="1:12" ht="12.75">
      <c r="A62" s="103">
        <f t="shared" si="0"/>
        <v>52</v>
      </c>
      <c r="B62" s="105" t="str">
        <f>+'IncomeStat.'!B14</f>
        <v>Customer Growth/Annualization</v>
      </c>
      <c r="C62" s="105"/>
      <c r="D62" s="105"/>
      <c r="E62" s="105"/>
      <c r="F62" s="105"/>
      <c r="G62" s="105"/>
      <c r="H62" s="109">
        <f>+I62</f>
        <v>-1562236.6218754058</v>
      </c>
      <c r="I62" s="109">
        <f>+'IncomeStat.'!P14</f>
        <v>-1562236.6218754058</v>
      </c>
      <c r="J62" s="105"/>
      <c r="L62" s="77"/>
    </row>
    <row r="63" spans="1:12" ht="12.75">
      <c r="A63" s="103">
        <f t="shared" si="0"/>
        <v>53</v>
      </c>
      <c r="B63" s="105" t="str">
        <f>+'IncomeStat.'!B15</f>
        <v>Eliminate Unbilled Revenue - Test Year</v>
      </c>
      <c r="C63" s="105"/>
      <c r="D63" s="105"/>
      <c r="E63" s="105"/>
      <c r="F63" s="105"/>
      <c r="G63" s="105"/>
      <c r="H63" s="105"/>
      <c r="I63" s="109">
        <f>+'IncomeStat.'!P15</f>
        <v>0</v>
      </c>
      <c r="J63" s="105"/>
      <c r="L63" s="77"/>
    </row>
    <row r="64" spans="1:12" ht="12.75">
      <c r="A64" s="103">
        <f t="shared" si="0"/>
        <v>54</v>
      </c>
      <c r="B64" s="105" t="str">
        <f>+'IncomeStat.'!B16</f>
        <v>Adjust Large Customer Class for Growth</v>
      </c>
      <c r="C64" s="105"/>
      <c r="D64" s="105"/>
      <c r="E64" s="105"/>
      <c r="F64" s="105"/>
      <c r="G64" s="105"/>
      <c r="H64" s="109">
        <f>+I64</f>
        <v>-585794.4832423122</v>
      </c>
      <c r="I64" s="109">
        <f>+'IncomeStat.'!P16</f>
        <v>-585794.4832423122</v>
      </c>
      <c r="J64" s="105"/>
      <c r="L64" s="77"/>
    </row>
    <row r="65" spans="1:12" ht="12.75">
      <c r="A65" s="103">
        <f t="shared" si="0"/>
        <v>55</v>
      </c>
      <c r="B65" s="105" t="str">
        <f>+'IncomeStat.'!B17</f>
        <v>To Remove City Franchise Taxes</v>
      </c>
      <c r="C65" s="105"/>
      <c r="D65" s="105"/>
      <c r="E65" s="105"/>
      <c r="F65" s="105"/>
      <c r="G65" s="105"/>
      <c r="H65" s="105"/>
      <c r="I65" s="109">
        <f>+'IncomeStat.'!P17</f>
        <v>0</v>
      </c>
      <c r="J65" s="105"/>
      <c r="L65" s="77"/>
    </row>
    <row r="66" spans="1:10" ht="12.75">
      <c r="A66" s="103">
        <f t="shared" si="0"/>
        <v>56</v>
      </c>
      <c r="B66" s="105" t="str">
        <f>+'IncomeStat.'!B18</f>
        <v>Normalize Test Year for Weather</v>
      </c>
      <c r="C66" s="105"/>
      <c r="D66" s="105"/>
      <c r="E66" s="105"/>
      <c r="F66" s="105"/>
      <c r="G66" s="105"/>
      <c r="H66" s="109">
        <f aca="true" t="shared" si="1" ref="H66:H72">+I66</f>
        <v>0</v>
      </c>
      <c r="I66" s="109">
        <f>+'IncomeStat.'!P18</f>
        <v>0</v>
      </c>
      <c r="J66" s="105"/>
    </row>
    <row r="67" spans="1:12" ht="12.75">
      <c r="A67" s="103">
        <f t="shared" si="0"/>
        <v>57</v>
      </c>
      <c r="B67" s="105" t="str">
        <f>+'IncomeStat.'!B19</f>
        <v>Adjust for Rate Switching &amp; Billing Corrections</v>
      </c>
      <c r="C67" s="105"/>
      <c r="D67" s="105"/>
      <c r="E67" s="105"/>
      <c r="F67" s="105"/>
      <c r="G67" s="105"/>
      <c r="H67" s="109">
        <f t="shared" si="1"/>
        <v>0</v>
      </c>
      <c r="I67" s="109">
        <f>+'IncomeStat.'!P19</f>
        <v>0</v>
      </c>
      <c r="J67" s="109"/>
      <c r="L67" s="77"/>
    </row>
    <row r="68" spans="1:12" ht="12.75">
      <c r="A68" s="103">
        <f t="shared" si="0"/>
        <v>58</v>
      </c>
      <c r="B68" s="105" t="str">
        <f>+'IncomeStat.'!B20</f>
        <v>Annualize for Rate Change in Test Year</v>
      </c>
      <c r="C68" s="105"/>
      <c r="D68" s="105"/>
      <c r="E68" s="105"/>
      <c r="F68" s="105"/>
      <c r="G68" s="105"/>
      <c r="H68" s="109">
        <f t="shared" si="1"/>
        <v>0</v>
      </c>
      <c r="I68" s="109">
        <f>+'IncomeStat.'!P20</f>
        <v>0</v>
      </c>
      <c r="J68" s="109"/>
      <c r="L68" s="77"/>
    </row>
    <row r="69" spans="1:12" ht="12.75">
      <c r="A69" s="103">
        <f t="shared" si="0"/>
        <v>59</v>
      </c>
      <c r="B69" s="105" t="str">
        <f>+'IncomeStat.'!B21</f>
        <v>To Adjust for EDR Credits</v>
      </c>
      <c r="C69" s="105"/>
      <c r="D69" s="105"/>
      <c r="E69" s="105"/>
      <c r="F69" s="105"/>
      <c r="G69" s="105"/>
      <c r="H69" s="109">
        <f t="shared" si="1"/>
        <v>0</v>
      </c>
      <c r="I69" s="109">
        <f>+'IncomeStat.'!P21</f>
        <v>0</v>
      </c>
      <c r="J69" s="109"/>
      <c r="L69" s="77"/>
    </row>
    <row r="70" spans="1:12" ht="12.75">
      <c r="A70" s="103">
        <f t="shared" si="0"/>
        <v>60</v>
      </c>
      <c r="B70" s="105" t="str">
        <f>+'IncomeStat.'!B22</f>
        <v>To adjust Test Year for 365 Days</v>
      </c>
      <c r="C70" s="105"/>
      <c r="D70" s="105"/>
      <c r="E70" s="105"/>
      <c r="F70" s="105"/>
      <c r="G70" s="105"/>
      <c r="H70" s="109">
        <f t="shared" si="1"/>
        <v>0</v>
      </c>
      <c r="I70" s="109">
        <f>+'IncomeStat.'!P22</f>
        <v>0</v>
      </c>
      <c r="J70" s="109"/>
      <c r="L70" s="77"/>
    </row>
    <row r="71" spans="1:12" ht="12.75">
      <c r="A71" s="103">
        <f t="shared" si="0"/>
        <v>61</v>
      </c>
      <c r="B71" s="105" t="str">
        <f>+'IncomeStat.'!B23</f>
        <v>Annualize Miscellaneous Charges</v>
      </c>
      <c r="C71" s="105"/>
      <c r="D71" s="105"/>
      <c r="E71" s="105"/>
      <c r="F71" s="105"/>
      <c r="G71" s="105"/>
      <c r="H71" s="109">
        <f t="shared" si="1"/>
        <v>0</v>
      </c>
      <c r="I71" s="109">
        <f>+'IncomeStat.'!P23</f>
        <v>0</v>
      </c>
      <c r="J71" s="109"/>
      <c r="L71" s="77"/>
    </row>
    <row r="72" spans="1:12" ht="12.75">
      <c r="A72" s="103">
        <f t="shared" si="0"/>
        <v>62</v>
      </c>
      <c r="B72" s="105" t="str">
        <f>+'IncomeStat.'!B24</f>
        <v>Annualization of Unaccounted For Revenue</v>
      </c>
      <c r="C72" s="105"/>
      <c r="D72" s="105"/>
      <c r="E72" s="105"/>
      <c r="F72" s="105"/>
      <c r="G72" s="105"/>
      <c r="H72" s="109">
        <f t="shared" si="1"/>
        <v>0</v>
      </c>
      <c r="I72" s="109">
        <f>+'IncomeStat.'!P24</f>
        <v>0</v>
      </c>
      <c r="J72" s="109"/>
      <c r="L72" s="77"/>
    </row>
    <row r="73" spans="1:12" ht="12.75">
      <c r="A73" s="103">
        <f t="shared" si="0"/>
        <v>63</v>
      </c>
      <c r="B73" s="105"/>
      <c r="C73" s="105"/>
      <c r="D73" s="105"/>
      <c r="E73" s="105"/>
      <c r="F73" s="105"/>
      <c r="G73" s="105"/>
      <c r="H73" s="118" t="s">
        <v>43</v>
      </c>
      <c r="I73" s="109"/>
      <c r="J73" s="109"/>
      <c r="L73" s="77"/>
    </row>
    <row r="74" spans="1:12" ht="12.75">
      <c r="A74" s="103">
        <f t="shared" si="0"/>
        <v>64</v>
      </c>
      <c r="B74" s="107" t="s">
        <v>842</v>
      </c>
      <c r="C74" s="105"/>
      <c r="D74" s="105"/>
      <c r="E74" s="105"/>
      <c r="F74" s="105"/>
      <c r="G74" s="105"/>
      <c r="H74" s="120">
        <f>SUM(H62:H73)</f>
        <v>-2148031.1051177178</v>
      </c>
      <c r="I74" s="109"/>
      <c r="J74" s="109"/>
      <c r="L74" s="77"/>
    </row>
    <row r="75" spans="1:12" ht="12.75">
      <c r="A75" s="103">
        <f>+A74+1</f>
        <v>65</v>
      </c>
      <c r="B75" s="105" t="str">
        <f>+'IncomeStat.'!B25</f>
        <v>Eliminate L&amp;P Transfers from Interchange Sales</v>
      </c>
      <c r="C75" s="105"/>
      <c r="D75" s="105"/>
      <c r="E75" s="105"/>
      <c r="F75" s="105"/>
      <c r="G75" s="105"/>
      <c r="H75" s="105"/>
      <c r="I75" s="109">
        <f>+'IncomeStat.'!P25</f>
        <v>-0.4172996317352408</v>
      </c>
      <c r="J75" s="109"/>
      <c r="L75" s="77"/>
    </row>
    <row r="76" spans="1:12" ht="12.75">
      <c r="A76" s="103">
        <f t="shared" si="0"/>
        <v>66</v>
      </c>
      <c r="B76" s="105" t="str">
        <f>+'IncomeStat.'!B26</f>
        <v>Update Interchange Revenue thru Sept 30,2003</v>
      </c>
      <c r="C76" s="105"/>
      <c r="D76" s="105"/>
      <c r="E76" s="105"/>
      <c r="F76" s="105"/>
      <c r="G76" s="105"/>
      <c r="H76" s="105"/>
      <c r="I76" s="109">
        <f>+'IncomeStat.'!P26</f>
        <v>-0.4112996369759728</v>
      </c>
      <c r="J76" s="109"/>
      <c r="L76" s="77"/>
    </row>
    <row r="77" spans="1:12" ht="12.75">
      <c r="A77" s="103">
        <f t="shared" si="0"/>
        <v>67</v>
      </c>
      <c r="B77" s="105" t="str">
        <f>+'IncomeStat.'!B27</f>
        <v>Annualize Rev. for WAPA Capacity Contract</v>
      </c>
      <c r="C77" s="105"/>
      <c r="D77" s="105"/>
      <c r="E77" s="105"/>
      <c r="F77" s="105"/>
      <c r="G77" s="105"/>
      <c r="H77" s="105"/>
      <c r="I77" s="109">
        <f>+'IncomeStat.'!P27</f>
        <v>-0.14679987048843024</v>
      </c>
      <c r="J77" s="109"/>
      <c r="L77" s="77"/>
    </row>
    <row r="78" spans="1:12" ht="12.75">
      <c r="A78" s="103">
        <f t="shared" si="0"/>
        <v>68</v>
      </c>
      <c r="B78" s="105">
        <f>+'IncomeStat.'!B28</f>
        <v>0</v>
      </c>
      <c r="C78" s="105"/>
      <c r="D78" s="105"/>
      <c r="E78" s="105"/>
      <c r="F78" s="105"/>
      <c r="G78" s="105"/>
      <c r="H78" s="105"/>
      <c r="I78" s="109">
        <f>+'IncomeStat.'!P28</f>
        <v>0</v>
      </c>
      <c r="J78" s="109"/>
      <c r="L78" s="77"/>
    </row>
    <row r="79" spans="1:12" ht="12.75">
      <c r="A79" s="103">
        <f t="shared" si="0"/>
        <v>69</v>
      </c>
      <c r="B79" s="105">
        <f>+'IncomeStat.'!B29</f>
        <v>0</v>
      </c>
      <c r="C79" s="105"/>
      <c r="D79" s="105"/>
      <c r="E79" s="105"/>
      <c r="F79" s="105"/>
      <c r="G79" s="105"/>
      <c r="H79" s="105"/>
      <c r="I79" s="109">
        <f>+'IncomeStat.'!P29</f>
        <v>0</v>
      </c>
      <c r="J79" s="109"/>
      <c r="L79" s="77"/>
    </row>
    <row r="80" spans="1:12" ht="12.75">
      <c r="A80" s="103">
        <f t="shared" si="0"/>
        <v>70</v>
      </c>
      <c r="B80" s="105">
        <f>+'IncomeStat.'!B30</f>
        <v>0</v>
      </c>
      <c r="C80" s="105"/>
      <c r="D80" s="105"/>
      <c r="E80" s="105"/>
      <c r="F80" s="105"/>
      <c r="G80" s="105"/>
      <c r="H80" s="105"/>
      <c r="I80" s="109">
        <f>+'IncomeStat.'!P30</f>
        <v>0</v>
      </c>
      <c r="J80" s="109"/>
      <c r="L80" s="77"/>
    </row>
    <row r="81" spans="1:12" ht="12.75">
      <c r="A81" s="103">
        <f t="shared" si="0"/>
        <v>71</v>
      </c>
      <c r="B81" s="107"/>
      <c r="C81" s="105"/>
      <c r="D81" s="105"/>
      <c r="E81" s="105"/>
      <c r="F81" s="105"/>
      <c r="G81" s="105"/>
      <c r="H81" s="105"/>
      <c r="I81" s="113" t="s">
        <v>829</v>
      </c>
      <c r="J81" s="109"/>
      <c r="L81" s="77"/>
    </row>
    <row r="82" spans="1:12" ht="12.75">
      <c r="A82" s="103">
        <f t="shared" si="0"/>
        <v>72</v>
      </c>
      <c r="B82" s="107" t="s">
        <v>828</v>
      </c>
      <c r="C82" s="105"/>
      <c r="D82" s="105"/>
      <c r="E82" s="105"/>
      <c r="F82" s="105"/>
      <c r="G82" s="105"/>
      <c r="H82" s="105"/>
      <c r="I82" s="105"/>
      <c r="J82" s="109">
        <f>SUM(I61:I81)</f>
        <v>-1873793.8295881995</v>
      </c>
      <c r="L82" s="77"/>
    </row>
    <row r="83" spans="1:10" ht="12.75">
      <c r="A83" s="103">
        <f t="shared" si="0"/>
        <v>73</v>
      </c>
      <c r="B83" s="105"/>
      <c r="C83" s="105"/>
      <c r="D83" s="105"/>
      <c r="E83" s="105"/>
      <c r="F83" s="105"/>
      <c r="G83" s="105"/>
      <c r="H83" s="105"/>
      <c r="I83" s="105"/>
      <c r="J83" s="109"/>
    </row>
    <row r="84" spans="1:10" ht="12.75">
      <c r="A84" s="103">
        <f t="shared" si="0"/>
        <v>74</v>
      </c>
      <c r="B84" s="107" t="s">
        <v>832</v>
      </c>
      <c r="C84" s="105"/>
      <c r="D84" s="105"/>
      <c r="E84" s="105"/>
      <c r="F84" s="105"/>
      <c r="G84" s="105"/>
      <c r="H84" s="105"/>
      <c r="I84" s="105"/>
      <c r="J84" s="109"/>
    </row>
    <row r="85" spans="1:10" ht="12.75">
      <c r="A85" s="103">
        <f t="shared" si="0"/>
        <v>75</v>
      </c>
      <c r="B85" s="114" t="s">
        <v>144</v>
      </c>
      <c r="C85" s="105"/>
      <c r="D85" s="105"/>
      <c r="E85" s="105"/>
      <c r="F85" s="105"/>
      <c r="G85" s="105"/>
      <c r="H85" s="105"/>
      <c r="I85" s="105"/>
      <c r="J85" s="109"/>
    </row>
    <row r="86" spans="1:10" ht="12.75">
      <c r="A86" s="103">
        <f t="shared" si="0"/>
        <v>76</v>
      </c>
      <c r="B86" s="104" t="str">
        <f>+'IncomeStat.'!B50</f>
        <v>Total Oper.&amp; Maint. Expense - Unadjusted</v>
      </c>
      <c r="C86" s="105"/>
      <c r="D86" s="105"/>
      <c r="E86" s="105"/>
      <c r="F86" s="105"/>
      <c r="G86" s="105"/>
      <c r="H86" s="105"/>
      <c r="I86" s="111">
        <f>+'IncomeStat.'!P51</f>
        <v>-1472161.5330848855</v>
      </c>
      <c r="J86" s="109"/>
    </row>
    <row r="87" spans="1:12" ht="12.75">
      <c r="A87" s="103">
        <f t="shared" si="0"/>
        <v>77</v>
      </c>
      <c r="B87" s="116" t="str">
        <f>+'IncomeStat.'!B61</f>
        <v>Elimination of Trans UCU</v>
      </c>
      <c r="C87" s="107"/>
      <c r="D87" s="107"/>
      <c r="E87" s="107"/>
      <c r="F87" s="107"/>
      <c r="G87" s="107"/>
      <c r="H87" s="105"/>
      <c r="I87" s="117">
        <f>+'IncomeStat.'!P61</f>
        <v>-0.29700973797354263</v>
      </c>
      <c r="J87" s="112"/>
      <c r="K87" s="56"/>
      <c r="L87" s="79"/>
    </row>
    <row r="88" spans="1:12" ht="12.75">
      <c r="A88" s="103">
        <f>+A87+1</f>
        <v>78</v>
      </c>
      <c r="B88" s="116" t="str">
        <f>+'IncomeStat.'!B63</f>
        <v>Annualize Fuel Expense </v>
      </c>
      <c r="C88" s="107"/>
      <c r="D88" s="107"/>
      <c r="E88" s="107"/>
      <c r="F88" s="107"/>
      <c r="G88" s="107"/>
      <c r="H88" s="111">
        <f>+I88</f>
        <v>-3961703.0998898027</v>
      </c>
      <c r="I88" s="117">
        <f>+'IncomeStat.'!P63</f>
        <v>-3961703.0998898027</v>
      </c>
      <c r="J88" s="112"/>
      <c r="K88" s="56"/>
      <c r="L88" s="79"/>
    </row>
    <row r="89" spans="1:12" ht="12.75">
      <c r="A89" s="103">
        <f>+A88+1</f>
        <v>79</v>
      </c>
      <c r="B89" s="116" t="str">
        <f>+'IncomeStat.'!B65</f>
        <v>Annualize Fuel Expense </v>
      </c>
      <c r="C89" s="107"/>
      <c r="D89" s="107"/>
      <c r="E89" s="107"/>
      <c r="F89" s="107"/>
      <c r="G89" s="107"/>
      <c r="H89" s="111">
        <f>+I89</f>
        <v>2756634.601739095</v>
      </c>
      <c r="I89" s="117">
        <f>+'IncomeStat.'!P65</f>
        <v>2756634.601739095</v>
      </c>
      <c r="J89" s="105"/>
      <c r="L89" s="78"/>
    </row>
    <row r="90" spans="1:12" ht="12.75">
      <c r="A90" s="103">
        <f t="shared" si="0"/>
        <v>80</v>
      </c>
      <c r="B90" s="116" t="str">
        <f>+'IncomeStat.'!B67</f>
        <v>Gas Cost Cap Adj</v>
      </c>
      <c r="C90" s="107"/>
      <c r="D90" s="107"/>
      <c r="E90" s="107"/>
      <c r="F90" s="107"/>
      <c r="G90" s="107"/>
      <c r="H90" s="105"/>
      <c r="I90" s="117">
        <f>+'IncomeStat.'!P67</f>
        <v>-4568953.969504397</v>
      </c>
      <c r="J90" s="105"/>
      <c r="L90" s="78"/>
    </row>
    <row r="91" spans="1:12" ht="12.75">
      <c r="A91" s="103">
        <f aca="true" t="shared" si="2" ref="A91:A155">+A90+1</f>
        <v>81</v>
      </c>
      <c r="B91" s="116" t="str">
        <f>+'IncomeStat.'!B69</f>
        <v>Annualize Emission Allowances</v>
      </c>
      <c r="C91" s="107"/>
      <c r="D91" s="107"/>
      <c r="E91" s="107"/>
      <c r="F91" s="107"/>
      <c r="G91" s="107"/>
      <c r="H91" s="105"/>
      <c r="I91" s="117">
        <f>+'IncomeStat.'!P69</f>
        <v>771643.8120956173</v>
      </c>
      <c r="J91" s="105"/>
      <c r="L91" s="78"/>
    </row>
    <row r="92" spans="1:12" ht="12.75">
      <c r="A92" s="103">
        <f t="shared" si="2"/>
        <v>82</v>
      </c>
      <c r="B92" s="116" t="str">
        <f>+'IncomeStat.'!B71</f>
        <v>Pension Expense</v>
      </c>
      <c r="C92" s="105"/>
      <c r="D92" s="105"/>
      <c r="E92" s="105"/>
      <c r="F92" s="105"/>
      <c r="G92" s="105"/>
      <c r="H92" s="105"/>
      <c r="I92" s="111">
        <f>+'IncomeStat.'!P71</f>
        <v>-662290.3857515715</v>
      </c>
      <c r="J92" s="105"/>
      <c r="L92" s="80"/>
    </row>
    <row r="93" spans="1:12" ht="12.75">
      <c r="A93" s="103">
        <f t="shared" si="2"/>
        <v>83</v>
      </c>
      <c r="B93" s="116" t="str">
        <f>+'IncomeStat.'!B73</f>
        <v>OPEBS - FAS 106 Expense</v>
      </c>
      <c r="C93" s="105"/>
      <c r="D93" s="105"/>
      <c r="E93" s="105"/>
      <c r="F93" s="105"/>
      <c r="G93" s="105"/>
      <c r="H93" s="105"/>
      <c r="I93" s="111">
        <f>+'IncomeStat.'!P73</f>
        <v>0.11383989958174943</v>
      </c>
      <c r="J93" s="105"/>
      <c r="L93" s="80"/>
    </row>
    <row r="94" spans="1:12" ht="12.75">
      <c r="A94" s="103">
        <f t="shared" si="2"/>
        <v>84</v>
      </c>
      <c r="B94" s="117" t="str">
        <f>+'IncomeStat.'!B75</f>
        <v>Amortize Prepaid Pension Asset</v>
      </c>
      <c r="C94" s="105"/>
      <c r="D94" s="105"/>
      <c r="E94" s="105"/>
      <c r="F94" s="105"/>
      <c r="G94" s="105"/>
      <c r="H94" s="105"/>
      <c r="I94" s="111">
        <f>+'IncomeStat.'!P75</f>
        <v>1422706.7449614687</v>
      </c>
      <c r="J94" s="105"/>
      <c r="L94" s="80"/>
    </row>
    <row r="95" spans="1:12" ht="12.75">
      <c r="A95" s="103">
        <f t="shared" si="2"/>
        <v>85</v>
      </c>
      <c r="B95" s="116" t="str">
        <f>+'IncomeStat.'!B77</f>
        <v>Transmission of Power by Others</v>
      </c>
      <c r="C95" s="105"/>
      <c r="D95" s="105"/>
      <c r="E95" s="105"/>
      <c r="F95" s="105"/>
      <c r="G95" s="105"/>
      <c r="H95" s="105"/>
      <c r="I95" s="111">
        <f>+'IncomeStat.'!P77</f>
        <v>-0.2814997516873084</v>
      </c>
      <c r="J95" s="105"/>
      <c r="L95" s="80"/>
    </row>
    <row r="96" spans="1:12" ht="12.75">
      <c r="A96" s="103">
        <f t="shared" si="2"/>
        <v>86</v>
      </c>
      <c r="B96" s="116" t="str">
        <f>+'IncomeStat.'!B79</f>
        <v>Annualize Bad Debt Expense</v>
      </c>
      <c r="C96" s="105"/>
      <c r="D96" s="105"/>
      <c r="E96" s="105"/>
      <c r="F96" s="105"/>
      <c r="G96" s="105"/>
      <c r="H96" s="105"/>
      <c r="I96" s="111">
        <f>+'IncomeStat.'!P79</f>
        <v>-366027.67710925674</v>
      </c>
      <c r="J96" s="105"/>
      <c r="L96" s="81"/>
    </row>
    <row r="97" spans="1:12" ht="12.75">
      <c r="A97" s="103">
        <f t="shared" si="2"/>
        <v>87</v>
      </c>
      <c r="B97" s="116" t="str">
        <f>+'IncomeStat.'!B81</f>
        <v>Annualize Purchased Power-Energy Costs</v>
      </c>
      <c r="C97" s="105"/>
      <c r="D97" s="105"/>
      <c r="E97" s="105"/>
      <c r="F97" s="105"/>
      <c r="G97" s="105"/>
      <c r="H97" s="111">
        <f>+I97</f>
        <v>-4779924.179397356</v>
      </c>
      <c r="I97" s="111">
        <f>+'IncomeStat.'!P81</f>
        <v>-4779924.179397356</v>
      </c>
      <c r="J97" s="105"/>
      <c r="L97" s="81"/>
    </row>
    <row r="98" spans="1:12" ht="12.75">
      <c r="A98" s="103">
        <f t="shared" si="2"/>
        <v>88</v>
      </c>
      <c r="B98" s="116" t="str">
        <f>+'IncomeStat.'!B83</f>
        <v>Annualize Purchased Power Demand Costs</v>
      </c>
      <c r="C98" s="105"/>
      <c r="D98" s="105"/>
      <c r="E98" s="105"/>
      <c r="F98" s="105"/>
      <c r="G98" s="105"/>
      <c r="H98" s="105"/>
      <c r="I98" s="111">
        <f>+'IncomeStat.'!P83</f>
        <v>-6253146.893196243</v>
      </c>
      <c r="J98" s="105"/>
      <c r="L98" s="81"/>
    </row>
    <row r="99" spans="1:12" ht="12.75">
      <c r="A99" s="103"/>
      <c r="B99" s="107" t="s">
        <v>841</v>
      </c>
      <c r="D99" s="105"/>
      <c r="E99" s="105"/>
      <c r="F99" s="105"/>
      <c r="G99" s="105"/>
      <c r="H99" s="22">
        <f>SUM(H88:H97)</f>
        <v>-5984992.677548064</v>
      </c>
      <c r="I99" s="111"/>
      <c r="J99" s="105"/>
      <c r="L99" s="81"/>
    </row>
    <row r="100" spans="1:12" ht="12.75">
      <c r="A100" s="103">
        <f>+A98+1</f>
        <v>89</v>
      </c>
      <c r="B100" s="116" t="str">
        <f>+'IncomeStat.'!B85</f>
        <v>PSC Assessment</v>
      </c>
      <c r="C100" s="105"/>
      <c r="D100" s="105"/>
      <c r="E100" s="105"/>
      <c r="F100" s="105"/>
      <c r="G100" s="105"/>
      <c r="H100" s="105"/>
      <c r="I100" s="111">
        <f>+'IncomeStat.'!P85</f>
        <v>0</v>
      </c>
      <c r="J100" s="105"/>
      <c r="L100" s="81"/>
    </row>
    <row r="101" spans="1:12" ht="12.75">
      <c r="A101" s="103">
        <f t="shared" si="2"/>
        <v>90</v>
      </c>
      <c r="B101" s="105" t="str">
        <f>+'IncomeStat.'!B87</f>
        <v>Annualize 401 K Benefits</v>
      </c>
      <c r="C101" s="105"/>
      <c r="D101" s="105"/>
      <c r="E101" s="105"/>
      <c r="F101" s="105"/>
      <c r="G101" s="105"/>
      <c r="H101" s="105"/>
      <c r="I101" s="111">
        <f>+'IncomeStat.'!P87</f>
        <v>0.3008097346411186</v>
      </c>
      <c r="J101" s="118"/>
      <c r="L101" s="81"/>
    </row>
    <row r="102" spans="1:12" ht="12.75">
      <c r="A102" s="103">
        <f t="shared" si="2"/>
        <v>91</v>
      </c>
      <c r="B102" s="116" t="str">
        <f>+'IncomeStat.'!B89</f>
        <v>Interest on Accounts Receivable</v>
      </c>
      <c r="C102" s="105"/>
      <c r="D102" s="105"/>
      <c r="E102" s="105"/>
      <c r="F102" s="105"/>
      <c r="G102" s="105"/>
      <c r="H102" s="105"/>
      <c r="I102" s="111">
        <f>+'IncomeStat.'!P89</f>
        <v>686495.3944091608</v>
      </c>
      <c r="J102" s="109"/>
      <c r="L102" s="81"/>
    </row>
    <row r="103" spans="1:12" ht="12.75">
      <c r="A103" s="103">
        <f t="shared" si="2"/>
        <v>92</v>
      </c>
      <c r="B103" s="105">
        <f>+'IncomeStat.'!B91</f>
        <v>0</v>
      </c>
      <c r="C103" s="105"/>
      <c r="D103" s="105"/>
      <c r="E103" s="105"/>
      <c r="F103" s="105"/>
      <c r="G103" s="105"/>
      <c r="H103" s="105"/>
      <c r="I103" s="111">
        <f>+'IncomeStat.'!P91</f>
        <v>0</v>
      </c>
      <c r="J103" s="109"/>
      <c r="L103" s="81"/>
    </row>
    <row r="104" spans="1:12" ht="12.75">
      <c r="A104" s="103">
        <f t="shared" si="2"/>
        <v>93</v>
      </c>
      <c r="B104" s="105" t="str">
        <f>+'IncomeStat.'!B93</f>
        <v>Annualize Rate Case Expense</v>
      </c>
      <c r="C104" s="105"/>
      <c r="D104" s="105"/>
      <c r="E104" s="105"/>
      <c r="F104" s="105"/>
      <c r="G104" s="105"/>
      <c r="H104" s="105"/>
      <c r="I104" s="111">
        <f>+'IncomeStat.'!P93</f>
        <v>0</v>
      </c>
      <c r="J104" s="109"/>
      <c r="L104" s="81"/>
    </row>
    <row r="105" spans="1:12" ht="12.75">
      <c r="A105" s="103">
        <f t="shared" si="2"/>
        <v>94</v>
      </c>
      <c r="B105" s="105" t="str">
        <f>+'IncomeStat.'!B95</f>
        <v>Annualize Property Tax Expense</v>
      </c>
      <c r="C105" s="105"/>
      <c r="D105" s="105"/>
      <c r="E105" s="105"/>
      <c r="F105" s="105"/>
      <c r="G105" s="105"/>
      <c r="H105" s="105"/>
      <c r="I105" s="111">
        <f>+'IncomeStat.'!P95</f>
        <v>-259444.62333133104</v>
      </c>
      <c r="J105" s="109"/>
      <c r="K105" s="77"/>
      <c r="L105" s="80"/>
    </row>
    <row r="106" spans="1:12" ht="12.75">
      <c r="A106" s="103">
        <f t="shared" si="2"/>
        <v>95</v>
      </c>
      <c r="B106" s="105" t="str">
        <f>+'IncomeStat.'!B105</f>
        <v>Annualize ESOP Contribution</v>
      </c>
      <c r="C106" s="105"/>
      <c r="D106" s="105"/>
      <c r="E106" s="105"/>
      <c r="F106" s="105"/>
      <c r="G106" s="105"/>
      <c r="H106" s="105"/>
      <c r="I106" s="111">
        <f>+'IncomeStat.'!P105</f>
        <v>-0.2383397897489208</v>
      </c>
      <c r="J106" s="109"/>
      <c r="K106" s="77"/>
      <c r="L106" s="80"/>
    </row>
    <row r="107" spans="1:12" ht="12.75">
      <c r="A107" s="103">
        <f t="shared" si="2"/>
        <v>96</v>
      </c>
      <c r="B107" s="105" t="str">
        <f>+'IncomeStat.'!B107</f>
        <v>Write-Off Pre 2002 Misc Payroll Exp</v>
      </c>
      <c r="C107" s="105"/>
      <c r="D107" s="105"/>
      <c r="E107" s="105"/>
      <c r="F107" s="105"/>
      <c r="G107" s="105"/>
      <c r="H107" s="105"/>
      <c r="I107" s="111">
        <f>+'IncomeStat.'!P107</f>
        <v>0.12085989329176838</v>
      </c>
      <c r="J107" s="109"/>
      <c r="K107" s="77"/>
      <c r="L107" s="80"/>
    </row>
    <row r="108" spans="1:12" ht="12.75">
      <c r="A108" s="103">
        <f t="shared" si="2"/>
        <v>97</v>
      </c>
      <c r="B108" s="105" t="str">
        <f>+'IncomeStat.'!B109</f>
        <v>Elimination of Greenwood Lease Costs</v>
      </c>
      <c r="C108" s="105"/>
      <c r="D108" s="105"/>
      <c r="E108" s="105"/>
      <c r="F108" s="105"/>
      <c r="G108" s="105"/>
      <c r="H108" s="105"/>
      <c r="I108" s="111">
        <f>+'IncomeStat.'!P109</f>
        <v>0.02889997430700234</v>
      </c>
      <c r="J108" s="109"/>
      <c r="K108" s="77"/>
      <c r="L108" s="80"/>
    </row>
    <row r="109" spans="1:12" ht="12.75">
      <c r="A109" s="103">
        <f t="shared" si="2"/>
        <v>98</v>
      </c>
      <c r="B109" s="105">
        <f>+'IncomeStat.'!B111</f>
        <v>0</v>
      </c>
      <c r="C109" s="105"/>
      <c r="D109" s="105"/>
      <c r="E109" s="105"/>
      <c r="F109" s="105"/>
      <c r="G109" s="105"/>
      <c r="H109" s="105"/>
      <c r="I109" s="111">
        <f>+'IncomeStat.'!P111</f>
        <v>0</v>
      </c>
      <c r="J109" s="109"/>
      <c r="K109" s="77"/>
      <c r="L109" s="80"/>
    </row>
    <row r="110" spans="1:12" ht="12.75">
      <c r="A110" s="103">
        <f t="shared" si="2"/>
        <v>99</v>
      </c>
      <c r="B110" s="116" t="str">
        <f>+'IncomeStat.'!B113</f>
        <v>Eliminate Supplemental Retirement Plan</v>
      </c>
      <c r="C110" s="105"/>
      <c r="D110" s="105"/>
      <c r="E110" s="105"/>
      <c r="F110" s="105"/>
      <c r="G110" s="105"/>
      <c r="H110" s="105"/>
      <c r="I110" s="111">
        <f>+'IncomeStat.'!P113</f>
        <v>-401550.54954281036</v>
      </c>
      <c r="J110" s="109"/>
      <c r="K110" s="77"/>
      <c r="L110" s="80"/>
    </row>
    <row r="111" spans="1:12" ht="12.75">
      <c r="A111" s="103">
        <f t="shared" si="2"/>
        <v>100</v>
      </c>
      <c r="B111" s="105" t="str">
        <f>+'IncomeStat.'!B115</f>
        <v>Annualize Interest on Customer Deposits</v>
      </c>
      <c r="C111" s="105"/>
      <c r="D111" s="105"/>
      <c r="E111" s="105"/>
      <c r="F111" s="105"/>
      <c r="G111" s="105"/>
      <c r="H111" s="105"/>
      <c r="I111" s="111">
        <f>+'IncomeStat.'!P115</f>
        <v>0</v>
      </c>
      <c r="J111" s="109"/>
      <c r="K111" s="77"/>
      <c r="L111" s="80"/>
    </row>
    <row r="112" spans="1:12" ht="12.75">
      <c r="A112" s="103">
        <f t="shared" si="2"/>
        <v>101</v>
      </c>
      <c r="B112" s="105" t="str">
        <f>+'IncomeStat.'!B117</f>
        <v>Cost of Removal</v>
      </c>
      <c r="C112" s="105"/>
      <c r="D112" s="105"/>
      <c r="E112" s="105"/>
      <c r="F112" s="105"/>
      <c r="G112" s="105"/>
      <c r="H112" s="105"/>
      <c r="I112" s="111">
        <f>+'IncomeStat.'!P117</f>
        <v>1471337.9714615084</v>
      </c>
      <c r="J112" s="109"/>
      <c r="K112" s="77"/>
      <c r="L112" s="80"/>
    </row>
    <row r="113" spans="1:12" ht="12.75">
      <c r="A113" s="103">
        <f t="shared" si="2"/>
        <v>102</v>
      </c>
      <c r="B113" s="105" t="str">
        <f>+'IncomeStat.'!B119</f>
        <v>Amortization of AAO Ice Storm</v>
      </c>
      <c r="C113" s="105"/>
      <c r="D113" s="105"/>
      <c r="E113" s="105"/>
      <c r="F113" s="105"/>
      <c r="G113" s="105"/>
      <c r="H113" s="105"/>
      <c r="I113" s="111">
        <f>+'IncomeStat.'!P119</f>
        <v>0</v>
      </c>
      <c r="J113" s="109"/>
      <c r="K113" s="77"/>
      <c r="L113" s="80"/>
    </row>
    <row r="114" spans="1:12" ht="12.75">
      <c r="A114" s="103">
        <f t="shared" si="2"/>
        <v>103</v>
      </c>
      <c r="B114" s="105" t="str">
        <f>+'IncomeStat.'!B121</f>
        <v>Amortization Expense-Merger Synergies</v>
      </c>
      <c r="C114" s="105"/>
      <c r="D114" s="105"/>
      <c r="E114" s="105"/>
      <c r="F114" s="105"/>
      <c r="G114" s="105"/>
      <c r="H114" s="105"/>
      <c r="I114" s="111">
        <f>+'IncomeStat.'!P121</f>
        <v>-9300.991795144626</v>
      </c>
      <c r="J114" s="109"/>
      <c r="K114" s="77"/>
      <c r="L114" s="80"/>
    </row>
    <row r="115" spans="1:12" ht="12.75">
      <c r="A115" s="103">
        <f t="shared" si="2"/>
        <v>104</v>
      </c>
      <c r="B115" s="105">
        <f>+'IncomeStat.'!B123</f>
        <v>0</v>
      </c>
      <c r="C115" s="105"/>
      <c r="D115" s="105"/>
      <c r="E115" s="105"/>
      <c r="F115" s="105"/>
      <c r="G115" s="105"/>
      <c r="H115" s="105"/>
      <c r="I115" s="105">
        <f>+'IncomeStat.'!I123</f>
        <v>0</v>
      </c>
      <c r="J115" s="109"/>
      <c r="K115" s="77"/>
      <c r="L115" s="80"/>
    </row>
    <row r="116" spans="1:12" ht="12.75">
      <c r="A116" s="103">
        <f t="shared" si="2"/>
        <v>105</v>
      </c>
      <c r="B116" s="105">
        <f>+'IncomeStat.'!B125</f>
        <v>0</v>
      </c>
      <c r="C116" s="105"/>
      <c r="D116" s="105"/>
      <c r="E116" s="105"/>
      <c r="F116" s="105"/>
      <c r="G116" s="105"/>
      <c r="H116" s="105"/>
      <c r="I116" s="105">
        <f>+'IncomeStat.'!I125</f>
        <v>0</v>
      </c>
      <c r="J116" s="109"/>
      <c r="K116" s="77"/>
      <c r="L116" s="80"/>
    </row>
    <row r="117" spans="1:12" ht="12.75">
      <c r="A117" s="103">
        <f t="shared" si="2"/>
        <v>106</v>
      </c>
      <c r="B117" s="105">
        <f>+'IncomeStat.'!B127</f>
        <v>0</v>
      </c>
      <c r="C117" s="105"/>
      <c r="D117" s="105"/>
      <c r="E117" s="105"/>
      <c r="F117" s="105"/>
      <c r="G117" s="105"/>
      <c r="H117" s="105"/>
      <c r="I117" s="105">
        <f>+'IncomeStat.'!I127</f>
        <v>0</v>
      </c>
      <c r="J117" s="109"/>
      <c r="K117" s="77"/>
      <c r="L117" s="80"/>
    </row>
    <row r="118" spans="1:12" ht="12.75">
      <c r="A118" s="103">
        <f t="shared" si="2"/>
        <v>107</v>
      </c>
      <c r="B118" s="105">
        <f>+'IncomeStat.'!B129</f>
        <v>0</v>
      </c>
      <c r="C118" s="105"/>
      <c r="D118" s="105"/>
      <c r="E118" s="105"/>
      <c r="F118" s="105"/>
      <c r="G118" s="105"/>
      <c r="H118" s="105"/>
      <c r="I118" s="105">
        <f>+'IncomeStat.'!I129</f>
        <v>0</v>
      </c>
      <c r="J118" s="109"/>
      <c r="K118" s="77"/>
      <c r="L118" s="80"/>
    </row>
    <row r="119" spans="1:12" ht="12.75">
      <c r="A119" s="103">
        <f t="shared" si="2"/>
        <v>108</v>
      </c>
      <c r="B119" s="105" t="str">
        <f>+'IncomeStat.'!B131</f>
        <v>Annualize Payroll Taxes</v>
      </c>
      <c r="C119" s="105"/>
      <c r="D119" s="105"/>
      <c r="E119" s="105"/>
      <c r="F119" s="105"/>
      <c r="G119" s="105"/>
      <c r="H119" s="105"/>
      <c r="I119" s="111">
        <f>+'IncomeStat.'!P131</f>
        <v>-211798.48052230146</v>
      </c>
      <c r="J119" s="109"/>
      <c r="K119" s="77"/>
      <c r="L119" s="80"/>
    </row>
    <row r="120" spans="1:12" ht="12.75">
      <c r="A120" s="103">
        <f t="shared" si="2"/>
        <v>109</v>
      </c>
      <c r="B120" s="105" t="str">
        <f>+'IncomeStat.'!B133</f>
        <v> Employee Medical / Dental Benefits</v>
      </c>
      <c r="C120" s="105"/>
      <c r="D120" s="105"/>
      <c r="E120" s="105"/>
      <c r="F120" s="105"/>
      <c r="G120" s="105"/>
      <c r="H120" s="105"/>
      <c r="I120" s="111">
        <f>+'IncomeStat.'!P133</f>
        <v>-0.4911595667002906</v>
      </c>
      <c r="J120" s="109"/>
      <c r="K120" s="77"/>
      <c r="L120" s="80"/>
    </row>
    <row r="121" spans="1:12" ht="12.75">
      <c r="A121" s="103">
        <f t="shared" si="2"/>
        <v>110</v>
      </c>
      <c r="B121" s="105" t="str">
        <f>+'IncomeStat.'!B135</f>
        <v>Annualize Insurance Expense</v>
      </c>
      <c r="C121" s="105"/>
      <c r="D121" s="105"/>
      <c r="E121" s="105"/>
      <c r="F121" s="105"/>
      <c r="G121" s="105"/>
      <c r="H121" s="105"/>
      <c r="I121" s="111">
        <f>+'IncomeStat.'!P135</f>
        <v>0.08870992178469077</v>
      </c>
      <c r="J121" s="109"/>
      <c r="K121" s="77"/>
      <c r="L121" s="80"/>
    </row>
    <row r="122" spans="1:12" ht="12.75">
      <c r="A122" s="103">
        <f t="shared" si="2"/>
        <v>111</v>
      </c>
      <c r="B122" s="105" t="str">
        <f>+'IncomeStat.'!B137</f>
        <v>Eliminate Interest charged to Corporate</v>
      </c>
      <c r="C122" s="105"/>
      <c r="D122" s="105"/>
      <c r="E122" s="105"/>
      <c r="F122" s="105"/>
      <c r="G122" s="105"/>
      <c r="H122" s="105"/>
      <c r="I122" s="111">
        <f>+'IncomeStat.'!P137</f>
        <v>0.4250996249921385</v>
      </c>
      <c r="J122" s="109"/>
      <c r="K122" s="77"/>
      <c r="L122" s="80"/>
    </row>
    <row r="123" spans="1:12" ht="12.75">
      <c r="A123" s="103">
        <f t="shared" si="2"/>
        <v>112</v>
      </c>
      <c r="B123" s="105" t="str">
        <f>+'IncomeStat.'!B139</f>
        <v>Annualize Postage Expense</v>
      </c>
      <c r="C123" s="105"/>
      <c r="D123" s="105"/>
      <c r="E123" s="105"/>
      <c r="F123" s="105"/>
      <c r="G123" s="105"/>
      <c r="H123" s="105"/>
      <c r="I123" s="111">
        <f>+'IncomeStat.'!P139</f>
        <v>0.28693974687832846</v>
      </c>
      <c r="J123" s="109"/>
      <c r="K123" s="77"/>
      <c r="L123" s="80"/>
    </row>
    <row r="124" spans="1:12" ht="12.75">
      <c r="A124" s="103">
        <f t="shared" si="2"/>
        <v>113</v>
      </c>
      <c r="B124" s="105" t="str">
        <f>+'IncomeStat.'!B141</f>
        <v>Fuel &amp; Purchase Power - Interchange</v>
      </c>
      <c r="C124" s="105"/>
      <c r="D124" s="105"/>
      <c r="E124" s="105"/>
      <c r="F124" s="105"/>
      <c r="G124" s="105"/>
      <c r="H124" s="105"/>
      <c r="I124" s="111">
        <f>+'IncomeStat.'!P141</f>
        <v>-0.2682997638979477</v>
      </c>
      <c r="J124" s="109"/>
      <c r="K124" s="77"/>
      <c r="L124" s="80"/>
    </row>
    <row r="125" spans="1:12" ht="12.75">
      <c r="A125" s="103">
        <f t="shared" si="2"/>
        <v>114</v>
      </c>
      <c r="B125" s="105" t="str">
        <f>+'IncomeStat.'!B143</f>
        <v>Advertising Expense</v>
      </c>
      <c r="C125" s="105"/>
      <c r="D125" s="105"/>
      <c r="E125" s="105"/>
      <c r="F125" s="105"/>
      <c r="G125" s="105"/>
      <c r="H125" s="105"/>
      <c r="I125" s="111">
        <f>+'IncomeStat.'!P143</f>
        <v>-0.4522796010490604</v>
      </c>
      <c r="J125" s="109"/>
      <c r="K125" s="77"/>
      <c r="L125" s="80"/>
    </row>
    <row r="126" spans="1:12" ht="12.75">
      <c r="A126" s="103">
        <f t="shared" si="2"/>
        <v>115</v>
      </c>
      <c r="B126" s="105" t="str">
        <f>+'IncomeStat.'!B145</f>
        <v>Maintenance Expense Normalization</v>
      </c>
      <c r="C126" s="105"/>
      <c r="D126" s="105"/>
      <c r="E126" s="105"/>
      <c r="F126" s="105"/>
      <c r="G126" s="105"/>
      <c r="H126" s="105"/>
      <c r="I126" s="111">
        <f>+'IncomeStat.'!P145</f>
        <v>0.30518973076193334</v>
      </c>
      <c r="J126" s="109"/>
      <c r="K126" s="77"/>
      <c r="L126" s="80"/>
    </row>
    <row r="127" spans="1:12" ht="12.75">
      <c r="A127" s="103">
        <f t="shared" si="2"/>
        <v>116</v>
      </c>
      <c r="B127" s="105" t="str">
        <f>+'IncomeStat.'!B153</f>
        <v>Dues &amp; Donations</v>
      </c>
      <c r="C127" s="105"/>
      <c r="D127" s="105"/>
      <c r="E127" s="105"/>
      <c r="F127" s="105"/>
      <c r="G127" s="105"/>
      <c r="H127" s="105"/>
      <c r="I127" s="111">
        <f>+'IncomeStat.'!P153</f>
        <v>0.42045962908610457</v>
      </c>
      <c r="J127" s="109"/>
      <c r="K127" s="77"/>
      <c r="L127" s="80"/>
    </row>
    <row r="128" spans="1:12" ht="12.75">
      <c r="A128" s="103">
        <f t="shared" si="2"/>
        <v>117</v>
      </c>
      <c r="B128" s="105" t="str">
        <f>+'IncomeStat.'!B155</f>
        <v>ESF/IBU Allocations-August Factors</v>
      </c>
      <c r="C128" s="105"/>
      <c r="D128" s="105"/>
      <c r="E128" s="105"/>
      <c r="F128" s="105"/>
      <c r="G128" s="105"/>
      <c r="H128" s="105"/>
      <c r="I128" s="111">
        <f>+'IncomeStat.'!P155</f>
        <v>-31238.61707290277</v>
      </c>
      <c r="J128" s="109"/>
      <c r="K128" s="77"/>
      <c r="L128" s="80"/>
    </row>
    <row r="129" spans="1:12" ht="12.75">
      <c r="A129" s="103">
        <f t="shared" si="2"/>
        <v>118</v>
      </c>
      <c r="B129" s="105" t="str">
        <f>+'IncomeStat.'!B157</f>
        <v>O&amp;M L&amp;P Synergies</v>
      </c>
      <c r="C129" s="105"/>
      <c r="D129" s="105"/>
      <c r="E129" s="105"/>
      <c r="F129" s="105"/>
      <c r="G129" s="105"/>
      <c r="H129" s="105"/>
      <c r="I129" s="111">
        <f>+'IncomeStat.'!P157</f>
        <v>-1681029.517082439</v>
      </c>
      <c r="J129" s="109"/>
      <c r="K129" s="77"/>
      <c r="L129" s="80"/>
    </row>
    <row r="130" spans="1:12" ht="12.75">
      <c r="A130" s="103">
        <f t="shared" si="2"/>
        <v>119</v>
      </c>
      <c r="B130" s="105" t="str">
        <f>+'IncomeStat.'!B159</f>
        <v>Synergies from Joint Dispatch</v>
      </c>
      <c r="C130" s="105"/>
      <c r="D130" s="105"/>
      <c r="E130" s="105"/>
      <c r="F130" s="105"/>
      <c r="G130" s="105"/>
      <c r="H130" s="105"/>
      <c r="I130" s="111">
        <f>+'IncomeStat.'!P159</f>
        <v>-3893765.5651207925</v>
      </c>
      <c r="J130" s="109"/>
      <c r="K130" s="77"/>
      <c r="L130" s="80"/>
    </row>
    <row r="131" spans="1:12" ht="12.75">
      <c r="A131" s="103">
        <f t="shared" si="2"/>
        <v>120</v>
      </c>
      <c r="B131" s="105" t="str">
        <f>+'IncomeStat.'!B161</f>
        <v>MPS Share of JEC' Employee Expense</v>
      </c>
      <c r="C131" s="105"/>
      <c r="D131" s="105"/>
      <c r="E131" s="105"/>
      <c r="F131" s="105"/>
      <c r="G131" s="105"/>
      <c r="H131" s="105"/>
      <c r="I131" s="111">
        <f>+'IncomeStat.'!P161</f>
        <v>0.12625988862458612</v>
      </c>
      <c r="J131" s="109"/>
      <c r="K131" s="77"/>
      <c r="L131" s="80"/>
    </row>
    <row r="132" spans="1:12" ht="12.75">
      <c r="A132" s="103">
        <f t="shared" si="2"/>
        <v>121</v>
      </c>
      <c r="B132" s="105" t="str">
        <f>+'IncomeStat.'!B163</f>
        <v>Annualize Payroll at Sept. 30, 2003 </v>
      </c>
      <c r="C132" s="105"/>
      <c r="D132" s="105"/>
      <c r="E132" s="105"/>
      <c r="F132" s="105"/>
      <c r="G132" s="105"/>
      <c r="H132" s="105"/>
      <c r="I132" s="111">
        <f>+'IncomeStat.'!P163</f>
        <v>-371336.30878625566</v>
      </c>
      <c r="J132" s="109"/>
      <c r="K132" s="77"/>
      <c r="L132" s="80"/>
    </row>
    <row r="133" spans="1:12" ht="12.75">
      <c r="A133" s="103">
        <f t="shared" si="2"/>
        <v>122</v>
      </c>
      <c r="B133" s="105" t="str">
        <f>+'IncomeStat.'!B165</f>
        <v>Eliminate Payroll - Restrucuring</v>
      </c>
      <c r="C133" s="105"/>
      <c r="D133" s="105"/>
      <c r="E133" s="105"/>
      <c r="F133" s="105"/>
      <c r="G133" s="105"/>
      <c r="H133" s="105"/>
      <c r="I133" s="111">
        <f>+'IncomeStat.'!P165</f>
        <v>-391949.865132039</v>
      </c>
      <c r="J133" s="109"/>
      <c r="K133" s="77"/>
      <c r="L133" s="80"/>
    </row>
    <row r="134" spans="1:12" ht="12.75">
      <c r="A134" s="103">
        <f t="shared" si="2"/>
        <v>123</v>
      </c>
      <c r="B134" s="105" t="str">
        <f>+'IncomeStat.'!B167</f>
        <v>Annualize Depreciation Expense</v>
      </c>
      <c r="C134" s="105"/>
      <c r="D134" s="105"/>
      <c r="E134" s="105"/>
      <c r="F134" s="105"/>
      <c r="G134" s="105"/>
      <c r="H134" s="105"/>
      <c r="I134" s="111">
        <f>+Depreciation!L36</f>
        <v>-14460088.76182155</v>
      </c>
      <c r="J134" s="109"/>
      <c r="K134" s="77"/>
      <c r="L134" s="80"/>
    </row>
    <row r="135" spans="1:12" ht="12.75">
      <c r="A135" s="103">
        <f t="shared" si="2"/>
        <v>124</v>
      </c>
      <c r="B135" s="105" t="str">
        <f>+'IncomeStat.'!B169</f>
        <v>Annualize Incentive Compensation</v>
      </c>
      <c r="C135" s="105"/>
      <c r="D135" s="105"/>
      <c r="E135" s="105"/>
      <c r="F135" s="105"/>
      <c r="G135" s="105"/>
      <c r="H135" s="105"/>
      <c r="I135" s="111">
        <f>+'IncomeStat.'!P169</f>
        <v>-601803.0691203633</v>
      </c>
      <c r="J135" s="109"/>
      <c r="K135" s="77"/>
      <c r="L135" s="80"/>
    </row>
    <row r="136" spans="1:12" ht="12.75">
      <c r="A136" s="103">
        <f t="shared" si="2"/>
        <v>125</v>
      </c>
      <c r="B136" s="105" t="str">
        <f>+'IncomeStat.'!B171</f>
        <v>Eliminate - Non-Labor Restructuring</v>
      </c>
      <c r="C136" s="105"/>
      <c r="D136" s="105"/>
      <c r="E136" s="105"/>
      <c r="F136" s="105"/>
      <c r="G136" s="105"/>
      <c r="H136" s="105"/>
      <c r="I136" s="111">
        <f>+'IncomeStat.'!P171</f>
        <v>-495471.1158209294</v>
      </c>
      <c r="J136" s="109"/>
      <c r="K136" s="77"/>
      <c r="L136" s="80"/>
    </row>
    <row r="137" spans="1:12" ht="12.75">
      <c r="A137" s="103">
        <f t="shared" si="2"/>
        <v>126</v>
      </c>
      <c r="B137" s="105">
        <f>+'IncomeStat.'!B174</f>
        <v>0</v>
      </c>
      <c r="C137" s="105"/>
      <c r="D137" s="105"/>
      <c r="E137" s="105"/>
      <c r="F137" s="105"/>
      <c r="G137" s="105"/>
      <c r="H137" s="105"/>
      <c r="I137" s="111">
        <f>+'IncomeStat.'!P174</f>
        <v>0</v>
      </c>
      <c r="J137" s="109"/>
      <c r="K137" s="77"/>
      <c r="L137" s="80"/>
    </row>
    <row r="138" spans="1:12" ht="12.75">
      <c r="A138" s="103">
        <f t="shared" si="2"/>
        <v>127</v>
      </c>
      <c r="B138" s="105" t="str">
        <f>+'IncomeStat.'!B176</f>
        <v>Turbine Overhaul Maintenance</v>
      </c>
      <c r="C138" s="105"/>
      <c r="D138" s="105"/>
      <c r="E138" s="105"/>
      <c r="F138" s="105"/>
      <c r="G138" s="105"/>
      <c r="H138" s="105"/>
      <c r="I138" s="111">
        <f>+'IncomeStat.'!P176</f>
        <v>-0.0508999550715827</v>
      </c>
      <c r="J138" s="109"/>
      <c r="K138" s="77"/>
      <c r="L138" s="80"/>
    </row>
    <row r="139" spans="1:12" ht="12.75">
      <c r="A139" s="103">
        <f t="shared" si="2"/>
        <v>128</v>
      </c>
      <c r="B139" s="105" t="str">
        <f>+'IncomeStat.'!B178</f>
        <v>Eliminate Restructuring Costs</v>
      </c>
      <c r="C139" s="105"/>
      <c r="D139" s="105"/>
      <c r="E139" s="105"/>
      <c r="F139" s="105"/>
      <c r="G139" s="105"/>
      <c r="H139" s="105"/>
      <c r="I139" s="111">
        <f>+'IncomeStat.'!P178</f>
        <v>-855873.6765923738</v>
      </c>
      <c r="J139" s="109"/>
      <c r="K139" s="77"/>
      <c r="L139" s="80"/>
    </row>
    <row r="140" spans="1:12" ht="12.75">
      <c r="A140" s="103">
        <f t="shared" si="2"/>
        <v>129</v>
      </c>
      <c r="B140" s="105"/>
      <c r="C140" s="105"/>
      <c r="D140" s="105"/>
      <c r="E140" s="105"/>
      <c r="F140" s="105"/>
      <c r="G140" s="105"/>
      <c r="H140" s="105"/>
      <c r="I140" s="105"/>
      <c r="J140" s="109"/>
      <c r="K140" s="77"/>
      <c r="L140" s="80"/>
    </row>
    <row r="141" spans="1:12" ht="12.75">
      <c r="A141" s="103">
        <f t="shared" si="2"/>
        <v>130</v>
      </c>
      <c r="B141" s="111"/>
      <c r="C141" s="105"/>
      <c r="D141" s="105"/>
      <c r="E141" s="105"/>
      <c r="F141" s="105"/>
      <c r="G141" s="105"/>
      <c r="H141" s="113"/>
      <c r="I141" s="113" t="s">
        <v>364</v>
      </c>
      <c r="J141" s="109"/>
      <c r="K141" s="77"/>
      <c r="L141" s="80"/>
    </row>
    <row r="142" spans="1:12" ht="12.75">
      <c r="A142" s="103">
        <f t="shared" si="2"/>
        <v>131</v>
      </c>
      <c r="B142" s="105"/>
      <c r="C142" s="105"/>
      <c r="D142" s="105"/>
      <c r="E142" s="105"/>
      <c r="F142" s="105"/>
      <c r="G142" s="105"/>
      <c r="H142" s="105"/>
      <c r="I142" s="111"/>
      <c r="J142" s="109">
        <f>SUM(I86:I140)</f>
        <v>-38620040.217428006</v>
      </c>
      <c r="K142" s="77"/>
      <c r="L142" s="80"/>
    </row>
    <row r="143" spans="1:12" ht="12.75">
      <c r="A143" s="103">
        <f t="shared" si="2"/>
        <v>132</v>
      </c>
      <c r="B143" s="105"/>
      <c r="C143" s="105"/>
      <c r="D143" s="105"/>
      <c r="E143" s="105"/>
      <c r="F143" s="105"/>
      <c r="G143" s="105"/>
      <c r="H143" s="105"/>
      <c r="I143" s="111"/>
      <c r="J143" s="109"/>
      <c r="K143" s="77"/>
      <c r="L143" s="80"/>
    </row>
    <row r="144" spans="1:12" ht="12.75">
      <c r="A144" s="103">
        <f t="shared" si="2"/>
        <v>133</v>
      </c>
      <c r="B144" s="105" t="s">
        <v>834</v>
      </c>
      <c r="C144" s="105"/>
      <c r="D144" s="105"/>
      <c r="E144" s="105"/>
      <c r="F144" s="105"/>
      <c r="G144" s="105"/>
      <c r="H144" s="105"/>
      <c r="I144" s="111">
        <f>+'IncomeStat.'!P199</f>
        <v>0</v>
      </c>
      <c r="J144" s="109"/>
      <c r="K144" s="77"/>
      <c r="L144" s="80"/>
    </row>
    <row r="145" spans="1:12" ht="12.75">
      <c r="A145" s="103">
        <f t="shared" si="2"/>
        <v>134</v>
      </c>
      <c r="B145" s="105" t="s">
        <v>835</v>
      </c>
      <c r="C145" s="105"/>
      <c r="D145" s="105"/>
      <c r="E145" s="105"/>
      <c r="F145" s="105"/>
      <c r="G145" s="105"/>
      <c r="H145" s="105"/>
      <c r="I145" s="111">
        <f>+'IncomeStat.'!P202</f>
        <v>0</v>
      </c>
      <c r="J145" s="109"/>
      <c r="K145" s="77"/>
      <c r="L145" s="80"/>
    </row>
    <row r="146" spans="1:12" ht="12.75">
      <c r="A146" s="103">
        <f t="shared" si="2"/>
        <v>135</v>
      </c>
      <c r="B146" s="105" t="s">
        <v>836</v>
      </c>
      <c r="C146" s="105"/>
      <c r="D146" s="105"/>
      <c r="E146" s="105"/>
      <c r="F146" s="105"/>
      <c r="G146" s="105"/>
      <c r="H146" s="105"/>
      <c r="I146" s="111">
        <f>+'IncomeStat.'!P221</f>
        <v>0</v>
      </c>
      <c r="J146" s="109"/>
      <c r="K146" s="77"/>
      <c r="L146" s="80"/>
    </row>
    <row r="147" spans="1:12" ht="12.75">
      <c r="A147" s="103">
        <f t="shared" si="2"/>
        <v>136</v>
      </c>
      <c r="B147" s="105" t="str">
        <f>+'IncomeStat.'!B230</f>
        <v>Amortization of Excess Deferred Tax</v>
      </c>
      <c r="C147" s="105"/>
      <c r="D147" s="105"/>
      <c r="E147" s="105"/>
      <c r="F147" s="105"/>
      <c r="G147" s="105"/>
      <c r="H147" s="105"/>
      <c r="I147" s="111">
        <f>+'IncomeStat.'!P230</f>
        <v>0</v>
      </c>
      <c r="J147" s="109"/>
      <c r="K147" s="77"/>
      <c r="L147" s="80"/>
    </row>
    <row r="148" spans="1:12" ht="12.75">
      <c r="A148" s="103">
        <f t="shared" si="2"/>
        <v>137</v>
      </c>
      <c r="B148" s="105" t="str">
        <f>+'IncomeStat.'!B231</f>
        <v>Amortization of ITC</v>
      </c>
      <c r="C148" s="105"/>
      <c r="D148" s="105"/>
      <c r="E148" s="105"/>
      <c r="F148" s="105"/>
      <c r="G148" s="105"/>
      <c r="H148" s="105"/>
      <c r="I148" s="119">
        <f>+'IncomeStat.'!P231</f>
        <v>0</v>
      </c>
      <c r="J148" s="109"/>
      <c r="K148" s="77"/>
      <c r="L148" s="80"/>
    </row>
    <row r="149" spans="1:12" ht="12.75">
      <c r="A149" s="103">
        <f t="shared" si="2"/>
        <v>138</v>
      </c>
      <c r="B149" s="116" t="s">
        <v>837</v>
      </c>
      <c r="C149" s="105"/>
      <c r="D149" s="105"/>
      <c r="E149" s="105"/>
      <c r="F149" s="105"/>
      <c r="G149" s="105"/>
      <c r="H149" s="105"/>
      <c r="I149" s="111">
        <f>+Depreciation!L34</f>
        <v>-4716180.665121127</v>
      </c>
      <c r="J149" s="109"/>
      <c r="K149" s="77"/>
      <c r="L149" s="80"/>
    </row>
    <row r="150" spans="1:12" ht="12.75">
      <c r="A150" s="103">
        <f t="shared" si="2"/>
        <v>139</v>
      </c>
      <c r="B150" s="107"/>
      <c r="C150" s="105"/>
      <c r="D150" s="105"/>
      <c r="E150" s="105"/>
      <c r="F150" s="105"/>
      <c r="G150" s="105"/>
      <c r="H150" s="105"/>
      <c r="I150" s="119" t="s">
        <v>364</v>
      </c>
      <c r="J150" s="109"/>
      <c r="K150" s="77"/>
      <c r="L150" s="80"/>
    </row>
    <row r="151" spans="1:12" ht="12.75">
      <c r="A151" s="103">
        <f t="shared" si="2"/>
        <v>140</v>
      </c>
      <c r="B151" s="105" t="s">
        <v>838</v>
      </c>
      <c r="C151" s="105"/>
      <c r="D151" s="105"/>
      <c r="E151" s="105"/>
      <c r="F151" s="105"/>
      <c r="G151" s="105"/>
      <c r="H151" s="105"/>
      <c r="I151" s="111"/>
      <c r="J151" s="109">
        <f>SUM(I144:I150)</f>
        <v>-4716180.665121127</v>
      </c>
      <c r="K151" s="77"/>
      <c r="L151" s="80"/>
    </row>
    <row r="152" spans="1:12" ht="12.75">
      <c r="A152" s="103">
        <f t="shared" si="2"/>
        <v>141</v>
      </c>
      <c r="B152" s="105"/>
      <c r="C152" s="105"/>
      <c r="D152" s="105"/>
      <c r="E152" s="105"/>
      <c r="F152" s="105"/>
      <c r="G152" s="105"/>
      <c r="H152" s="105"/>
      <c r="I152" s="111"/>
      <c r="J152" s="109"/>
      <c r="K152" s="77"/>
      <c r="L152" s="80"/>
    </row>
    <row r="153" spans="1:12" ht="12.75">
      <c r="A153" s="103">
        <f t="shared" si="2"/>
        <v>142</v>
      </c>
      <c r="B153" s="22"/>
      <c r="C153" s="105"/>
      <c r="D153" s="105"/>
      <c r="E153" s="105"/>
      <c r="F153" s="105"/>
      <c r="G153" s="105"/>
      <c r="H153" s="105"/>
      <c r="I153" s="118"/>
      <c r="J153" s="109"/>
      <c r="K153" s="77"/>
      <c r="L153" s="80"/>
    </row>
    <row r="154" spans="1:12" ht="12.75">
      <c r="A154" s="103">
        <f t="shared" si="2"/>
        <v>143</v>
      </c>
      <c r="B154" s="117" t="s">
        <v>848</v>
      </c>
      <c r="C154" s="105"/>
      <c r="D154" s="105"/>
      <c r="E154" s="105"/>
      <c r="F154" s="105"/>
      <c r="G154" s="105"/>
      <c r="H154" s="105"/>
      <c r="I154" s="118"/>
      <c r="J154" s="109"/>
      <c r="K154" s="77"/>
      <c r="L154" s="80"/>
    </row>
    <row r="155" spans="1:12" ht="12.75">
      <c r="A155" s="103">
        <f t="shared" si="2"/>
        <v>144</v>
      </c>
      <c r="B155" s="105"/>
      <c r="C155" s="105"/>
      <c r="D155" s="105"/>
      <c r="E155" s="105"/>
      <c r="F155" s="105"/>
      <c r="G155" s="105"/>
      <c r="H155" s="105"/>
      <c r="I155" s="105"/>
      <c r="J155" s="115" t="s">
        <v>365</v>
      </c>
      <c r="L155" s="56"/>
    </row>
    <row r="156" spans="1:12" ht="12.75">
      <c r="A156" s="103">
        <f aca="true" t="shared" si="3" ref="A156:A176">+A155+1</f>
        <v>145</v>
      </c>
      <c r="B156" s="105"/>
      <c r="C156" s="105"/>
      <c r="D156" s="107" t="s">
        <v>367</v>
      </c>
      <c r="E156" s="105"/>
      <c r="F156" s="105"/>
      <c r="G156" s="105"/>
      <c r="H156" s="105"/>
      <c r="I156" s="105"/>
      <c r="J156" s="109">
        <f>SUM(J16:J155)</f>
        <v>-70351623.90915263</v>
      </c>
      <c r="K156" s="77"/>
      <c r="L156" s="81"/>
    </row>
    <row r="157" spans="1:12" ht="12.75">
      <c r="A157" s="103">
        <f t="shared" si="3"/>
        <v>146</v>
      </c>
      <c r="B157" s="105"/>
      <c r="C157" s="105"/>
      <c r="D157" s="105"/>
      <c r="E157" s="105"/>
      <c r="F157" s="105"/>
      <c r="G157" s="105"/>
      <c r="H157" s="105"/>
      <c r="I157" s="105"/>
      <c r="J157" s="115"/>
      <c r="L157" s="56"/>
    </row>
    <row r="158" spans="1:12" ht="12.75">
      <c r="A158" s="103">
        <f t="shared" si="3"/>
        <v>147</v>
      </c>
      <c r="B158" s="105" t="s">
        <v>368</v>
      </c>
      <c r="C158" s="105"/>
      <c r="D158" s="105"/>
      <c r="E158" s="105"/>
      <c r="F158" s="105"/>
      <c r="G158" s="105"/>
      <c r="H158" s="105" t="s">
        <v>867</v>
      </c>
      <c r="J158" s="120">
        <f>+J14+J156</f>
        <v>6653055.001129881</v>
      </c>
      <c r="L158" s="80"/>
    </row>
    <row r="159" spans="1:12" ht="12.75">
      <c r="A159" s="103">
        <f t="shared" si="3"/>
        <v>148</v>
      </c>
      <c r="B159" s="107"/>
      <c r="C159" s="107"/>
      <c r="D159" s="107"/>
      <c r="E159" s="107"/>
      <c r="F159" s="107"/>
      <c r="G159" s="107"/>
      <c r="H159" s="107"/>
      <c r="I159" s="107"/>
      <c r="J159" s="121" t="s">
        <v>369</v>
      </c>
      <c r="K159" s="3"/>
      <c r="L159" s="80"/>
    </row>
    <row r="160" spans="1:12" ht="12.75">
      <c r="A160" s="103">
        <f t="shared" si="3"/>
        <v>149</v>
      </c>
      <c r="B160" s="107" t="s">
        <v>417</v>
      </c>
      <c r="C160" s="105"/>
      <c r="D160" s="105"/>
      <c r="E160" s="105"/>
      <c r="F160" s="105"/>
      <c r="G160" s="105"/>
      <c r="H160" s="105"/>
      <c r="I160" s="105"/>
      <c r="J160" s="147"/>
      <c r="L160" s="80"/>
    </row>
    <row r="161" spans="1:12" ht="12.75">
      <c r="A161" s="103">
        <f t="shared" si="3"/>
        <v>150</v>
      </c>
      <c r="B161" s="105" t="s">
        <v>418</v>
      </c>
      <c r="C161" s="105"/>
      <c r="D161" s="105"/>
      <c r="E161" s="105"/>
      <c r="F161" s="105"/>
      <c r="G161" s="105"/>
      <c r="H161" s="105"/>
      <c r="I161" s="105"/>
      <c r="J161" s="109">
        <f>+RateofReturn!G111</f>
        <v>0</v>
      </c>
      <c r="L161" s="80"/>
    </row>
    <row r="162" spans="1:12" ht="12.75">
      <c r="A162" s="103">
        <f t="shared" si="3"/>
        <v>151</v>
      </c>
      <c r="B162" s="105"/>
      <c r="C162" s="105"/>
      <c r="D162" s="105"/>
      <c r="E162" s="105"/>
      <c r="F162" s="105"/>
      <c r="G162" s="105"/>
      <c r="H162" s="105"/>
      <c r="I162" s="105"/>
      <c r="J162" s="109"/>
      <c r="L162" s="80"/>
    </row>
    <row r="163" spans="1:12" ht="12.75">
      <c r="A163" s="103">
        <f t="shared" si="3"/>
        <v>152</v>
      </c>
      <c r="B163" s="105" t="s">
        <v>393</v>
      </c>
      <c r="C163" s="105"/>
      <c r="D163" s="105"/>
      <c r="E163" s="105"/>
      <c r="F163" s="105"/>
      <c r="G163" s="105"/>
      <c r="H163" s="105"/>
      <c r="I163" s="105"/>
      <c r="J163" s="118">
        <f>+RateofReturn!G112</f>
        <v>0</v>
      </c>
      <c r="L163" s="80"/>
    </row>
    <row r="164" spans="1:10" ht="12.75">
      <c r="A164" s="103">
        <f t="shared" si="3"/>
        <v>153</v>
      </c>
      <c r="B164" s="105"/>
      <c r="C164" s="105"/>
      <c r="D164" s="105"/>
      <c r="E164" s="105"/>
      <c r="F164" s="105"/>
      <c r="G164" s="105"/>
      <c r="H164" s="105"/>
      <c r="I164" s="105"/>
      <c r="J164" s="120"/>
    </row>
    <row r="165" spans="1:10" ht="12.75">
      <c r="A165" s="103">
        <f t="shared" si="3"/>
        <v>154</v>
      </c>
      <c r="B165" s="105" t="s">
        <v>41</v>
      </c>
      <c r="C165" s="105"/>
      <c r="D165" s="105"/>
      <c r="E165" s="105"/>
      <c r="F165" s="105"/>
      <c r="G165" s="105"/>
      <c r="H165" s="105"/>
      <c r="I165" s="105"/>
      <c r="J165" s="118">
        <f>+'Rate Base'!S146</f>
        <v>-86864676.2258906</v>
      </c>
    </row>
    <row r="166" spans="1:10" ht="12.75">
      <c r="A166" s="103">
        <f t="shared" si="3"/>
        <v>155</v>
      </c>
      <c r="B166" s="105"/>
      <c r="C166" s="105"/>
      <c r="D166" s="105"/>
      <c r="E166" s="105"/>
      <c r="F166" s="105"/>
      <c r="G166" s="105"/>
      <c r="H166" s="105"/>
      <c r="I166" s="105"/>
      <c r="J166" s="109"/>
    </row>
    <row r="167" spans="1:10" ht="12.75">
      <c r="A167" s="103">
        <f t="shared" si="3"/>
        <v>156</v>
      </c>
      <c r="B167" s="105" t="s">
        <v>419</v>
      </c>
      <c r="C167" s="105"/>
      <c r="D167" s="105"/>
      <c r="E167" s="105"/>
      <c r="F167" s="105"/>
      <c r="G167" s="105"/>
      <c r="H167" s="105"/>
      <c r="I167" s="105"/>
      <c r="J167" s="109"/>
    </row>
    <row r="168" spans="1:10" ht="12.75">
      <c r="A168" s="103">
        <f t="shared" si="3"/>
        <v>157</v>
      </c>
      <c r="B168" s="105">
        <f>+OPCNOI!A15</f>
        <v>0</v>
      </c>
      <c r="C168" s="105"/>
      <c r="D168" s="105"/>
      <c r="E168" s="105"/>
      <c r="F168" s="105"/>
      <c r="G168" s="105"/>
      <c r="H168" s="105"/>
      <c r="I168" s="105"/>
      <c r="J168" s="109">
        <f>+OPCNOI!O15</f>
        <v>0</v>
      </c>
    </row>
    <row r="169" spans="1:10" ht="12.75">
      <c r="A169" s="103">
        <f t="shared" si="3"/>
        <v>158</v>
      </c>
      <c r="B169" s="105"/>
      <c r="C169" s="105"/>
      <c r="D169" s="105"/>
      <c r="E169" s="105"/>
      <c r="F169" s="105"/>
      <c r="G169" s="105"/>
      <c r="H169" s="105"/>
      <c r="I169" s="105"/>
      <c r="J169" s="109"/>
    </row>
    <row r="170" spans="1:10" ht="12.75">
      <c r="A170" s="103">
        <f t="shared" si="3"/>
        <v>159</v>
      </c>
      <c r="B170" s="105" t="s">
        <v>420</v>
      </c>
      <c r="C170" s="105"/>
      <c r="D170" s="105"/>
      <c r="E170" s="105"/>
      <c r="F170" s="105"/>
      <c r="G170" s="105"/>
      <c r="H170" s="105"/>
      <c r="I170" s="105"/>
      <c r="J170" s="109"/>
    </row>
    <row r="171" spans="1:10" ht="12.75">
      <c r="A171" s="103">
        <f t="shared" si="3"/>
        <v>160</v>
      </c>
      <c r="B171" s="105">
        <f>+OPCNOI!A25</f>
        <v>0</v>
      </c>
      <c r="C171" s="105"/>
      <c r="D171" s="105"/>
      <c r="E171" s="105"/>
      <c r="F171" s="105"/>
      <c r="G171" s="105"/>
      <c r="H171" s="105"/>
      <c r="I171" s="105"/>
      <c r="J171" s="109">
        <f>+OPCNOI!O25</f>
        <v>0</v>
      </c>
    </row>
    <row r="172" spans="1:10" ht="12.75">
      <c r="A172" s="103">
        <f t="shared" si="3"/>
        <v>161</v>
      </c>
      <c r="B172" s="105"/>
      <c r="C172" s="105"/>
      <c r="D172" s="105"/>
      <c r="E172" s="105"/>
      <c r="F172" s="105"/>
      <c r="G172" s="105"/>
      <c r="H172" s="105"/>
      <c r="I172" s="105"/>
      <c r="J172" s="109"/>
    </row>
    <row r="173" spans="1:10" ht="12.75">
      <c r="A173" s="103">
        <f t="shared" si="3"/>
        <v>162</v>
      </c>
      <c r="B173" s="105" t="s">
        <v>421</v>
      </c>
      <c r="C173" s="105"/>
      <c r="D173" s="105"/>
      <c r="E173" s="105"/>
      <c r="F173" s="105"/>
      <c r="G173" s="105"/>
      <c r="H173" s="105"/>
      <c r="I173" s="105"/>
      <c r="J173" s="109"/>
    </row>
    <row r="174" spans="1:10" ht="12.75">
      <c r="A174" s="103">
        <f t="shared" si="3"/>
        <v>163</v>
      </c>
      <c r="B174" s="105">
        <f>+OPCNOI!A47</f>
        <v>0</v>
      </c>
      <c r="C174" s="105"/>
      <c r="D174" s="105"/>
      <c r="E174" s="105"/>
      <c r="F174" s="105"/>
      <c r="G174" s="105"/>
      <c r="H174" s="105"/>
      <c r="I174" s="105"/>
      <c r="J174" s="109">
        <f>+OPCNOI!O47</f>
        <v>0</v>
      </c>
    </row>
    <row r="175" spans="1:10" ht="12.75">
      <c r="A175" s="103">
        <f t="shared" si="3"/>
        <v>164</v>
      </c>
      <c r="B175" s="105"/>
      <c r="C175" s="105"/>
      <c r="D175" s="105"/>
      <c r="E175" s="105"/>
      <c r="F175" s="105"/>
      <c r="G175" s="105"/>
      <c r="H175" s="105"/>
      <c r="I175" s="105"/>
      <c r="J175" s="118" t="s">
        <v>365</v>
      </c>
    </row>
    <row r="176" spans="1:10" ht="12.75">
      <c r="A176" s="103">
        <f t="shared" si="3"/>
        <v>165</v>
      </c>
      <c r="B176" s="105" t="s">
        <v>422</v>
      </c>
      <c r="C176" s="105"/>
      <c r="D176" s="105"/>
      <c r="E176" s="105"/>
      <c r="F176" s="105"/>
      <c r="G176" s="105"/>
      <c r="H176" s="105"/>
      <c r="I176" s="105"/>
      <c r="J176" s="120">
        <f>SUM(J158:J175)</f>
        <v>-80211621.22476073</v>
      </c>
    </row>
    <row r="177" spans="1:10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18" t="s">
        <v>426</v>
      </c>
    </row>
    <row r="178" ht="12.75">
      <c r="J178" s="77"/>
    </row>
    <row r="179" ht="12.75">
      <c r="J179" s="77"/>
    </row>
    <row r="180" ht="12.75">
      <c r="J180" s="77"/>
    </row>
    <row r="181" ht="12.75">
      <c r="J181" s="77"/>
    </row>
    <row r="182" ht="12.75">
      <c r="J182" s="77"/>
    </row>
    <row r="183" ht="12.75">
      <c r="J183" s="77"/>
    </row>
    <row r="184" ht="12.75">
      <c r="J184" s="77"/>
    </row>
    <row r="185" ht="12.75">
      <c r="J185" s="77"/>
    </row>
    <row r="186" ht="12.75">
      <c r="J186" s="77"/>
    </row>
    <row r="187" ht="12.75">
      <c r="J187" s="77"/>
    </row>
    <row r="188" ht="12.75">
      <c r="J188" s="77"/>
    </row>
    <row r="189" ht="12.75">
      <c r="J189" s="77"/>
    </row>
    <row r="190" ht="12.75">
      <c r="J190" s="77"/>
    </row>
    <row r="191" ht="12.75">
      <c r="J191" s="77"/>
    </row>
    <row r="192" ht="12.75">
      <c r="J192" s="77"/>
    </row>
    <row r="193" ht="12.75">
      <c r="J193" s="77"/>
    </row>
    <row r="194" ht="12.75">
      <c r="J194" s="77"/>
    </row>
    <row r="195" ht="12.75">
      <c r="J195" s="77"/>
    </row>
    <row r="196" ht="12.75">
      <c r="J196" s="77"/>
    </row>
    <row r="197" ht="12.75">
      <c r="J197" s="77"/>
    </row>
    <row r="198" ht="12.75">
      <c r="J198" s="77"/>
    </row>
    <row r="199" ht="12.75">
      <c r="J199" s="77"/>
    </row>
  </sheetData>
  <printOptions horizontalCentered="1"/>
  <pageMargins left="0.48" right="0.25" top="0.5" bottom="0.5" header="0.5" footer="0.5"/>
  <pageSetup fitToHeight="0" fitToWidth="1" horizontalDpi="300" verticalDpi="300" orientation="portrait" paperSize="5" scale="87" r:id="rId1"/>
  <headerFooter alignWithMargins="0">
    <oddFooter>&amp;CPage &amp;P of &amp;N</oddFooter>
  </headerFooter>
  <rowBreaks count="1" manualBreakCount="1"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sundes</cp:lastModifiedBy>
  <cp:lastPrinted>2004-02-26T14:26:34Z</cp:lastPrinted>
  <dcterms:created xsi:type="dcterms:W3CDTF">1999-02-09T00:24:01Z</dcterms:created>
  <dcterms:modified xsi:type="dcterms:W3CDTF">2004-02-26T14:28:49Z</dcterms:modified>
  <cp:category/>
  <cp:version/>
  <cp:contentType/>
  <cp:contentStatus/>
</cp:coreProperties>
</file>