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R:\John Cogan\MO WNAR\MO WNAR Apr-2022 Filing\Filing Rev 03102022\"/>
    </mc:Choice>
  </mc:AlternateContent>
  <xr:revisionPtr revIDLastSave="0" documentId="13_ncr:1_{3917A557-130B-4AE9-B6D2-03608F75E901}" xr6:coauthVersionLast="46" xr6:coauthVersionMax="46" xr10:uidLastSave="{00000000-0000-0000-0000-000000000000}"/>
  <bookViews>
    <workbookView xWindow="20370" yWindow="-120" windowWidth="20730" windowHeight="11160" xr2:uid="{00000000-000D-0000-FFFF-FFFF00000000}"/>
  </bookViews>
  <sheets>
    <sheet name="Analysis" sheetId="2" r:id="rId1"/>
  </sheets>
  <externalReferences>
    <externalReference r:id="rId2"/>
    <externalReference r:id="rId3"/>
  </externalReferences>
  <definedNames>
    <definedName name="_xlnm.Print_Area" localSheetId="0">Analysis!$A$1:$AU$40</definedName>
  </definedNames>
  <calcPr calcId="191029" iterate="1" iterate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22" i="2" l="1"/>
  <c r="AI22" i="2"/>
  <c r="AH22" i="2"/>
  <c r="AJ21" i="2"/>
  <c r="AI21" i="2"/>
  <c r="AH21" i="2"/>
  <c r="AJ20" i="2"/>
  <c r="AI20" i="2"/>
  <c r="AH20" i="2"/>
  <c r="AJ19" i="2"/>
  <c r="AI19" i="2"/>
  <c r="AH19" i="2"/>
  <c r="AJ18" i="2"/>
  <c r="AI18" i="2"/>
  <c r="AH18" i="2"/>
  <c r="AJ17" i="2"/>
  <c r="AI17" i="2"/>
  <c r="AH17" i="2"/>
  <c r="AJ16" i="2"/>
  <c r="AI16" i="2"/>
  <c r="AH16" i="2"/>
  <c r="AJ15" i="2"/>
  <c r="AI15" i="2"/>
  <c r="AH15" i="2"/>
  <c r="AJ14" i="2"/>
  <c r="AI14" i="2"/>
  <c r="AH14" i="2"/>
  <c r="AJ13" i="2"/>
  <c r="AI13" i="2"/>
  <c r="AH13" i="2"/>
  <c r="AJ12" i="2"/>
  <c r="AI12" i="2"/>
  <c r="AH12" i="2"/>
  <c r="AJ11" i="2"/>
  <c r="AI11" i="2"/>
  <c r="AH11" i="2"/>
  <c r="T22" i="2"/>
  <c r="S22" i="2"/>
  <c r="R22" i="2"/>
  <c r="T21" i="2"/>
  <c r="S21" i="2"/>
  <c r="R21" i="2"/>
  <c r="T20" i="2"/>
  <c r="S20" i="2"/>
  <c r="R20" i="2"/>
  <c r="T19" i="2"/>
  <c r="S19" i="2"/>
  <c r="R19" i="2"/>
  <c r="T18" i="2"/>
  <c r="S18" i="2"/>
  <c r="R18" i="2"/>
  <c r="T17" i="2"/>
  <c r="S17" i="2"/>
  <c r="R17" i="2"/>
  <c r="T16" i="2"/>
  <c r="S16" i="2"/>
  <c r="R16" i="2"/>
  <c r="T15" i="2"/>
  <c r="S15" i="2"/>
  <c r="R15" i="2"/>
  <c r="T14" i="2"/>
  <c r="S14" i="2"/>
  <c r="R14" i="2"/>
  <c r="T13" i="2"/>
  <c r="S13" i="2"/>
  <c r="R13" i="2"/>
  <c r="T12" i="2"/>
  <c r="S12" i="2"/>
  <c r="R12" i="2"/>
  <c r="T11" i="2"/>
  <c r="S11" i="2"/>
  <c r="R11" i="2"/>
  <c r="D22" i="2"/>
  <c r="C22" i="2"/>
  <c r="B22" i="2"/>
  <c r="D21" i="2"/>
  <c r="C21" i="2"/>
  <c r="B21" i="2"/>
  <c r="D20" i="2"/>
  <c r="C20" i="2"/>
  <c r="B20" i="2"/>
  <c r="D19" i="2"/>
  <c r="C19" i="2"/>
  <c r="B19" i="2"/>
  <c r="D18" i="2"/>
  <c r="C18" i="2"/>
  <c r="B18" i="2"/>
  <c r="D17" i="2"/>
  <c r="C17" i="2"/>
  <c r="B17" i="2"/>
  <c r="D16" i="2"/>
  <c r="C16" i="2"/>
  <c r="B16" i="2"/>
  <c r="D15" i="2"/>
  <c r="C15" i="2"/>
  <c r="B15" i="2"/>
  <c r="D14" i="2"/>
  <c r="C14" i="2"/>
  <c r="B14" i="2"/>
  <c r="D13" i="2"/>
  <c r="C13" i="2"/>
  <c r="B13" i="2"/>
  <c r="D12" i="2"/>
  <c r="C12" i="2"/>
  <c r="B12" i="2"/>
  <c r="D11" i="2"/>
  <c r="C11" i="2"/>
  <c r="B11" i="2"/>
  <c r="J9" i="2"/>
  <c r="J14" i="2" s="1"/>
  <c r="I14" i="2" l="1"/>
  <c r="AJ23" i="2"/>
  <c r="AH23" i="2"/>
  <c r="AP9" i="2" l="1"/>
  <c r="K10" i="2"/>
  <c r="G8" i="2"/>
  <c r="J8" i="2"/>
  <c r="Z9" i="2"/>
  <c r="J11" i="2" l="1"/>
  <c r="I11" i="2"/>
  <c r="G14" i="2"/>
  <c r="F14" i="2"/>
  <c r="F15" i="2" s="1"/>
  <c r="F16" i="2" s="1"/>
  <c r="F17" i="2" s="1"/>
  <c r="F18" i="2" s="1"/>
  <c r="F19" i="2" s="1"/>
  <c r="Z14" i="2"/>
  <c r="Y14" i="2"/>
  <c r="AP14" i="2"/>
  <c r="AO14" i="2"/>
  <c r="J20" i="2"/>
  <c r="J21" i="2" s="1"/>
  <c r="J22" i="2" s="1"/>
  <c r="G15" i="2"/>
  <c r="G16" i="2" s="1"/>
  <c r="G17" i="2" s="1"/>
  <c r="G18" i="2" s="1"/>
  <c r="G19" i="2" s="1"/>
  <c r="AA10" i="2"/>
  <c r="AQ10" i="2"/>
  <c r="AP8" i="2"/>
  <c r="Z8" i="2"/>
  <c r="AM8" i="2"/>
  <c r="W8" i="2"/>
  <c r="G9" i="2"/>
  <c r="E22" i="2"/>
  <c r="E21" i="2"/>
  <c r="E20" i="2"/>
  <c r="E19" i="2"/>
  <c r="E18" i="2"/>
  <c r="E17" i="2"/>
  <c r="E16" i="2"/>
  <c r="E15" i="2"/>
  <c r="E14" i="2"/>
  <c r="E13" i="2"/>
  <c r="E12" i="2"/>
  <c r="E11" i="2"/>
  <c r="U22" i="2"/>
  <c r="U21" i="2"/>
  <c r="U20" i="2"/>
  <c r="U19" i="2"/>
  <c r="U18" i="2"/>
  <c r="U17" i="2"/>
  <c r="U16" i="2"/>
  <c r="U15" i="2"/>
  <c r="U14" i="2"/>
  <c r="U13" i="2"/>
  <c r="U12" i="2"/>
  <c r="U11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Z11" i="2" l="1"/>
  <c r="Y11" i="2"/>
  <c r="G11" i="2"/>
  <c r="F11" i="2"/>
  <c r="AP11" i="2"/>
  <c r="AO11" i="2"/>
  <c r="AM14" i="2"/>
  <c r="AM15" i="2" s="1"/>
  <c r="AM16" i="2" s="1"/>
  <c r="AM17" i="2" s="1"/>
  <c r="AM18" i="2" s="1"/>
  <c r="AM19" i="2" s="1"/>
  <c r="AL14" i="2"/>
  <c r="AL15" i="2" s="1"/>
  <c r="AL16" i="2" s="1"/>
  <c r="AL17" i="2" s="1"/>
  <c r="AL18" i="2" s="1"/>
  <c r="AL19" i="2" s="1"/>
  <c r="W14" i="2"/>
  <c r="V14" i="2"/>
  <c r="V15" i="2"/>
  <c r="V16" i="2" s="1"/>
  <c r="V17" i="2" s="1"/>
  <c r="V18" i="2" s="1"/>
  <c r="V19" i="2" s="1"/>
  <c r="W15" i="2"/>
  <c r="W16" i="2" s="1"/>
  <c r="W17" i="2" s="1"/>
  <c r="W18" i="2" s="1"/>
  <c r="W19" i="2" s="1"/>
  <c r="I20" i="2"/>
  <c r="I21" i="2" s="1"/>
  <c r="I22" i="2" s="1"/>
  <c r="I12" i="2"/>
  <c r="I13" i="2" s="1"/>
  <c r="J12" i="2"/>
  <c r="J13" i="2" s="1"/>
  <c r="W9" i="2"/>
  <c r="AM9" i="2"/>
  <c r="E23" i="2"/>
  <c r="E24" i="2" s="1"/>
  <c r="AK23" i="2"/>
  <c r="AK24" i="2" s="1"/>
  <c r="U23" i="2"/>
  <c r="U24" i="2" s="1"/>
  <c r="AM11" i="2" l="1"/>
  <c r="AL11" i="2"/>
  <c r="W11" i="2"/>
  <c r="V11" i="2"/>
  <c r="AO20" i="2"/>
  <c r="AO21" i="2" s="1"/>
  <c r="AO22" i="2" s="1"/>
  <c r="AO12" i="2"/>
  <c r="AO13" i="2" s="1"/>
  <c r="H11" i="2"/>
  <c r="F20" i="2"/>
  <c r="F21" i="2" s="1"/>
  <c r="F22" i="2" s="1"/>
  <c r="F12" i="2"/>
  <c r="F13" i="2" s="1"/>
  <c r="Y20" i="2"/>
  <c r="Y21" i="2" s="1"/>
  <c r="Y22" i="2" s="1"/>
  <c r="Y12" i="2"/>
  <c r="Y13" i="2" s="1"/>
  <c r="AP20" i="2"/>
  <c r="AP21" i="2" s="1"/>
  <c r="AP22" i="2" s="1"/>
  <c r="AP12" i="2"/>
  <c r="AP13" i="2" s="1"/>
  <c r="G20" i="2"/>
  <c r="G21" i="2" s="1"/>
  <c r="G22" i="2" s="1"/>
  <c r="G12" i="2"/>
  <c r="G13" i="2" s="1"/>
  <c r="Z20" i="2"/>
  <c r="Z21" i="2" s="1"/>
  <c r="Z22" i="2" s="1"/>
  <c r="Z12" i="2"/>
  <c r="Z13" i="2" s="1"/>
  <c r="AM12" i="2" l="1"/>
  <c r="AM13" i="2" s="1"/>
  <c r="AM20" i="2"/>
  <c r="AM21" i="2" s="1"/>
  <c r="AM22" i="2" s="1"/>
  <c r="AL20" i="2"/>
  <c r="AL21" i="2" s="1"/>
  <c r="AL22" i="2" s="1"/>
  <c r="AL12" i="2"/>
  <c r="AL13" i="2" s="1"/>
  <c r="W20" i="2"/>
  <c r="W21" i="2" s="1"/>
  <c r="W22" i="2" s="1"/>
  <c r="W12" i="2"/>
  <c r="W13" i="2" s="1"/>
  <c r="AN11" i="2"/>
  <c r="AN12" i="2" s="1"/>
  <c r="AN13" i="2" s="1"/>
  <c r="AN14" i="2" s="1"/>
  <c r="AN15" i="2" s="1"/>
  <c r="AN16" i="2" s="1"/>
  <c r="AN17" i="2" s="1"/>
  <c r="AN18" i="2" s="1"/>
  <c r="AN19" i="2" s="1"/>
  <c r="AN20" i="2" s="1"/>
  <c r="AN21" i="2" s="1"/>
  <c r="AN22" i="2" s="1"/>
  <c r="H12" i="2"/>
  <c r="L11" i="2"/>
  <c r="V20" i="2"/>
  <c r="V21" i="2" s="1"/>
  <c r="V22" i="2" s="1"/>
  <c r="V12" i="2"/>
  <c r="V13" i="2" s="1"/>
  <c r="X11" i="2"/>
  <c r="X12" i="2" l="1"/>
  <c r="AB11" i="2"/>
  <c r="H13" i="2"/>
  <c r="L12" i="2"/>
  <c r="H14" i="2" l="1"/>
  <c r="L13" i="2"/>
  <c r="X13" i="2"/>
  <c r="AB12" i="2"/>
  <c r="X14" i="2" l="1"/>
  <c r="AB13" i="2"/>
  <c r="H15" i="2"/>
  <c r="L14" i="2"/>
  <c r="H16" i="2" l="1"/>
  <c r="L15" i="2"/>
  <c r="X15" i="2"/>
  <c r="AB14" i="2"/>
  <c r="X16" i="2" l="1"/>
  <c r="AB15" i="2"/>
  <c r="H17" i="2"/>
  <c r="L16" i="2"/>
  <c r="H18" i="2" l="1"/>
  <c r="L17" i="2"/>
  <c r="X17" i="2"/>
  <c r="AB16" i="2"/>
  <c r="X18" i="2" l="1"/>
  <c r="AB17" i="2"/>
  <c r="H19" i="2"/>
  <c r="L18" i="2"/>
  <c r="H20" i="2" l="1"/>
  <c r="L19" i="2"/>
  <c r="X19" i="2"/>
  <c r="AB18" i="2"/>
  <c r="X20" i="2" l="1"/>
  <c r="AB19" i="2"/>
  <c r="H21" i="2"/>
  <c r="L20" i="2"/>
  <c r="H22" i="2" l="1"/>
  <c r="L22" i="2" s="1"/>
  <c r="L21" i="2"/>
  <c r="X21" i="2"/>
  <c r="AB20" i="2"/>
  <c r="AR14" i="2"/>
  <c r="AR11" i="2"/>
  <c r="R23" i="2"/>
  <c r="X22" i="2" l="1"/>
  <c r="AB22" i="2" s="1"/>
  <c r="AB21" i="2"/>
  <c r="L23" i="2"/>
  <c r="AR15" i="2"/>
  <c r="AR20" i="2"/>
  <c r="AR12" i="2"/>
  <c r="T23" i="2"/>
  <c r="AB23" i="2" l="1"/>
  <c r="AB24" i="2" s="1"/>
  <c r="L24" i="2"/>
  <c r="AR21" i="2"/>
  <c r="AR13" i="2"/>
  <c r="AR17" i="2" l="1"/>
  <c r="AR16" i="2"/>
  <c r="AR22" i="2"/>
  <c r="AR18" i="2"/>
  <c r="B23" i="2"/>
  <c r="AR19" i="2" l="1"/>
  <c r="D23" i="2"/>
  <c r="AR23" i="2" l="1"/>
  <c r="AR24" i="2" l="1"/>
  <c r="Z15" i="2"/>
  <c r="Z16" i="2" s="1"/>
  <c r="Z17" i="2" s="1"/>
  <c r="Z18" i="2" s="1"/>
  <c r="Z19" i="2" s="1"/>
  <c r="J15" i="2"/>
  <c r="J16" i="2" s="1"/>
  <c r="J17" i="2" s="1"/>
  <c r="J18" i="2" s="1"/>
  <c r="J19" i="2" s="1"/>
  <c r="AP15" i="2"/>
  <c r="AP16" i="2" s="1"/>
  <c r="AP17" i="2" s="1"/>
  <c r="AP18" i="2" s="1"/>
  <c r="AP19" i="2" s="1"/>
  <c r="I15" i="2"/>
  <c r="I16" i="2" s="1"/>
  <c r="I17" i="2" s="1"/>
  <c r="I18" i="2" s="1"/>
  <c r="I19" i="2" s="1"/>
  <c r="Y15" i="2"/>
  <c r="Y16" i="2" s="1"/>
  <c r="Y17" i="2" s="1"/>
  <c r="Y18" i="2" s="1"/>
  <c r="Y19" i="2" s="1"/>
  <c r="AA11" i="2" l="1"/>
  <c r="K11" i="2"/>
  <c r="AO15" i="2"/>
  <c r="AO16" i="2" s="1"/>
  <c r="AO17" i="2" s="1"/>
  <c r="AO18" i="2" s="1"/>
  <c r="AO19" i="2" s="1"/>
  <c r="AQ11" i="2"/>
  <c r="AC11" i="2"/>
  <c r="AA12" i="2"/>
  <c r="M11" i="2"/>
  <c r="K12" i="2"/>
  <c r="N11" i="2" l="1"/>
  <c r="O11" i="2"/>
  <c r="AE11" i="2"/>
  <c r="AD11" i="2"/>
  <c r="M12" i="2"/>
  <c r="K13" i="2"/>
  <c r="AC12" i="2"/>
  <c r="AA13" i="2"/>
  <c r="AQ12" i="2"/>
  <c r="AS11" i="2"/>
  <c r="AT11" i="2" l="1"/>
  <c r="AU11" i="2"/>
  <c r="AC13" i="2"/>
  <c r="AA14" i="2"/>
  <c r="M13" i="2"/>
  <c r="K14" i="2"/>
  <c r="AS12" i="2"/>
  <c r="AQ13" i="2"/>
  <c r="AD12" i="2"/>
  <c r="AE12" i="2"/>
  <c r="N12" i="2"/>
  <c r="O12" i="2"/>
  <c r="AU12" i="2" l="1"/>
  <c r="AT12" i="2"/>
  <c r="M14" i="2"/>
  <c r="K15" i="2"/>
  <c r="AC14" i="2"/>
  <c r="AA15" i="2"/>
  <c r="AS13" i="2"/>
  <c r="AQ14" i="2"/>
  <c r="O13" i="2"/>
  <c r="N13" i="2"/>
  <c r="AD13" i="2"/>
  <c r="AE13" i="2"/>
  <c r="AQ15" i="2" l="1"/>
  <c r="AS14" i="2"/>
  <c r="AA16" i="2"/>
  <c r="AC15" i="2"/>
  <c r="M15" i="2"/>
  <c r="K16" i="2"/>
  <c r="AT13" i="2"/>
  <c r="AU13" i="2"/>
  <c r="AD14" i="2"/>
  <c r="AE14" i="2"/>
  <c r="N14" i="2"/>
  <c r="O14" i="2"/>
  <c r="N15" i="2" l="1"/>
  <c r="O15" i="2"/>
  <c r="AC16" i="2"/>
  <c r="AA17" i="2"/>
  <c r="AS15" i="2"/>
  <c r="AQ16" i="2"/>
  <c r="K17" i="2"/>
  <c r="M16" i="2"/>
  <c r="AD15" i="2"/>
  <c r="AE15" i="2"/>
  <c r="AT14" i="2"/>
  <c r="AU14" i="2"/>
  <c r="N16" i="2" l="1"/>
  <c r="O16" i="2"/>
  <c r="AS16" i="2"/>
  <c r="AQ17" i="2"/>
  <c r="AA18" i="2"/>
  <c r="AC17" i="2"/>
  <c r="K18" i="2"/>
  <c r="M17" i="2"/>
  <c r="AT15" i="2"/>
  <c r="AU15" i="2"/>
  <c r="AE16" i="2"/>
  <c r="AD16" i="2"/>
  <c r="M18" i="2" l="1"/>
  <c r="K19" i="2"/>
  <c r="AC18" i="2"/>
  <c r="AA19" i="2"/>
  <c r="AU16" i="2"/>
  <c r="AT16" i="2"/>
  <c r="N17" i="2"/>
  <c r="O17" i="2"/>
  <c r="AE17" i="2"/>
  <c r="AD17" i="2"/>
  <c r="AS17" i="2"/>
  <c r="AQ18" i="2"/>
  <c r="AQ19" i="2" l="1"/>
  <c r="AS18" i="2"/>
  <c r="AA20" i="2"/>
  <c r="AC19" i="2"/>
  <c r="K20" i="2"/>
  <c r="M19" i="2"/>
  <c r="AU17" i="2"/>
  <c r="AT17" i="2"/>
  <c r="AD18" i="2"/>
  <c r="AE18" i="2"/>
  <c r="N18" i="2"/>
  <c r="O18" i="2"/>
  <c r="K21" i="2" l="1"/>
  <c r="M20" i="2"/>
  <c r="AA21" i="2"/>
  <c r="AC20" i="2"/>
  <c r="AS19" i="2"/>
  <c r="AQ20" i="2"/>
  <c r="O19" i="2"/>
  <c r="N19" i="2"/>
  <c r="AD19" i="2"/>
  <c r="AE19" i="2"/>
  <c r="AT18" i="2"/>
  <c r="AU18" i="2"/>
  <c r="AS20" i="2" l="1"/>
  <c r="AQ21" i="2"/>
  <c r="AD20" i="2"/>
  <c r="AE20" i="2"/>
  <c r="N20" i="2"/>
  <c r="O20" i="2"/>
  <c r="AU19" i="2"/>
  <c r="AT19" i="2"/>
  <c r="AC21" i="2"/>
  <c r="AA22" i="2"/>
  <c r="AC22" i="2" s="1"/>
  <c r="K22" i="2"/>
  <c r="M22" i="2" s="1"/>
  <c r="M21" i="2"/>
  <c r="M23" i="2" l="1"/>
  <c r="N23" i="2"/>
  <c r="M24" i="2"/>
  <c r="O23" i="2"/>
  <c r="AC23" i="2"/>
  <c r="O22" i="2"/>
  <c r="N22" i="2"/>
  <c r="AD21" i="2"/>
  <c r="AE21" i="2"/>
  <c r="AU20" i="2"/>
  <c r="AT20" i="2"/>
  <c r="N21" i="2"/>
  <c r="O21" i="2"/>
  <c r="AD22" i="2"/>
  <c r="AE22" i="2"/>
  <c r="AS21" i="2"/>
  <c r="AQ22" i="2"/>
  <c r="AS22" i="2" s="1"/>
  <c r="AS23" i="2" l="1"/>
  <c r="AU23" i="2" s="1"/>
  <c r="AT23" i="2"/>
  <c r="AC24" i="2"/>
  <c r="AE23" i="2"/>
  <c r="AD23" i="2"/>
  <c r="N24" i="2"/>
  <c r="O24" i="2"/>
  <c r="AT22" i="2"/>
  <c r="AU22" i="2"/>
  <c r="AT21" i="2"/>
  <c r="AU21" i="2"/>
  <c r="AS24" i="2" l="1"/>
  <c r="AU24" i="2" s="1"/>
  <c r="AD24" i="2"/>
  <c r="AE24" i="2"/>
  <c r="AT24" i="2"/>
</calcChain>
</file>

<file path=xl/sharedStrings.xml><?xml version="1.0" encoding="utf-8"?>
<sst xmlns="http://schemas.openxmlformats.org/spreadsheetml/2006/main" count="150" uniqueCount="49">
  <si>
    <t>Change</t>
  </si>
  <si>
    <t>Month</t>
  </si>
  <si>
    <t>Normalized Usage</t>
  </si>
  <si>
    <t>Jan</t>
  </si>
  <si>
    <t>Feb</t>
  </si>
  <si>
    <t>Mar</t>
  </si>
  <si>
    <t>Apr</t>
  </si>
  <si>
    <t>May</t>
  </si>
  <si>
    <t>Aug</t>
  </si>
  <si>
    <t>Sep</t>
  </si>
  <si>
    <t>Oct</t>
  </si>
  <si>
    <t>Nov</t>
  </si>
  <si>
    <t>Dec</t>
  </si>
  <si>
    <t>Total Count</t>
  </si>
  <si>
    <t>Customer Charge</t>
  </si>
  <si>
    <t>NEMO Residential</t>
  </si>
  <si>
    <t>WEMO Residential</t>
  </si>
  <si>
    <t>PGA</t>
  </si>
  <si>
    <t>&gt;30</t>
  </si>
  <si>
    <t>SEMO Residential</t>
  </si>
  <si>
    <t>Service Commodity</t>
  </si>
  <si>
    <t>Current</t>
  </si>
  <si>
    <t>Usage</t>
  </si>
  <si>
    <t>Winter</t>
  </si>
  <si>
    <t>Nov-Apr</t>
  </si>
  <si>
    <t>May-Oct</t>
  </si>
  <si>
    <t>All</t>
  </si>
  <si>
    <t>Monthe Customer Usage * Seasonal Commodity Rate</t>
  </si>
  <si>
    <t>Month Customer Usage * PGA Rate</t>
  </si>
  <si>
    <t>Month Customer usage * WNAR Apr</t>
  </si>
  <si>
    <t>Effective</t>
  </si>
  <si>
    <t>New</t>
  </si>
  <si>
    <t>SRR</t>
  </si>
  <si>
    <t>CSWNA</t>
  </si>
  <si>
    <t>WNAR</t>
  </si>
  <si>
    <t>Monthly Average</t>
  </si>
  <si>
    <t>Sum of the following:</t>
  </si>
  <si>
    <t>*Customer Monthly Bill Calculation</t>
  </si>
  <si>
    <t>Jun</t>
  </si>
  <si>
    <t>Jul</t>
  </si>
  <si>
    <r>
      <t xml:space="preserve">Customer </t>
    </r>
    <r>
      <rPr>
        <b/>
        <u/>
        <sz val="11"/>
        <color theme="1"/>
        <rFont val="Calibri"/>
        <family val="2"/>
        <scheme val="minor"/>
      </rPr>
      <t>Count</t>
    </r>
  </si>
  <si>
    <r>
      <t xml:space="preserve">Weather Normalized Usage Per </t>
    </r>
    <r>
      <rPr>
        <b/>
        <u/>
        <sz val="11"/>
        <color theme="1"/>
        <rFont val="Calibri"/>
        <family val="2"/>
        <scheme val="minor"/>
      </rPr>
      <t>Customer</t>
    </r>
  </si>
  <si>
    <r>
      <rPr>
        <b/>
        <u/>
        <sz val="11"/>
        <color theme="1"/>
        <rFont val="Calibri"/>
        <family val="2"/>
        <scheme val="minor"/>
      </rPr>
      <t>Current</t>
    </r>
    <r>
      <rPr>
        <b/>
        <sz val="11"/>
        <color theme="1"/>
        <rFont val="Calibri"/>
        <family val="2"/>
        <scheme val="minor"/>
      </rPr>
      <t>*</t>
    </r>
  </si>
  <si>
    <r>
      <rPr>
        <b/>
        <u/>
        <sz val="11"/>
        <color theme="1"/>
        <rFont val="Calibri"/>
        <family val="2"/>
        <scheme val="minor"/>
      </rPr>
      <t>Proposed</t>
    </r>
    <r>
      <rPr>
        <b/>
        <sz val="11"/>
        <color theme="1"/>
        <rFont val="Calibri"/>
        <family val="2"/>
        <scheme val="minor"/>
      </rPr>
      <t>*</t>
    </r>
  </si>
  <si>
    <r>
      <t>Change</t>
    </r>
    <r>
      <rPr>
        <b/>
        <u/>
        <sz val="11"/>
        <color theme="1"/>
        <rFont val="Calibri"/>
        <family val="2"/>
        <scheme val="minor"/>
      </rPr>
      <t xml:space="preserve"> %</t>
    </r>
  </si>
  <si>
    <r>
      <t xml:space="preserve">Change </t>
    </r>
    <r>
      <rPr>
        <b/>
        <u/>
        <sz val="11"/>
        <color theme="1"/>
        <rFont val="Calibri"/>
        <family val="2"/>
        <scheme val="minor"/>
      </rPr>
      <t>%</t>
    </r>
  </si>
  <si>
    <t>Per Sheet No. 44 Kirksville Area Firm Sales</t>
  </si>
  <si>
    <t>Per Sheet No. 44 West Area Firm Sales</t>
  </si>
  <si>
    <t>Per Sheet No. 44 Southeast Area Firm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</si>
</sst>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0_);_(&quot;$&quot;* \(#,##0.00000\);_(&quot;$&quot;* &quot;-&quot;??_);_(@_)"/>
    <numFmt numFmtId="165" formatCode="0.0000"/>
    <numFmt numFmtId="166" formatCode="_(* #,##0_);_(* \(#,##0\);_(* &quot;-&quot;??_);_(@_)"/>
    <numFmt numFmtId="167" formatCode="#,###,##0.00;\(#,###,##0.00\)"/>
    <numFmt numFmtId="168" formatCode="&quot;$&quot;#,###,##0.00;\(&quot;$&quot;#,###,##0.00\)"/>
    <numFmt numFmtId="169" formatCode="#,##0.00%;\(#,##0.00%\)"/>
    <numFmt numFmtId="170" formatCode="[$-409]mmm\-yy;@"/>
    <numFmt numFmtId="171" formatCode="&quot;$&quot;#,##0.00000_);\(&quot;$&quot;#,##0.00000\)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Times New Roman"/>
      <family val="1"/>
    </font>
    <font>
      <sz val="12"/>
      <name val="Times New Roman"/>
      <family val="1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2"/>
      <name val="Tms Rmn"/>
    </font>
    <font>
      <i/>
      <sz val="11"/>
      <color indexed="23"/>
      <name val="Calibri"/>
      <family val="2"/>
    </font>
    <font>
      <sz val="10"/>
      <color indexed="0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b/>
      <sz val="12"/>
      <name val="Tms Rmn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sz val="12"/>
      <name val="Helv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b/>
      <sz val="10"/>
      <color indexed="0"/>
      <name val="Arial"/>
      <family val="2"/>
    </font>
    <font>
      <b/>
      <sz val="12"/>
      <color indexed="0"/>
      <name val="Times New Roman"/>
      <family val="1"/>
    </font>
    <font>
      <b/>
      <i/>
      <sz val="12"/>
      <color indexed="0"/>
      <name val="Arial"/>
      <family val="2"/>
    </font>
    <font>
      <b/>
      <u/>
      <sz val="16"/>
      <color indexed="0"/>
      <name val="Times New Roman"/>
      <family val="1"/>
    </font>
    <font>
      <sz val="12"/>
      <color indexed="13"/>
      <name val="Tms Rmn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8"/>
      </patternFill>
    </fill>
    <fill>
      <patternFill patternType="solid">
        <fgColor indexed="12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9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33" borderId="0" applyNumberFormat="0" applyBorder="0" applyAlignment="0" applyProtection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14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1" fillId="18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1" fillId="22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1" fillId="26" borderId="0" applyNumberFormat="0" applyBorder="0" applyAlignment="0" applyProtection="0"/>
    <xf numFmtId="0" fontId="21" fillId="37" borderId="0" applyNumberFormat="0" applyBorder="0" applyAlignment="0" applyProtection="0"/>
    <xf numFmtId="0" fontId="21" fillId="35" borderId="0" applyNumberFormat="0" applyBorder="0" applyAlignment="0" applyProtection="0"/>
    <xf numFmtId="0" fontId="1" fillId="30" borderId="0" applyNumberFormat="0" applyBorder="0" applyAlignment="0" applyProtection="0"/>
    <xf numFmtId="0" fontId="21" fillId="35" borderId="0" applyNumberFormat="0" applyBorder="0" applyAlignment="0" applyProtection="0"/>
    <xf numFmtId="0" fontId="21" fillId="37" borderId="0" applyNumberFormat="0" applyBorder="0" applyAlignment="0" applyProtection="0"/>
    <xf numFmtId="0" fontId="1" fillId="11" borderId="0" applyNumberFormat="0" applyBorder="0" applyAlignment="0" applyProtection="0"/>
    <xf numFmtId="0" fontId="21" fillId="37" borderId="0" applyNumberFormat="0" applyBorder="0" applyAlignment="0" applyProtection="0"/>
    <xf numFmtId="0" fontId="21" fillId="34" borderId="0" applyNumberFormat="0" applyBorder="0" applyAlignment="0" applyProtection="0"/>
    <xf numFmtId="0" fontId="1" fillId="15" borderId="0" applyNumberFormat="0" applyBorder="0" applyAlignment="0" applyProtection="0"/>
    <xf numFmtId="0" fontId="21" fillId="34" borderId="0" applyNumberFormat="0" applyBorder="0" applyAlignment="0" applyProtection="0"/>
    <xf numFmtId="0" fontId="21" fillId="38" borderId="0" applyNumberFormat="0" applyBorder="0" applyAlignment="0" applyProtection="0"/>
    <xf numFmtId="0" fontId="1" fillId="19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1" fillId="23" borderId="0" applyNumberFormat="0" applyBorder="0" applyAlignment="0" applyProtection="0"/>
    <xf numFmtId="0" fontId="21" fillId="39" borderId="0" applyNumberFormat="0" applyBorder="0" applyAlignment="0" applyProtection="0"/>
    <xf numFmtId="0" fontId="21" fillId="37" borderId="0" applyNumberFormat="0" applyBorder="0" applyAlignment="0" applyProtection="0"/>
    <xf numFmtId="0" fontId="1" fillId="27" borderId="0" applyNumberFormat="0" applyBorder="0" applyAlignment="0" applyProtection="0"/>
    <xf numFmtId="0" fontId="21" fillId="37" borderId="0" applyNumberFormat="0" applyBorder="0" applyAlignment="0" applyProtection="0"/>
    <xf numFmtId="0" fontId="21" fillId="35" borderId="0" applyNumberFormat="0" applyBorder="0" applyAlignment="0" applyProtection="0"/>
    <xf numFmtId="0" fontId="1" fillId="31" borderId="0" applyNumberFormat="0" applyBorder="0" applyAlignment="0" applyProtection="0"/>
    <xf numFmtId="0" fontId="21" fillId="35" borderId="0" applyNumberFormat="0" applyBorder="0" applyAlignment="0" applyProtection="0"/>
    <xf numFmtId="0" fontId="22" fillId="37" borderId="0" applyNumberFormat="0" applyBorder="0" applyAlignment="0" applyProtection="0"/>
    <xf numFmtId="0" fontId="17" fillId="12" borderId="0" applyNumberFormat="0" applyBorder="0" applyAlignment="0" applyProtection="0"/>
    <xf numFmtId="0" fontId="22" fillId="37" borderId="0" applyNumberFormat="0" applyBorder="0" applyAlignment="0" applyProtection="0"/>
    <xf numFmtId="0" fontId="22" fillId="40" borderId="0" applyNumberFormat="0" applyBorder="0" applyAlignment="0" applyProtection="0"/>
    <xf numFmtId="0" fontId="17" fillId="16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17" fillId="20" borderId="0" applyNumberFormat="0" applyBorder="0" applyAlignment="0" applyProtection="0"/>
    <xf numFmtId="0" fontId="22" fillId="41" borderId="0" applyNumberFormat="0" applyBorder="0" applyAlignment="0" applyProtection="0"/>
    <xf numFmtId="0" fontId="22" fillId="39" borderId="0" applyNumberFormat="0" applyBorder="0" applyAlignment="0" applyProtection="0"/>
    <xf numFmtId="0" fontId="17" fillId="24" borderId="0" applyNumberFormat="0" applyBorder="0" applyAlignment="0" applyProtection="0"/>
    <xf numFmtId="0" fontId="22" fillId="39" borderId="0" applyNumberFormat="0" applyBorder="0" applyAlignment="0" applyProtection="0"/>
    <xf numFmtId="0" fontId="22" fillId="37" borderId="0" applyNumberFormat="0" applyBorder="0" applyAlignment="0" applyProtection="0"/>
    <xf numFmtId="0" fontId="17" fillId="28" borderId="0" applyNumberFormat="0" applyBorder="0" applyAlignment="0" applyProtection="0"/>
    <xf numFmtId="0" fontId="22" fillId="37" borderId="0" applyNumberFormat="0" applyBorder="0" applyAlignment="0" applyProtection="0"/>
    <xf numFmtId="0" fontId="22" fillId="34" borderId="0" applyNumberFormat="0" applyBorder="0" applyAlignment="0" applyProtection="0"/>
    <xf numFmtId="0" fontId="17" fillId="32" borderId="0" applyNumberFormat="0" applyBorder="0" applyAlignment="0" applyProtection="0"/>
    <xf numFmtId="0" fontId="22" fillId="34" borderId="0" applyNumberFormat="0" applyBorder="0" applyAlignment="0" applyProtection="0"/>
    <xf numFmtId="0" fontId="22" fillId="42" borderId="0" applyNumberFormat="0" applyBorder="0" applyAlignment="0" applyProtection="0"/>
    <xf numFmtId="0" fontId="17" fillId="9" borderId="0" applyNumberFormat="0" applyBorder="0" applyAlignment="0" applyProtection="0"/>
    <xf numFmtId="0" fontId="22" fillId="42" borderId="0" applyNumberFormat="0" applyBorder="0" applyAlignment="0" applyProtection="0"/>
    <xf numFmtId="0" fontId="22" fillId="40" borderId="0" applyNumberFormat="0" applyBorder="0" applyAlignment="0" applyProtection="0"/>
    <xf numFmtId="0" fontId="17" fillId="13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17" fillId="17" borderId="0" applyNumberFormat="0" applyBorder="0" applyAlignment="0" applyProtection="0"/>
    <xf numFmtId="0" fontId="22" fillId="41" borderId="0" applyNumberFormat="0" applyBorder="0" applyAlignment="0" applyProtection="0"/>
    <xf numFmtId="0" fontId="22" fillId="43" borderId="0" applyNumberFormat="0" applyBorder="0" applyAlignment="0" applyProtection="0"/>
    <xf numFmtId="0" fontId="17" fillId="21" borderId="0" applyNumberFormat="0" applyBorder="0" applyAlignment="0" applyProtection="0"/>
    <xf numFmtId="0" fontId="22" fillId="43" borderId="0" applyNumberFormat="0" applyBorder="0" applyAlignment="0" applyProtection="0"/>
    <xf numFmtId="0" fontId="22" fillId="44" borderId="0" applyNumberFormat="0" applyBorder="0" applyAlignment="0" applyProtection="0"/>
    <xf numFmtId="0" fontId="17" fillId="25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17" fillId="29" borderId="0" applyNumberFormat="0" applyBorder="0" applyAlignment="0" applyProtection="0"/>
    <xf numFmtId="0" fontId="22" fillId="45" borderId="0" applyNumberFormat="0" applyBorder="0" applyAlignment="0" applyProtection="0"/>
    <xf numFmtId="0" fontId="23" fillId="46" borderId="0" applyNumberFormat="0" applyBorder="0" applyAlignment="0" applyProtection="0"/>
    <xf numFmtId="0" fontId="7" fillId="3" borderId="0" applyNumberFormat="0" applyBorder="0" applyAlignment="0" applyProtection="0"/>
    <xf numFmtId="0" fontId="23" fillId="46" borderId="0" applyNumberFormat="0" applyBorder="0" applyAlignment="0" applyProtection="0"/>
    <xf numFmtId="0" fontId="24" fillId="47" borderId="14" applyNumberFormat="0" applyAlignment="0" applyProtection="0"/>
    <xf numFmtId="0" fontId="11" fillId="6" borderId="5" applyNumberFormat="0" applyAlignment="0" applyProtection="0"/>
    <xf numFmtId="0" fontId="24" fillId="47" borderId="14" applyNumberFormat="0" applyAlignment="0" applyProtection="0"/>
    <xf numFmtId="0" fontId="25" fillId="48" borderId="15" applyNumberFormat="0" applyAlignment="0" applyProtection="0"/>
    <xf numFmtId="0" fontId="13" fillId="7" borderId="8" applyNumberFormat="0" applyAlignment="0" applyProtection="0"/>
    <xf numFmtId="0" fontId="25" fillId="48" borderId="15" applyNumberFormat="0" applyAlignment="0" applyProtection="0"/>
    <xf numFmtId="43" fontId="2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16"/>
    <xf numFmtId="0" fontId="3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67" fontId="32" fillId="0" borderId="0"/>
    <xf numFmtId="167" fontId="32" fillId="0" borderId="0"/>
    <xf numFmtId="168" fontId="32" fillId="0" borderId="0"/>
    <xf numFmtId="168" fontId="32" fillId="0" borderId="0"/>
    <xf numFmtId="169" fontId="32" fillId="0" borderId="0"/>
    <xf numFmtId="0" fontId="33" fillId="37" borderId="0" applyNumberFormat="0" applyBorder="0" applyAlignment="0" applyProtection="0"/>
    <xf numFmtId="0" fontId="6" fillId="2" borderId="0" applyNumberFormat="0" applyBorder="0" applyAlignment="0" applyProtection="0"/>
    <xf numFmtId="0" fontId="33" fillId="37" borderId="0" applyNumberFormat="0" applyBorder="0" applyAlignment="0" applyProtection="0"/>
    <xf numFmtId="0" fontId="34" fillId="0" borderId="17" applyNumberFormat="0" applyFill="0" applyAlignment="0" applyProtection="0"/>
    <xf numFmtId="0" fontId="3" fillId="0" borderId="2" applyNumberFormat="0" applyFill="0" applyAlignment="0" applyProtection="0"/>
    <xf numFmtId="0" fontId="34" fillId="0" borderId="17" applyNumberFormat="0" applyFill="0" applyAlignment="0" applyProtection="0"/>
    <xf numFmtId="0" fontId="35" fillId="0" borderId="18" applyNumberFormat="0" applyFill="0" applyAlignment="0" applyProtection="0"/>
    <xf numFmtId="0" fontId="4" fillId="0" borderId="3" applyNumberFormat="0" applyFill="0" applyAlignment="0" applyProtection="0"/>
    <xf numFmtId="0" fontId="35" fillId="0" borderId="18" applyNumberFormat="0" applyFill="0" applyAlignment="0" applyProtection="0"/>
    <xf numFmtId="0" fontId="36" fillId="0" borderId="19" applyNumberFormat="0" applyFill="0" applyAlignment="0" applyProtection="0"/>
    <xf numFmtId="0" fontId="5" fillId="0" borderId="4" applyNumberFormat="0" applyFill="0" applyAlignment="0" applyProtection="0"/>
    <xf numFmtId="0" fontId="36" fillId="0" borderId="19" applyNumberFormat="0" applyFill="0" applyAlignment="0" applyProtection="0"/>
    <xf numFmtId="0" fontId="3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38" borderId="14" applyNumberFormat="0" applyAlignment="0" applyProtection="0"/>
    <xf numFmtId="0" fontId="9" fillId="5" borderId="5" applyNumberFormat="0" applyAlignment="0" applyProtection="0"/>
    <xf numFmtId="0" fontId="37" fillId="38" borderId="14" applyNumberFormat="0" applyAlignment="0" applyProtection="0"/>
    <xf numFmtId="0" fontId="38" fillId="49" borderId="16"/>
    <xf numFmtId="0" fontId="39" fillId="0" borderId="20" applyNumberFormat="0" applyFill="0" applyAlignment="0" applyProtection="0"/>
    <xf numFmtId="0" fontId="12" fillId="0" borderId="7" applyNumberFormat="0" applyFill="0" applyAlignment="0" applyProtection="0"/>
    <xf numFmtId="0" fontId="39" fillId="0" borderId="20" applyNumberFormat="0" applyFill="0" applyAlignment="0" applyProtection="0"/>
    <xf numFmtId="0" fontId="40" fillId="38" borderId="0" applyNumberFormat="0" applyBorder="0" applyAlignment="0" applyProtection="0"/>
    <xf numFmtId="0" fontId="8" fillId="4" borderId="0" applyNumberFormat="0" applyBorder="0" applyAlignment="0" applyProtection="0"/>
    <xf numFmtId="0" fontId="40" fillId="38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32" fillId="0" borderId="0"/>
    <xf numFmtId="0" fontId="32" fillId="0" borderId="0"/>
    <xf numFmtId="0" fontId="18" fillId="0" borderId="0"/>
    <xf numFmtId="0" fontId="18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29" fillId="0" borderId="0"/>
    <xf numFmtId="0" fontId="32" fillId="0" borderId="0"/>
    <xf numFmtId="0" fontId="20" fillId="0" borderId="0"/>
    <xf numFmtId="0" fontId="2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17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28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41" fillId="35" borderId="21" applyNumberFormat="0" applyFont="0" applyAlignment="0" applyProtection="0"/>
    <xf numFmtId="0" fontId="1" fillId="8" borderId="9" applyNumberFormat="0" applyFont="0" applyAlignment="0" applyProtection="0"/>
    <xf numFmtId="0" fontId="41" fillId="35" borderId="21" applyNumberFormat="0" applyFont="0" applyAlignment="0" applyProtection="0"/>
    <xf numFmtId="0" fontId="42" fillId="47" borderId="22" applyNumberFormat="0" applyAlignment="0" applyProtection="0"/>
    <xf numFmtId="0" fontId="10" fillId="6" borderId="6" applyNumberFormat="0" applyAlignment="0" applyProtection="0"/>
    <xf numFmtId="0" fontId="42" fillId="47" borderId="22" applyNumberFormat="0" applyAlignment="0" applyProtection="0"/>
    <xf numFmtId="40" fontId="28" fillId="50" borderId="0">
      <alignment horizontal="right"/>
    </xf>
    <xf numFmtId="40" fontId="28" fillId="50" borderId="0">
      <alignment horizontal="right"/>
    </xf>
    <xf numFmtId="0" fontId="43" fillId="51" borderId="0">
      <alignment horizontal="center"/>
    </xf>
    <xf numFmtId="0" fontId="44" fillId="52" borderId="23"/>
    <xf numFmtId="0" fontId="45" fillId="0" borderId="0" applyBorder="0">
      <alignment horizontal="centerContinuous"/>
    </xf>
    <xf numFmtId="0" fontId="46" fillId="0" borderId="0" applyBorder="0">
      <alignment horizontal="centerContinuous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0" fillId="0" borderId="0"/>
    <xf numFmtId="0" fontId="30" fillId="0" borderId="0"/>
    <xf numFmtId="0" fontId="32" fillId="0" borderId="0"/>
    <xf numFmtId="0" fontId="47" fillId="0" borderId="0"/>
    <xf numFmtId="0" fontId="32" fillId="0" borderId="0"/>
    <xf numFmtId="0" fontId="48" fillId="0" borderId="0"/>
    <xf numFmtId="0" fontId="49" fillId="0" borderId="0"/>
    <xf numFmtId="0" fontId="50" fillId="53" borderId="0"/>
    <xf numFmtId="0" fontId="30" fillId="0" borderId="16"/>
    <xf numFmtId="0" fontId="30" fillId="0" borderId="16"/>
    <xf numFmtId="0" fontId="51" fillId="54" borderId="0"/>
    <xf numFmtId="0" fontId="51" fillId="54" borderId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24" applyNumberFormat="0" applyFill="0" applyAlignment="0" applyProtection="0"/>
    <xf numFmtId="0" fontId="16" fillId="0" borderId="10" applyNumberFormat="0" applyFill="0" applyAlignment="0" applyProtection="0"/>
    <xf numFmtId="0" fontId="53" fillId="0" borderId="24" applyNumberFormat="0" applyFill="0" applyAlignment="0" applyProtection="0"/>
    <xf numFmtId="0" fontId="38" fillId="0" borderId="25"/>
    <xf numFmtId="0" fontId="38" fillId="0" borderId="25"/>
    <xf numFmtId="0" fontId="38" fillId="0" borderId="16"/>
    <xf numFmtId="0" fontId="38" fillId="0" borderId="16"/>
    <xf numFmtId="0" fontId="3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10" fontId="0" fillId="0" borderId="0" xfId="2" applyNumberFormat="1" applyFont="1"/>
    <xf numFmtId="166" fontId="0" fillId="0" borderId="0" xfId="3" applyNumberFormat="1" applyFont="1"/>
    <xf numFmtId="166" fontId="0" fillId="0" borderId="1" xfId="3" applyNumberFormat="1" applyFont="1" applyBorder="1"/>
    <xf numFmtId="165" fontId="0" fillId="0" borderId="0" xfId="0" applyNumberFormat="1"/>
    <xf numFmtId="0" fontId="0" fillId="0" borderId="0" xfId="0" applyAlignment="1">
      <alignment horizontal="center"/>
    </xf>
    <xf numFmtId="0" fontId="0" fillId="0" borderId="0" xfId="0" applyBorder="1" applyAlignment="1"/>
    <xf numFmtId="0" fontId="0" fillId="0" borderId="0" xfId="0"/>
    <xf numFmtId="171" fontId="54" fillId="56" borderId="0" xfId="3" applyNumberFormat="1" applyFont="1" applyFill="1"/>
    <xf numFmtId="171" fontId="0" fillId="56" borderId="0" xfId="3" applyNumberFormat="1" applyFont="1" applyFill="1"/>
    <xf numFmtId="7" fontId="0" fillId="0" borderId="0" xfId="0" applyNumberFormat="1"/>
    <xf numFmtId="171" fontId="54" fillId="57" borderId="0" xfId="3" applyNumberFormat="1" applyFont="1" applyFill="1"/>
    <xf numFmtId="171" fontId="0" fillId="55" borderId="0" xfId="3" applyNumberFormat="1" applyFont="1" applyFill="1"/>
    <xf numFmtId="0" fontId="0" fillId="0" borderId="0" xfId="0"/>
    <xf numFmtId="0" fontId="16" fillId="0" borderId="0" xfId="0" applyFont="1"/>
    <xf numFmtId="1" fontId="0" fillId="0" borderId="0" xfId="0" applyNumberFormat="1"/>
    <xf numFmtId="0" fontId="16" fillId="0" borderId="0" xfId="0" applyFont="1" applyAlignment="1">
      <alignment horizontal="center" wrapText="1"/>
    </xf>
    <xf numFmtId="14" fontId="0" fillId="0" borderId="0" xfId="0" applyNumberFormat="1"/>
    <xf numFmtId="171" fontId="17" fillId="57" borderId="0" xfId="3" applyNumberFormat="1" applyFont="1" applyFill="1"/>
    <xf numFmtId="0" fontId="0" fillId="0" borderId="0" xfId="0" applyAlignment="1">
      <alignment horizontal="center"/>
    </xf>
    <xf numFmtId="0" fontId="0" fillId="0" borderId="0" xfId="0" applyBorder="1"/>
    <xf numFmtId="0" fontId="0" fillId="0" borderId="26" xfId="0" applyBorder="1"/>
    <xf numFmtId="166" fontId="0" fillId="0" borderId="26" xfId="3" applyNumberFormat="1" applyFont="1" applyFill="1" applyBorder="1"/>
    <xf numFmtId="43" fontId="0" fillId="0" borderId="0" xfId="0" applyNumberFormat="1"/>
    <xf numFmtId="165" fontId="20" fillId="0" borderId="0" xfId="6" applyNumberFormat="1" applyFont="1" applyBorder="1" applyAlignment="1"/>
    <xf numFmtId="1" fontId="0" fillId="0" borderId="26" xfId="0" applyNumberFormat="1" applyBorder="1"/>
    <xf numFmtId="0" fontId="0" fillId="0" borderId="0" xfId="0" applyAlignment="1">
      <alignment horizontal="right"/>
    </xf>
    <xf numFmtId="164" fontId="55" fillId="0" borderId="0" xfId="1" applyNumberFormat="1" applyFont="1"/>
    <xf numFmtId="44" fontId="55" fillId="0" borderId="0" xfId="1" applyFont="1"/>
    <xf numFmtId="0" fontId="55" fillId="0" borderId="0" xfId="0" applyFont="1"/>
    <xf numFmtId="0" fontId="0" fillId="0" borderId="0" xfId="0" applyAlignment="1">
      <alignment horizontal="left" indent="2"/>
    </xf>
    <xf numFmtId="0" fontId="16" fillId="0" borderId="0" xfId="0" applyFont="1" applyBorder="1" applyAlignment="1">
      <alignment horizontal="center" wrapText="1"/>
    </xf>
    <xf numFmtId="7" fontId="0" fillId="0" borderId="26" xfId="0" applyNumberFormat="1" applyBorder="1"/>
    <xf numFmtId="10" fontId="0" fillId="0" borderId="26" xfId="2" applyNumberFormat="1" applyFont="1" applyBorder="1"/>
    <xf numFmtId="0" fontId="13" fillId="57" borderId="0" xfId="0" applyFont="1" applyFill="1"/>
    <xf numFmtId="0" fontId="13" fillId="55" borderId="0" xfId="0" applyFont="1" applyFill="1"/>
    <xf numFmtId="165" fontId="19" fillId="0" borderId="0" xfId="4" applyNumberFormat="1" applyFont="1" applyBorder="1" applyAlignment="1"/>
    <xf numFmtId="166" fontId="0" fillId="0" borderId="27" xfId="3" applyNumberFormat="1" applyFont="1" applyBorder="1"/>
    <xf numFmtId="166" fontId="0" fillId="0" borderId="0" xfId="3" applyNumberFormat="1" applyFont="1" applyBorder="1"/>
    <xf numFmtId="1" fontId="0" fillId="0" borderId="0" xfId="0" applyNumberFormat="1" applyBorder="1"/>
    <xf numFmtId="171" fontId="17" fillId="55" borderId="0" xfId="3" applyNumberFormat="1" applyFont="1" applyFill="1" applyBorder="1"/>
    <xf numFmtId="171" fontId="0" fillId="56" borderId="0" xfId="3" applyNumberFormat="1" applyFont="1" applyFill="1" applyBorder="1"/>
    <xf numFmtId="7" fontId="0" fillId="0" borderId="0" xfId="0" applyNumberFormat="1" applyBorder="1"/>
    <xf numFmtId="10" fontId="0" fillId="0" borderId="0" xfId="2" applyNumberFormat="1" applyFont="1" applyBorder="1"/>
    <xf numFmtId="0" fontId="57" fillId="0" borderId="0" xfId="0" applyFont="1" applyBorder="1" applyAlignment="1">
      <alignment horizontal="center"/>
    </xf>
    <xf numFmtId="0" fontId="57" fillId="0" borderId="0" xfId="0" applyFont="1" applyBorder="1" applyAlignment="1">
      <alignment horizontal="center" wrapText="1"/>
    </xf>
    <xf numFmtId="0" fontId="57" fillId="0" borderId="0" xfId="0" applyFont="1" applyAlignment="1">
      <alignment horizontal="center" wrapText="1"/>
    </xf>
    <xf numFmtId="171" fontId="0" fillId="0" borderId="0" xfId="0" applyNumberFormat="1"/>
    <xf numFmtId="166" fontId="0" fillId="0" borderId="26" xfId="0" applyNumberFormat="1" applyBorder="1"/>
    <xf numFmtId="164" fontId="55" fillId="57" borderId="0" xfId="1" applyNumberFormat="1" applyFont="1" applyFill="1"/>
    <xf numFmtId="0" fontId="0" fillId="0" borderId="0" xfId="0" applyAlignment="1">
      <alignment horizontal="center"/>
    </xf>
    <xf numFmtId="0" fontId="56" fillId="0" borderId="11" xfId="0" applyFont="1" applyBorder="1" applyAlignment="1">
      <alignment horizontal="center"/>
    </xf>
    <xf numFmtId="0" fontId="56" fillId="0" borderId="12" xfId="0" applyFont="1" applyBorder="1" applyAlignment="1">
      <alignment horizontal="center"/>
    </xf>
    <xf numFmtId="0" fontId="56" fillId="0" borderId="13" xfId="0" applyFont="1" applyBorder="1" applyAlignment="1">
      <alignment horizontal="center"/>
    </xf>
  </cellXfs>
  <cellStyles count="296">
    <cellStyle name="20% - Accent1 2" xfId="8" xr:uid="{00000000-0005-0000-0000-000000000000}"/>
    <cellStyle name="20% - Accent1 3" xfId="9" xr:uid="{00000000-0005-0000-0000-000001000000}"/>
    <cellStyle name="20% - Accent1 4" xfId="10" xr:uid="{00000000-0005-0000-0000-000002000000}"/>
    <cellStyle name="20% - Accent2 2" xfId="11" xr:uid="{00000000-0005-0000-0000-000003000000}"/>
    <cellStyle name="20% - Accent2 3" xfId="12" xr:uid="{00000000-0005-0000-0000-000004000000}"/>
    <cellStyle name="20% - Accent2 4" xfId="13" xr:uid="{00000000-0005-0000-0000-000005000000}"/>
    <cellStyle name="20% - Accent3 2" xfId="14" xr:uid="{00000000-0005-0000-0000-000006000000}"/>
    <cellStyle name="20% - Accent3 3" xfId="15" xr:uid="{00000000-0005-0000-0000-000007000000}"/>
    <cellStyle name="20% - Accent3 4" xfId="16" xr:uid="{00000000-0005-0000-0000-000008000000}"/>
    <cellStyle name="20% - Accent4 2" xfId="17" xr:uid="{00000000-0005-0000-0000-000009000000}"/>
    <cellStyle name="20% - Accent4 3" xfId="18" xr:uid="{00000000-0005-0000-0000-00000A000000}"/>
    <cellStyle name="20% - Accent4 4" xfId="19" xr:uid="{00000000-0005-0000-0000-00000B000000}"/>
    <cellStyle name="20% - Accent5 2" xfId="20" xr:uid="{00000000-0005-0000-0000-00000C000000}"/>
    <cellStyle name="20% - Accent5 3" xfId="21" xr:uid="{00000000-0005-0000-0000-00000D000000}"/>
    <cellStyle name="20% - Accent5 4" xfId="22" xr:uid="{00000000-0005-0000-0000-00000E000000}"/>
    <cellStyle name="20% - Accent6 2" xfId="23" xr:uid="{00000000-0005-0000-0000-00000F000000}"/>
    <cellStyle name="20% - Accent6 3" xfId="24" xr:uid="{00000000-0005-0000-0000-000010000000}"/>
    <cellStyle name="20% - Accent6 4" xfId="25" xr:uid="{00000000-0005-0000-0000-000011000000}"/>
    <cellStyle name="40% - Accent1 2" xfId="26" xr:uid="{00000000-0005-0000-0000-000012000000}"/>
    <cellStyle name="40% - Accent1 3" xfId="27" xr:uid="{00000000-0005-0000-0000-000013000000}"/>
    <cellStyle name="40% - Accent1 4" xfId="28" xr:uid="{00000000-0005-0000-0000-000014000000}"/>
    <cellStyle name="40% - Accent2 2" xfId="29" xr:uid="{00000000-0005-0000-0000-000015000000}"/>
    <cellStyle name="40% - Accent2 3" xfId="30" xr:uid="{00000000-0005-0000-0000-000016000000}"/>
    <cellStyle name="40% - Accent2 4" xfId="31" xr:uid="{00000000-0005-0000-0000-000017000000}"/>
    <cellStyle name="40% - Accent3 2" xfId="32" xr:uid="{00000000-0005-0000-0000-000018000000}"/>
    <cellStyle name="40% - Accent3 3" xfId="33" xr:uid="{00000000-0005-0000-0000-000019000000}"/>
    <cellStyle name="40% - Accent3 4" xfId="34" xr:uid="{00000000-0005-0000-0000-00001A000000}"/>
    <cellStyle name="40% - Accent4 2" xfId="35" xr:uid="{00000000-0005-0000-0000-00001B000000}"/>
    <cellStyle name="40% - Accent4 3" xfId="36" xr:uid="{00000000-0005-0000-0000-00001C000000}"/>
    <cellStyle name="40% - Accent4 4" xfId="37" xr:uid="{00000000-0005-0000-0000-00001D000000}"/>
    <cellStyle name="40% - Accent5 2" xfId="38" xr:uid="{00000000-0005-0000-0000-00001E000000}"/>
    <cellStyle name="40% - Accent5 3" xfId="39" xr:uid="{00000000-0005-0000-0000-00001F000000}"/>
    <cellStyle name="40% - Accent5 4" xfId="40" xr:uid="{00000000-0005-0000-0000-000020000000}"/>
    <cellStyle name="40% - Accent6 2" xfId="41" xr:uid="{00000000-0005-0000-0000-000021000000}"/>
    <cellStyle name="40% - Accent6 3" xfId="42" xr:uid="{00000000-0005-0000-0000-000022000000}"/>
    <cellStyle name="40% - Accent6 4" xfId="43" xr:uid="{00000000-0005-0000-0000-000023000000}"/>
    <cellStyle name="60% - Accent1 2" xfId="44" xr:uid="{00000000-0005-0000-0000-000024000000}"/>
    <cellStyle name="60% - Accent1 3" xfId="45" xr:uid="{00000000-0005-0000-0000-000025000000}"/>
    <cellStyle name="60% - Accent1 4" xfId="46" xr:uid="{00000000-0005-0000-0000-000026000000}"/>
    <cellStyle name="60% - Accent2 2" xfId="47" xr:uid="{00000000-0005-0000-0000-000027000000}"/>
    <cellStyle name="60% - Accent2 3" xfId="48" xr:uid="{00000000-0005-0000-0000-000028000000}"/>
    <cellStyle name="60% - Accent2 4" xfId="49" xr:uid="{00000000-0005-0000-0000-000029000000}"/>
    <cellStyle name="60% - Accent3 2" xfId="50" xr:uid="{00000000-0005-0000-0000-00002A000000}"/>
    <cellStyle name="60% - Accent3 3" xfId="51" xr:uid="{00000000-0005-0000-0000-00002B000000}"/>
    <cellStyle name="60% - Accent3 4" xfId="52" xr:uid="{00000000-0005-0000-0000-00002C000000}"/>
    <cellStyle name="60% - Accent4 2" xfId="53" xr:uid="{00000000-0005-0000-0000-00002D000000}"/>
    <cellStyle name="60% - Accent4 3" xfId="54" xr:uid="{00000000-0005-0000-0000-00002E000000}"/>
    <cellStyle name="60% - Accent4 4" xfId="55" xr:uid="{00000000-0005-0000-0000-00002F000000}"/>
    <cellStyle name="60% - Accent5 2" xfId="56" xr:uid="{00000000-0005-0000-0000-000030000000}"/>
    <cellStyle name="60% - Accent5 3" xfId="57" xr:uid="{00000000-0005-0000-0000-000031000000}"/>
    <cellStyle name="60% - Accent5 4" xfId="58" xr:uid="{00000000-0005-0000-0000-000032000000}"/>
    <cellStyle name="60% - Accent6 2" xfId="59" xr:uid="{00000000-0005-0000-0000-000033000000}"/>
    <cellStyle name="60% - Accent6 3" xfId="60" xr:uid="{00000000-0005-0000-0000-000034000000}"/>
    <cellStyle name="60% - Accent6 4" xfId="61" xr:uid="{00000000-0005-0000-0000-000035000000}"/>
    <cellStyle name="Accent1 2" xfId="62" xr:uid="{00000000-0005-0000-0000-000036000000}"/>
    <cellStyle name="Accent1 3" xfId="63" xr:uid="{00000000-0005-0000-0000-000037000000}"/>
    <cellStyle name="Accent1 4" xfId="64" xr:uid="{00000000-0005-0000-0000-000038000000}"/>
    <cellStyle name="Accent2 2" xfId="65" xr:uid="{00000000-0005-0000-0000-000039000000}"/>
    <cellStyle name="Accent2 3" xfId="66" xr:uid="{00000000-0005-0000-0000-00003A000000}"/>
    <cellStyle name="Accent2 4" xfId="67" xr:uid="{00000000-0005-0000-0000-00003B000000}"/>
    <cellStyle name="Accent3 2" xfId="68" xr:uid="{00000000-0005-0000-0000-00003C000000}"/>
    <cellStyle name="Accent3 3" xfId="69" xr:uid="{00000000-0005-0000-0000-00003D000000}"/>
    <cellStyle name="Accent3 4" xfId="70" xr:uid="{00000000-0005-0000-0000-00003E000000}"/>
    <cellStyle name="Accent4 2" xfId="71" xr:uid="{00000000-0005-0000-0000-00003F000000}"/>
    <cellStyle name="Accent4 3" xfId="72" xr:uid="{00000000-0005-0000-0000-000040000000}"/>
    <cellStyle name="Accent4 4" xfId="73" xr:uid="{00000000-0005-0000-0000-000041000000}"/>
    <cellStyle name="Accent5 2" xfId="74" xr:uid="{00000000-0005-0000-0000-000042000000}"/>
    <cellStyle name="Accent5 3" xfId="75" xr:uid="{00000000-0005-0000-0000-000043000000}"/>
    <cellStyle name="Accent5 4" xfId="76" xr:uid="{00000000-0005-0000-0000-000044000000}"/>
    <cellStyle name="Accent6 2" xfId="77" xr:uid="{00000000-0005-0000-0000-000045000000}"/>
    <cellStyle name="Accent6 3" xfId="78" xr:uid="{00000000-0005-0000-0000-000046000000}"/>
    <cellStyle name="Accent6 4" xfId="79" xr:uid="{00000000-0005-0000-0000-000047000000}"/>
    <cellStyle name="Bad 2" xfId="80" xr:uid="{00000000-0005-0000-0000-000048000000}"/>
    <cellStyle name="Bad 3" xfId="81" xr:uid="{00000000-0005-0000-0000-000049000000}"/>
    <cellStyle name="Bad 4" xfId="82" xr:uid="{00000000-0005-0000-0000-00004A000000}"/>
    <cellStyle name="Calculation 2" xfId="83" xr:uid="{00000000-0005-0000-0000-00004B000000}"/>
    <cellStyle name="Calculation 3" xfId="84" xr:uid="{00000000-0005-0000-0000-00004C000000}"/>
    <cellStyle name="Calculation 4" xfId="85" xr:uid="{00000000-0005-0000-0000-00004D000000}"/>
    <cellStyle name="Check Cell 2" xfId="86" xr:uid="{00000000-0005-0000-0000-00004E000000}"/>
    <cellStyle name="Check Cell 3" xfId="87" xr:uid="{00000000-0005-0000-0000-00004F000000}"/>
    <cellStyle name="Check Cell 4" xfId="88" xr:uid="{00000000-0005-0000-0000-000050000000}"/>
    <cellStyle name="Comma" xfId="3" builtinId="3"/>
    <cellStyle name="Comma 10" xfId="89" xr:uid="{00000000-0005-0000-0000-000052000000}"/>
    <cellStyle name="Comma 2" xfId="90" xr:uid="{00000000-0005-0000-0000-000053000000}"/>
    <cellStyle name="Comma 2 2" xfId="91" xr:uid="{00000000-0005-0000-0000-000054000000}"/>
    <cellStyle name="Comma 2 3" xfId="92" xr:uid="{00000000-0005-0000-0000-000055000000}"/>
    <cellStyle name="Comma 3" xfId="93" xr:uid="{00000000-0005-0000-0000-000056000000}"/>
    <cellStyle name="Comma 4" xfId="94" xr:uid="{00000000-0005-0000-0000-000057000000}"/>
    <cellStyle name="Comma 4 2" xfId="95" xr:uid="{00000000-0005-0000-0000-000058000000}"/>
    <cellStyle name="Comma 4 2 2" xfId="96" xr:uid="{00000000-0005-0000-0000-000059000000}"/>
    <cellStyle name="Comma 5" xfId="97" xr:uid="{00000000-0005-0000-0000-00005A000000}"/>
    <cellStyle name="Comma 6" xfId="98" xr:uid="{00000000-0005-0000-0000-00005B000000}"/>
    <cellStyle name="Comma 7" xfId="99" xr:uid="{00000000-0005-0000-0000-00005C000000}"/>
    <cellStyle name="Comma 8" xfId="100" xr:uid="{00000000-0005-0000-0000-00005D000000}"/>
    <cellStyle name="Comma 9" xfId="101" xr:uid="{00000000-0005-0000-0000-00005E000000}"/>
    <cellStyle name="Comma 9 2" xfId="102" xr:uid="{00000000-0005-0000-0000-00005F000000}"/>
    <cellStyle name="Currency" xfId="1" builtinId="4"/>
    <cellStyle name="Currency 2" xfId="103" xr:uid="{00000000-0005-0000-0000-000061000000}"/>
    <cellStyle name="Currency 3" xfId="104" xr:uid="{00000000-0005-0000-0000-000062000000}"/>
    <cellStyle name="Currency 4" xfId="105" xr:uid="{00000000-0005-0000-0000-000063000000}"/>
    <cellStyle name="Currency 4 2" xfId="106" xr:uid="{00000000-0005-0000-0000-000064000000}"/>
    <cellStyle name="Currency 5" xfId="107" xr:uid="{00000000-0005-0000-0000-000065000000}"/>
    <cellStyle name="Currency 6" xfId="108" xr:uid="{00000000-0005-0000-0000-000066000000}"/>
    <cellStyle name="Currency 7" xfId="109" xr:uid="{00000000-0005-0000-0000-000067000000}"/>
    <cellStyle name="Custom - Style1" xfId="110" xr:uid="{00000000-0005-0000-0000-000068000000}"/>
    <cellStyle name="Custom - Style8" xfId="111" xr:uid="{00000000-0005-0000-0000-000069000000}"/>
    <cellStyle name="Data   - Style2" xfId="112" xr:uid="{00000000-0005-0000-0000-00006A000000}"/>
    <cellStyle name="Explanatory Text 2" xfId="113" xr:uid="{00000000-0005-0000-0000-00006B000000}"/>
    <cellStyle name="Explanatory Text 3" xfId="114" xr:uid="{00000000-0005-0000-0000-00006C000000}"/>
    <cellStyle name="Explanatory Text 4" xfId="115" xr:uid="{00000000-0005-0000-0000-00006D000000}"/>
    <cellStyle name="FRxAmtStyle" xfId="116" xr:uid="{00000000-0005-0000-0000-00006E000000}"/>
    <cellStyle name="FRxAmtStyle 2" xfId="117" xr:uid="{00000000-0005-0000-0000-00006F000000}"/>
    <cellStyle name="FRxCurrStyle" xfId="118" xr:uid="{00000000-0005-0000-0000-000070000000}"/>
    <cellStyle name="FRxCurrStyle 2" xfId="119" xr:uid="{00000000-0005-0000-0000-000071000000}"/>
    <cellStyle name="FRxPcntStyle" xfId="120" xr:uid="{00000000-0005-0000-0000-000072000000}"/>
    <cellStyle name="Good 2" xfId="121" xr:uid="{00000000-0005-0000-0000-000073000000}"/>
    <cellStyle name="Good 3" xfId="122" xr:uid="{00000000-0005-0000-0000-000074000000}"/>
    <cellStyle name="Good 4" xfId="123" xr:uid="{00000000-0005-0000-0000-000075000000}"/>
    <cellStyle name="Heading 1 2" xfId="124" xr:uid="{00000000-0005-0000-0000-000076000000}"/>
    <cellStyle name="Heading 1 3" xfId="125" xr:uid="{00000000-0005-0000-0000-000077000000}"/>
    <cellStyle name="Heading 1 4" xfId="126" xr:uid="{00000000-0005-0000-0000-000078000000}"/>
    <cellStyle name="Heading 2 2" xfId="127" xr:uid="{00000000-0005-0000-0000-000079000000}"/>
    <cellStyle name="Heading 2 3" xfId="128" xr:uid="{00000000-0005-0000-0000-00007A000000}"/>
    <cellStyle name="Heading 2 4" xfId="129" xr:uid="{00000000-0005-0000-0000-00007B000000}"/>
    <cellStyle name="Heading 3 2" xfId="130" xr:uid="{00000000-0005-0000-0000-00007C000000}"/>
    <cellStyle name="Heading 3 3" xfId="131" xr:uid="{00000000-0005-0000-0000-00007D000000}"/>
    <cellStyle name="Heading 3 4" xfId="132" xr:uid="{00000000-0005-0000-0000-00007E000000}"/>
    <cellStyle name="Heading 4 2" xfId="133" xr:uid="{00000000-0005-0000-0000-00007F000000}"/>
    <cellStyle name="Heading 4 3" xfId="134" xr:uid="{00000000-0005-0000-0000-000080000000}"/>
    <cellStyle name="Heading 4 4" xfId="135" xr:uid="{00000000-0005-0000-0000-000081000000}"/>
    <cellStyle name="Input 2" xfId="136" xr:uid="{00000000-0005-0000-0000-000082000000}"/>
    <cellStyle name="Input 3" xfId="137" xr:uid="{00000000-0005-0000-0000-000083000000}"/>
    <cellStyle name="Input 4" xfId="138" xr:uid="{00000000-0005-0000-0000-000084000000}"/>
    <cellStyle name="Labels - Style3" xfId="139" xr:uid="{00000000-0005-0000-0000-000085000000}"/>
    <cellStyle name="Linked Cell 2" xfId="140" xr:uid="{00000000-0005-0000-0000-000086000000}"/>
    <cellStyle name="Linked Cell 3" xfId="141" xr:uid="{00000000-0005-0000-0000-000087000000}"/>
    <cellStyle name="Linked Cell 4" xfId="142" xr:uid="{00000000-0005-0000-0000-000088000000}"/>
    <cellStyle name="Neutral 2" xfId="143" xr:uid="{00000000-0005-0000-0000-000089000000}"/>
    <cellStyle name="Neutral 3" xfId="144" xr:uid="{00000000-0005-0000-0000-00008A000000}"/>
    <cellStyle name="Neutral 4" xfId="145" xr:uid="{00000000-0005-0000-0000-00008B000000}"/>
    <cellStyle name="Normal" xfId="0" builtinId="0"/>
    <cellStyle name="Normal - Style1" xfId="146" xr:uid="{00000000-0005-0000-0000-00008D000000}"/>
    <cellStyle name="Normal - Style2" xfId="147" xr:uid="{00000000-0005-0000-0000-00008E000000}"/>
    <cellStyle name="Normal - Style3" xfId="148" xr:uid="{00000000-0005-0000-0000-00008F000000}"/>
    <cellStyle name="Normal - Style4" xfId="149" xr:uid="{00000000-0005-0000-0000-000090000000}"/>
    <cellStyle name="Normal - Style5" xfId="150" xr:uid="{00000000-0005-0000-0000-000091000000}"/>
    <cellStyle name="Normal - Style6" xfId="151" xr:uid="{00000000-0005-0000-0000-000092000000}"/>
    <cellStyle name="Normal - Style7" xfId="152" xr:uid="{00000000-0005-0000-0000-000093000000}"/>
    <cellStyle name="Normal - Style8" xfId="153" xr:uid="{00000000-0005-0000-0000-000094000000}"/>
    <cellStyle name="Normal 10" xfId="154" xr:uid="{00000000-0005-0000-0000-000095000000}"/>
    <cellStyle name="Normal 11" xfId="155" xr:uid="{00000000-0005-0000-0000-000096000000}"/>
    <cellStyle name="Normal 11 2" xfId="156" xr:uid="{00000000-0005-0000-0000-000097000000}"/>
    <cellStyle name="Normal 12" xfId="157" xr:uid="{00000000-0005-0000-0000-000098000000}"/>
    <cellStyle name="Normal 12 2" xfId="158" xr:uid="{00000000-0005-0000-0000-000099000000}"/>
    <cellStyle name="Normal 13" xfId="159" xr:uid="{00000000-0005-0000-0000-00009A000000}"/>
    <cellStyle name="Normal 13 2" xfId="160" xr:uid="{00000000-0005-0000-0000-00009B000000}"/>
    <cellStyle name="Normal 14" xfId="161" xr:uid="{00000000-0005-0000-0000-00009C000000}"/>
    <cellStyle name="Normal 14 2" xfId="162" xr:uid="{00000000-0005-0000-0000-00009D000000}"/>
    <cellStyle name="Normal 15" xfId="163" xr:uid="{00000000-0005-0000-0000-00009E000000}"/>
    <cellStyle name="Normal 15 2" xfId="164" xr:uid="{00000000-0005-0000-0000-00009F000000}"/>
    <cellStyle name="Normal 16" xfId="165" xr:uid="{00000000-0005-0000-0000-0000A0000000}"/>
    <cellStyle name="Normal 16 2" xfId="166" xr:uid="{00000000-0005-0000-0000-0000A1000000}"/>
    <cellStyle name="Normal 17" xfId="167" xr:uid="{00000000-0005-0000-0000-0000A2000000}"/>
    <cellStyle name="Normal 17 2" xfId="168" xr:uid="{00000000-0005-0000-0000-0000A3000000}"/>
    <cellStyle name="Normal 18" xfId="169" xr:uid="{00000000-0005-0000-0000-0000A4000000}"/>
    <cellStyle name="Normal 18 2" xfId="170" xr:uid="{00000000-0005-0000-0000-0000A5000000}"/>
    <cellStyle name="Normal 19" xfId="171" xr:uid="{00000000-0005-0000-0000-0000A6000000}"/>
    <cellStyle name="Normal 19 2" xfId="172" xr:uid="{00000000-0005-0000-0000-0000A7000000}"/>
    <cellStyle name="Normal 2" xfId="173" xr:uid="{00000000-0005-0000-0000-0000A8000000}"/>
    <cellStyle name="Normal 2 2" xfId="174" xr:uid="{00000000-0005-0000-0000-0000A9000000}"/>
    <cellStyle name="Normal 2 2 2" xfId="175" xr:uid="{00000000-0005-0000-0000-0000AA000000}"/>
    <cellStyle name="Normal 2 3" xfId="176" xr:uid="{00000000-0005-0000-0000-0000AB000000}"/>
    <cellStyle name="Normal 2 3 2" xfId="177" xr:uid="{00000000-0005-0000-0000-0000AC000000}"/>
    <cellStyle name="Normal 2 4" xfId="178" xr:uid="{00000000-0005-0000-0000-0000AD000000}"/>
    <cellStyle name="Normal 2 5" xfId="179" xr:uid="{00000000-0005-0000-0000-0000AE000000}"/>
    <cellStyle name="Normal 2 6" xfId="180" xr:uid="{00000000-0005-0000-0000-0000AF000000}"/>
    <cellStyle name="Normal 20" xfId="181" xr:uid="{00000000-0005-0000-0000-0000B0000000}"/>
    <cellStyle name="Normal 20 2" xfId="182" xr:uid="{00000000-0005-0000-0000-0000B1000000}"/>
    <cellStyle name="Normal 21" xfId="183" xr:uid="{00000000-0005-0000-0000-0000B2000000}"/>
    <cellStyle name="Normal 21 2" xfId="184" xr:uid="{00000000-0005-0000-0000-0000B3000000}"/>
    <cellStyle name="Normal 22" xfId="185" xr:uid="{00000000-0005-0000-0000-0000B4000000}"/>
    <cellStyle name="Normal 22 2" xfId="186" xr:uid="{00000000-0005-0000-0000-0000B5000000}"/>
    <cellStyle name="Normal 23" xfId="187" xr:uid="{00000000-0005-0000-0000-0000B6000000}"/>
    <cellStyle name="Normal 23 2" xfId="188" xr:uid="{00000000-0005-0000-0000-0000B7000000}"/>
    <cellStyle name="Normal 24" xfId="189" xr:uid="{00000000-0005-0000-0000-0000B8000000}"/>
    <cellStyle name="Normal 24 2" xfId="190" xr:uid="{00000000-0005-0000-0000-0000B9000000}"/>
    <cellStyle name="Normal 25" xfId="191" xr:uid="{00000000-0005-0000-0000-0000BA000000}"/>
    <cellStyle name="Normal 25 2" xfId="192" xr:uid="{00000000-0005-0000-0000-0000BB000000}"/>
    <cellStyle name="Normal 26" xfId="193" xr:uid="{00000000-0005-0000-0000-0000BC000000}"/>
    <cellStyle name="Normal 26 2" xfId="194" xr:uid="{00000000-0005-0000-0000-0000BD000000}"/>
    <cellStyle name="Normal 27" xfId="195" xr:uid="{00000000-0005-0000-0000-0000BE000000}"/>
    <cellStyle name="Normal 27 2" xfId="196" xr:uid="{00000000-0005-0000-0000-0000BF000000}"/>
    <cellStyle name="Normal 28" xfId="197" xr:uid="{00000000-0005-0000-0000-0000C0000000}"/>
    <cellStyle name="Normal 28 2" xfId="198" xr:uid="{00000000-0005-0000-0000-0000C1000000}"/>
    <cellStyle name="Normal 29" xfId="199" xr:uid="{00000000-0005-0000-0000-0000C2000000}"/>
    <cellStyle name="Normal 29 2" xfId="200" xr:uid="{00000000-0005-0000-0000-0000C3000000}"/>
    <cellStyle name="Normal 3" xfId="201" xr:uid="{00000000-0005-0000-0000-0000C4000000}"/>
    <cellStyle name="Normal 3 2" xfId="202" xr:uid="{00000000-0005-0000-0000-0000C5000000}"/>
    <cellStyle name="Normal 3 3" xfId="203" xr:uid="{00000000-0005-0000-0000-0000C6000000}"/>
    <cellStyle name="Normal 3 4" xfId="204" xr:uid="{00000000-0005-0000-0000-0000C7000000}"/>
    <cellStyle name="Normal 30" xfId="205" xr:uid="{00000000-0005-0000-0000-0000C8000000}"/>
    <cellStyle name="Normal 30 2" xfId="206" xr:uid="{00000000-0005-0000-0000-0000C9000000}"/>
    <cellStyle name="Normal 31" xfId="207" xr:uid="{00000000-0005-0000-0000-0000CA000000}"/>
    <cellStyle name="Normal 31 2" xfId="208" xr:uid="{00000000-0005-0000-0000-0000CB000000}"/>
    <cellStyle name="Normal 32" xfId="209" xr:uid="{00000000-0005-0000-0000-0000CC000000}"/>
    <cellStyle name="Normal 33" xfId="210" xr:uid="{00000000-0005-0000-0000-0000CD000000}"/>
    <cellStyle name="Normal 33 2" xfId="211" xr:uid="{00000000-0005-0000-0000-0000CE000000}"/>
    <cellStyle name="Normal 34" xfId="212" xr:uid="{00000000-0005-0000-0000-0000CF000000}"/>
    <cellStyle name="Normal 35" xfId="213" xr:uid="{00000000-0005-0000-0000-0000D0000000}"/>
    <cellStyle name="Normal 35 2" xfId="214" xr:uid="{00000000-0005-0000-0000-0000D1000000}"/>
    <cellStyle name="Normal 36" xfId="215" xr:uid="{00000000-0005-0000-0000-0000D2000000}"/>
    <cellStyle name="Normal 37" xfId="216" xr:uid="{00000000-0005-0000-0000-0000D3000000}"/>
    <cellStyle name="Normal 37 2" xfId="217" xr:uid="{00000000-0005-0000-0000-0000D4000000}"/>
    <cellStyle name="Normal 37 3" xfId="4" xr:uid="{00000000-0005-0000-0000-0000D5000000}"/>
    <cellStyle name="Normal 38" xfId="6" xr:uid="{00000000-0005-0000-0000-0000D6000000}"/>
    <cellStyle name="Normal 38 2" xfId="218" xr:uid="{00000000-0005-0000-0000-0000D7000000}"/>
    <cellStyle name="Normal 39" xfId="219" xr:uid="{00000000-0005-0000-0000-0000D8000000}"/>
    <cellStyle name="Normal 39 2" xfId="7" xr:uid="{00000000-0005-0000-0000-0000D9000000}"/>
    <cellStyle name="Normal 4" xfId="220" xr:uid="{00000000-0005-0000-0000-0000DA000000}"/>
    <cellStyle name="Normal 4 2" xfId="221" xr:uid="{00000000-0005-0000-0000-0000DB000000}"/>
    <cellStyle name="Normal 40" xfId="222" xr:uid="{00000000-0005-0000-0000-0000DC000000}"/>
    <cellStyle name="Normal 40 2" xfId="5" xr:uid="{00000000-0005-0000-0000-0000DD000000}"/>
    <cellStyle name="Normal 41" xfId="223" xr:uid="{00000000-0005-0000-0000-0000DE000000}"/>
    <cellStyle name="Normal 41 2" xfId="224" xr:uid="{00000000-0005-0000-0000-0000DF000000}"/>
    <cellStyle name="Normal 42" xfId="225" xr:uid="{00000000-0005-0000-0000-0000E0000000}"/>
    <cellStyle name="Normal 42 2" xfId="226" xr:uid="{00000000-0005-0000-0000-0000E1000000}"/>
    <cellStyle name="Normal 43" xfId="227" xr:uid="{00000000-0005-0000-0000-0000E2000000}"/>
    <cellStyle name="Normal 43 2" xfId="228" xr:uid="{00000000-0005-0000-0000-0000E3000000}"/>
    <cellStyle name="Normal 44" xfId="229" xr:uid="{00000000-0005-0000-0000-0000E4000000}"/>
    <cellStyle name="Normal 44 2" xfId="230" xr:uid="{00000000-0005-0000-0000-0000E5000000}"/>
    <cellStyle name="Normal 45" xfId="231" xr:uid="{00000000-0005-0000-0000-0000E6000000}"/>
    <cellStyle name="Normal 45 2" xfId="232" xr:uid="{00000000-0005-0000-0000-0000E7000000}"/>
    <cellStyle name="Normal 5" xfId="233" xr:uid="{00000000-0005-0000-0000-0000E8000000}"/>
    <cellStyle name="Normal 6" xfId="234" xr:uid="{00000000-0005-0000-0000-0000E9000000}"/>
    <cellStyle name="Normal 6 2" xfId="235" xr:uid="{00000000-0005-0000-0000-0000EA000000}"/>
    <cellStyle name="Normal 7" xfId="236" xr:uid="{00000000-0005-0000-0000-0000EB000000}"/>
    <cellStyle name="Normal 7 2" xfId="237" xr:uid="{00000000-0005-0000-0000-0000EC000000}"/>
    <cellStyle name="Normal 8" xfId="238" xr:uid="{00000000-0005-0000-0000-0000ED000000}"/>
    <cellStyle name="Normal 8 2" xfId="239" xr:uid="{00000000-0005-0000-0000-0000EE000000}"/>
    <cellStyle name="Normal 9" xfId="240" xr:uid="{00000000-0005-0000-0000-0000EF000000}"/>
    <cellStyle name="Note 2" xfId="241" xr:uid="{00000000-0005-0000-0000-0000F0000000}"/>
    <cellStyle name="Note 3" xfId="242" xr:uid="{00000000-0005-0000-0000-0000F1000000}"/>
    <cellStyle name="Note 4" xfId="243" xr:uid="{00000000-0005-0000-0000-0000F2000000}"/>
    <cellStyle name="Output 2" xfId="244" xr:uid="{00000000-0005-0000-0000-0000F3000000}"/>
    <cellStyle name="Output 3" xfId="245" xr:uid="{00000000-0005-0000-0000-0000F4000000}"/>
    <cellStyle name="Output 4" xfId="246" xr:uid="{00000000-0005-0000-0000-0000F5000000}"/>
    <cellStyle name="Output Amounts" xfId="247" xr:uid="{00000000-0005-0000-0000-0000F6000000}"/>
    <cellStyle name="Output Amounts 2" xfId="248" xr:uid="{00000000-0005-0000-0000-0000F7000000}"/>
    <cellStyle name="Output Column Headings" xfId="249" xr:uid="{00000000-0005-0000-0000-0000F8000000}"/>
    <cellStyle name="Output Line Items" xfId="250" xr:uid="{00000000-0005-0000-0000-0000F9000000}"/>
    <cellStyle name="Output Report Heading" xfId="251" xr:uid="{00000000-0005-0000-0000-0000FA000000}"/>
    <cellStyle name="Output Report Title" xfId="252" xr:uid="{00000000-0005-0000-0000-0000FB000000}"/>
    <cellStyle name="Percent" xfId="2" builtinId="5"/>
    <cellStyle name="Percent 2" xfId="253" xr:uid="{00000000-0005-0000-0000-0000FD000000}"/>
    <cellStyle name="Percent 3" xfId="254" xr:uid="{00000000-0005-0000-0000-0000FE000000}"/>
    <cellStyle name="Percent 4" xfId="255" xr:uid="{00000000-0005-0000-0000-0000FF000000}"/>
    <cellStyle name="Percent 4 2" xfId="256" xr:uid="{00000000-0005-0000-0000-000000010000}"/>
    <cellStyle name="Percent 5" xfId="257" xr:uid="{00000000-0005-0000-0000-000001010000}"/>
    <cellStyle name="Percent 6" xfId="258" xr:uid="{00000000-0005-0000-0000-000002010000}"/>
    <cellStyle name="Percent 6 2" xfId="259" xr:uid="{00000000-0005-0000-0000-000003010000}"/>
    <cellStyle name="Percent 7" xfId="260" xr:uid="{00000000-0005-0000-0000-000004010000}"/>
    <cellStyle name="Percent 8" xfId="261" xr:uid="{00000000-0005-0000-0000-000005010000}"/>
    <cellStyle name="Reset  - Style4" xfId="262" xr:uid="{00000000-0005-0000-0000-000006010000}"/>
    <cellStyle name="Reset  - Style7" xfId="263" xr:uid="{00000000-0005-0000-0000-000007010000}"/>
    <cellStyle name="STYLE1" xfId="264" xr:uid="{00000000-0005-0000-0000-000008010000}"/>
    <cellStyle name="STYLE2" xfId="265" xr:uid="{00000000-0005-0000-0000-000009010000}"/>
    <cellStyle name="STYLE3" xfId="266" xr:uid="{00000000-0005-0000-0000-00000A010000}"/>
    <cellStyle name="STYLE4" xfId="267" xr:uid="{00000000-0005-0000-0000-00000B010000}"/>
    <cellStyle name="STYLE5" xfId="268" xr:uid="{00000000-0005-0000-0000-00000C010000}"/>
    <cellStyle name="STYLE6" xfId="269" xr:uid="{00000000-0005-0000-0000-00000D010000}"/>
    <cellStyle name="Table  - Style5" xfId="270" xr:uid="{00000000-0005-0000-0000-00000E010000}"/>
    <cellStyle name="Table  - Style6" xfId="271" xr:uid="{00000000-0005-0000-0000-00000F010000}"/>
    <cellStyle name="Title  - Style1" xfId="272" xr:uid="{00000000-0005-0000-0000-000010010000}"/>
    <cellStyle name="Title  - Style6" xfId="273" xr:uid="{00000000-0005-0000-0000-000011010000}"/>
    <cellStyle name="Title 10" xfId="274" xr:uid="{00000000-0005-0000-0000-000012010000}"/>
    <cellStyle name="Title 11" xfId="275" xr:uid="{00000000-0005-0000-0000-000013010000}"/>
    <cellStyle name="Title 12" xfId="276" xr:uid="{00000000-0005-0000-0000-000014010000}"/>
    <cellStyle name="Title 13" xfId="277" xr:uid="{00000000-0005-0000-0000-000015010000}"/>
    <cellStyle name="Title 2" xfId="278" xr:uid="{00000000-0005-0000-0000-000016010000}"/>
    <cellStyle name="Title 3" xfId="279" xr:uid="{00000000-0005-0000-0000-000017010000}"/>
    <cellStyle name="Title 4" xfId="280" xr:uid="{00000000-0005-0000-0000-000018010000}"/>
    <cellStyle name="Title 5" xfId="281" xr:uid="{00000000-0005-0000-0000-000019010000}"/>
    <cellStyle name="Title 6" xfId="282" xr:uid="{00000000-0005-0000-0000-00001A010000}"/>
    <cellStyle name="Title 7" xfId="283" xr:uid="{00000000-0005-0000-0000-00001B010000}"/>
    <cellStyle name="Title 8" xfId="284" xr:uid="{00000000-0005-0000-0000-00001C010000}"/>
    <cellStyle name="Title 9" xfId="285" xr:uid="{00000000-0005-0000-0000-00001D010000}"/>
    <cellStyle name="Total 2" xfId="286" xr:uid="{00000000-0005-0000-0000-00001E010000}"/>
    <cellStyle name="Total 3" xfId="287" xr:uid="{00000000-0005-0000-0000-00001F010000}"/>
    <cellStyle name="Total 4" xfId="288" xr:uid="{00000000-0005-0000-0000-000020010000}"/>
    <cellStyle name="TotCol - Style5" xfId="289" xr:uid="{00000000-0005-0000-0000-000021010000}"/>
    <cellStyle name="TotCol - Style7" xfId="290" xr:uid="{00000000-0005-0000-0000-000022010000}"/>
    <cellStyle name="TotRow - Style4" xfId="291" xr:uid="{00000000-0005-0000-0000-000023010000}"/>
    <cellStyle name="TotRow - Style8" xfId="292" xr:uid="{00000000-0005-0000-0000-000024010000}"/>
    <cellStyle name="Warning Text 2" xfId="293" xr:uid="{00000000-0005-0000-0000-000025010000}"/>
    <cellStyle name="Warning Text 3" xfId="294" xr:uid="{00000000-0005-0000-0000-000026010000}"/>
    <cellStyle name="Warning Text 4" xfId="295" xr:uid="{00000000-0005-0000-0000-000027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NAR%20Filing%20Apr%202022%20Process_Input%20-%20Rev%20031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WNAR%20Filing%20Workpapers%20Apr%202022%20-%20Rev%20031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Filing Requirements"/>
      <sheetName val="Worksheets"/>
      <sheetName val="Chillicothe HDD"/>
      <sheetName val="Rank NHDD Kirk"/>
      <sheetName val="CGI HDD"/>
      <sheetName val="Rank NHDD CGI"/>
      <sheetName val="NEMO Feeder RES"/>
      <sheetName val="NEMO Feeder SGS"/>
      <sheetName val="WEMO Feeder RES"/>
      <sheetName val="WEMO Feeder SGS"/>
      <sheetName val="SEMO Feeder RES"/>
      <sheetName val="SEMO Feeder SGS"/>
      <sheetName val="WSJ Rate Support"/>
      <sheetName val="Prior Yr CSWNA Summary"/>
      <sheetName val="Prior Yr SRR Summary"/>
      <sheetName val="Prior Filing Tariff Rates"/>
      <sheetName val="Cust Data"/>
      <sheetName val="WNAR Rev"/>
      <sheetName val="WNAR Filing Apr 2022 Process_In"/>
    </sheetNames>
    <sheetDataSet>
      <sheetData sheetId="0">
        <row r="6">
          <cell r="B6">
            <v>44652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7">
          <cell r="A7" t="str">
            <v>Jan</v>
          </cell>
          <cell r="B7">
            <v>16133.5</v>
          </cell>
          <cell r="C7">
            <v>155.97304834753703</v>
          </cell>
          <cell r="D7">
            <v>2516391</v>
          </cell>
        </row>
        <row r="8">
          <cell r="A8" t="str">
            <v>Feb</v>
          </cell>
          <cell r="B8">
            <v>16122.5</v>
          </cell>
          <cell r="C8">
            <v>132.44858938434794</v>
          </cell>
          <cell r="D8">
            <v>2135402</v>
          </cell>
        </row>
        <row r="9">
          <cell r="A9" t="str">
            <v>Mar</v>
          </cell>
          <cell r="B9">
            <v>16111.5</v>
          </cell>
          <cell r="C9">
            <v>99.776060000924161</v>
          </cell>
          <cell r="D9">
            <v>1607542</v>
          </cell>
        </row>
        <row r="10">
          <cell r="A10" t="str">
            <v>Apr</v>
          </cell>
          <cell r="B10">
            <v>16009.5</v>
          </cell>
          <cell r="C10">
            <v>69.806960684754756</v>
          </cell>
          <cell r="D10">
            <v>1117575</v>
          </cell>
        </row>
        <row r="11">
          <cell r="A11" t="str">
            <v>May</v>
          </cell>
          <cell r="B11">
            <v>15839</v>
          </cell>
          <cell r="C11">
            <v>32.355106661544902</v>
          </cell>
          <cell r="D11">
            <v>512473</v>
          </cell>
        </row>
        <row r="12">
          <cell r="A12" t="str">
            <v>Jun</v>
          </cell>
          <cell r="B12">
            <v>15421</v>
          </cell>
          <cell r="C12">
            <v>12.085795560709176</v>
          </cell>
          <cell r="D12">
            <v>186375</v>
          </cell>
        </row>
        <row r="13">
          <cell r="A13" t="str">
            <v>Jul</v>
          </cell>
          <cell r="B13">
            <v>15196</v>
          </cell>
          <cell r="C13">
            <v>10.085103223055476</v>
          </cell>
          <cell r="D13">
            <v>153253</v>
          </cell>
        </row>
        <row r="14">
          <cell r="A14" t="str">
            <v>Aug</v>
          </cell>
          <cell r="B14">
            <v>15151</v>
          </cell>
          <cell r="C14">
            <v>9.1592184597761364</v>
          </cell>
          <cell r="D14">
            <v>138771</v>
          </cell>
        </row>
        <row r="15">
          <cell r="A15" t="str">
            <v>Sep</v>
          </cell>
          <cell r="B15">
            <v>15132</v>
          </cell>
          <cell r="C15">
            <v>12.953252738456634</v>
          </cell>
          <cell r="D15">
            <v>196009</v>
          </cell>
        </row>
        <row r="16">
          <cell r="A16" t="str">
            <v>Oct</v>
          </cell>
          <cell r="B16">
            <v>15171.5</v>
          </cell>
          <cell r="C16">
            <v>19.887491766605791</v>
          </cell>
          <cell r="D16">
            <v>301723</v>
          </cell>
        </row>
        <row r="17">
          <cell r="A17" t="str">
            <v>Nov</v>
          </cell>
          <cell r="B17">
            <v>15566.5</v>
          </cell>
          <cell r="C17">
            <v>58.170040765973852</v>
          </cell>
          <cell r="D17">
            <v>905504</v>
          </cell>
        </row>
        <row r="18">
          <cell r="A18" t="str">
            <v>Dec</v>
          </cell>
          <cell r="B18">
            <v>15929</v>
          </cell>
          <cell r="C18">
            <v>82.475388188949665</v>
          </cell>
          <cell r="D18">
            <v>1313750</v>
          </cell>
        </row>
      </sheetData>
      <sheetData sheetId="8"/>
      <sheetData sheetId="9">
        <row r="7">
          <cell r="A7" t="str">
            <v>Jan</v>
          </cell>
          <cell r="B7">
            <v>3337.5</v>
          </cell>
          <cell r="C7">
            <v>146.07970534627208</v>
          </cell>
          <cell r="D7">
            <v>487541</v>
          </cell>
        </row>
        <row r="8">
          <cell r="A8" t="str">
            <v>Feb</v>
          </cell>
          <cell r="B8">
            <v>3337</v>
          </cell>
          <cell r="C8">
            <v>123.07577892458774</v>
          </cell>
          <cell r="D8">
            <v>410704</v>
          </cell>
        </row>
        <row r="9">
          <cell r="A9" t="str">
            <v>Mar</v>
          </cell>
          <cell r="B9">
            <v>3342</v>
          </cell>
          <cell r="C9">
            <v>97.327798032602601</v>
          </cell>
          <cell r="D9">
            <v>325270</v>
          </cell>
        </row>
        <row r="10">
          <cell r="A10" t="str">
            <v>Apr</v>
          </cell>
          <cell r="B10">
            <v>3327</v>
          </cell>
          <cell r="C10">
            <v>58.856915890609116</v>
          </cell>
          <cell r="D10">
            <v>195817</v>
          </cell>
        </row>
        <row r="11">
          <cell r="A11" t="str">
            <v>May</v>
          </cell>
          <cell r="B11">
            <v>3295.5</v>
          </cell>
          <cell r="C11">
            <v>31.828622799896465</v>
          </cell>
          <cell r="D11">
            <v>104891</v>
          </cell>
        </row>
        <row r="12">
          <cell r="A12" t="str">
            <v>Jun</v>
          </cell>
          <cell r="B12">
            <v>3249.5</v>
          </cell>
          <cell r="C12">
            <v>11.156511148638026</v>
          </cell>
          <cell r="D12">
            <v>36253</v>
          </cell>
        </row>
        <row r="13">
          <cell r="A13" t="str">
            <v>Jul</v>
          </cell>
          <cell r="B13">
            <v>3236</v>
          </cell>
          <cell r="C13">
            <v>9.4999070442247078</v>
          </cell>
          <cell r="D13">
            <v>30742</v>
          </cell>
        </row>
        <row r="14">
          <cell r="A14" t="str">
            <v>Aug</v>
          </cell>
          <cell r="B14">
            <v>3204</v>
          </cell>
          <cell r="C14">
            <v>7.7180922700072614</v>
          </cell>
          <cell r="D14">
            <v>24729</v>
          </cell>
        </row>
        <row r="15">
          <cell r="A15" t="str">
            <v>Sep</v>
          </cell>
          <cell r="B15">
            <v>3185</v>
          </cell>
          <cell r="C15">
            <v>11.282756463009656</v>
          </cell>
          <cell r="D15">
            <v>35936</v>
          </cell>
        </row>
        <row r="16">
          <cell r="A16" t="str">
            <v>Oct</v>
          </cell>
          <cell r="B16">
            <v>3185.5</v>
          </cell>
          <cell r="C16">
            <v>16.40830337642387</v>
          </cell>
          <cell r="D16">
            <v>52269</v>
          </cell>
        </row>
        <row r="17">
          <cell r="A17" t="str">
            <v>Nov</v>
          </cell>
          <cell r="B17">
            <v>3234</v>
          </cell>
          <cell r="C17">
            <v>54.210861330981182</v>
          </cell>
          <cell r="D17">
            <v>175318</v>
          </cell>
        </row>
        <row r="18">
          <cell r="A18" t="str">
            <v>Dec</v>
          </cell>
          <cell r="B18">
            <v>3287.5</v>
          </cell>
          <cell r="C18">
            <v>76.574334393103967</v>
          </cell>
          <cell r="D18">
            <v>251738</v>
          </cell>
        </row>
      </sheetData>
      <sheetData sheetId="10"/>
      <sheetData sheetId="11">
        <row r="7">
          <cell r="A7" t="str">
            <v>Jan</v>
          </cell>
          <cell r="B7">
            <v>27825</v>
          </cell>
          <cell r="C7">
            <v>123.53577039059967</v>
          </cell>
          <cell r="D7">
            <v>3437383</v>
          </cell>
        </row>
        <row r="8">
          <cell r="A8" t="str">
            <v>Feb</v>
          </cell>
          <cell r="B8">
            <v>27806.5</v>
          </cell>
          <cell r="C8">
            <v>103.75418913357871</v>
          </cell>
          <cell r="D8">
            <v>2885041</v>
          </cell>
        </row>
        <row r="9">
          <cell r="A9" t="str">
            <v>Mar</v>
          </cell>
          <cell r="B9">
            <v>27812</v>
          </cell>
          <cell r="C9">
            <v>81.561842735614221</v>
          </cell>
          <cell r="D9">
            <v>2268398</v>
          </cell>
        </row>
        <row r="10">
          <cell r="A10" t="str">
            <v>Apr</v>
          </cell>
          <cell r="B10">
            <v>27728</v>
          </cell>
          <cell r="C10">
            <v>49.212342090221661</v>
          </cell>
          <cell r="D10">
            <v>1364560</v>
          </cell>
        </row>
        <row r="11">
          <cell r="A11" t="str">
            <v>May</v>
          </cell>
          <cell r="B11">
            <v>27540.5</v>
          </cell>
          <cell r="C11">
            <v>25.099574557571497</v>
          </cell>
          <cell r="D11">
            <v>691255</v>
          </cell>
        </row>
        <row r="12">
          <cell r="A12" t="str">
            <v>Jun</v>
          </cell>
          <cell r="B12">
            <v>27306.5</v>
          </cell>
          <cell r="C12">
            <v>12.701835355285022</v>
          </cell>
          <cell r="D12">
            <v>346843</v>
          </cell>
        </row>
        <row r="13">
          <cell r="A13" t="str">
            <v>Jul</v>
          </cell>
          <cell r="B13">
            <v>27084</v>
          </cell>
          <cell r="C13">
            <v>9.9085056933269637</v>
          </cell>
          <cell r="D13">
            <v>268362</v>
          </cell>
        </row>
        <row r="14">
          <cell r="A14" t="str">
            <v>Aug</v>
          </cell>
          <cell r="B14">
            <v>26964</v>
          </cell>
          <cell r="C14">
            <v>9.378385045284519</v>
          </cell>
          <cell r="D14">
            <v>252879</v>
          </cell>
        </row>
        <row r="15">
          <cell r="A15" t="str">
            <v>Sep</v>
          </cell>
          <cell r="B15">
            <v>26896.5</v>
          </cell>
          <cell r="C15">
            <v>12.010212609004119</v>
          </cell>
          <cell r="D15">
            <v>323033</v>
          </cell>
        </row>
        <row r="16">
          <cell r="A16" t="str">
            <v>Oct</v>
          </cell>
          <cell r="B16">
            <v>26839</v>
          </cell>
          <cell r="C16">
            <v>13.771214486663101</v>
          </cell>
          <cell r="D16">
            <v>369606</v>
          </cell>
        </row>
        <row r="17">
          <cell r="A17" t="str">
            <v>Nov</v>
          </cell>
          <cell r="B17">
            <v>27183.5</v>
          </cell>
          <cell r="C17">
            <v>39.94808082090421</v>
          </cell>
          <cell r="D17">
            <v>1085929</v>
          </cell>
        </row>
        <row r="18">
          <cell r="A18" t="str">
            <v>Dec</v>
          </cell>
          <cell r="B18">
            <v>27493.5</v>
          </cell>
          <cell r="C18">
            <v>72.801128389382853</v>
          </cell>
          <cell r="D18">
            <v>2001558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Rates - Sheets 67.2-67.5"/>
      <sheetName val="CSWNA Summary"/>
      <sheetName val="CSWNA Res NEMO"/>
      <sheetName val="CSWNA SGS NEMO"/>
      <sheetName val="CSWNA Res WEMO"/>
      <sheetName val="CSWNA SGS WEMO"/>
      <sheetName val="CSWNA Res SEMO"/>
      <sheetName val="CSWNA SGS SEMO"/>
      <sheetName val="Assumptions"/>
      <sheetName val="SRR Summary"/>
      <sheetName val="SRR Res NEMO"/>
      <sheetName val="SRR Res WEMO"/>
      <sheetName val="SRR SGS NEMO"/>
      <sheetName val=" SRR SGS WEMO"/>
      <sheetName val="SRR Res SEMO"/>
      <sheetName val="SRR SGS SEMO"/>
      <sheetName val="Input WS&gt;&gt;&gt;"/>
      <sheetName val="Input_NEMO"/>
      <sheetName val="Input_WEMO"/>
      <sheetName val="Input_SEMO"/>
      <sheetName val="HDD_Summary"/>
      <sheetName val="Customer Count by Cycle"/>
      <sheetName val="Staff Ranked NHDD"/>
      <sheetName val="Actual_Kirk_HDD"/>
      <sheetName val="Actual_CGI_HDD"/>
      <sheetName val="Meter Reading_NEMO"/>
      <sheetName val="Meter Reading_WEMO"/>
      <sheetName val="Meter Reading_SEMO"/>
      <sheetName val="Acctg Recon"/>
    </sheetNames>
    <sheetDataSet>
      <sheetData sheetId="0">
        <row r="12">
          <cell r="K12">
            <v>43922</v>
          </cell>
          <cell r="L12">
            <v>1.8530000000000001E-2</v>
          </cell>
          <cell r="M12">
            <v>-1.8400000000000001E-3</v>
          </cell>
          <cell r="N12">
            <v>1.7559999999999999E-2</v>
          </cell>
          <cell r="O12">
            <v>6.0000000000000002E-5</v>
          </cell>
          <cell r="P12"/>
          <cell r="Q12">
            <v>7.7999999999999996E-3</v>
          </cell>
          <cell r="R12">
            <v>4.8999999999999998E-4</v>
          </cell>
          <cell r="S12">
            <v>5.9800000000000001E-3</v>
          </cell>
          <cell r="T12">
            <v>6.9999999999999994E-5</v>
          </cell>
        </row>
        <row r="13">
          <cell r="K13">
            <v>44105</v>
          </cell>
          <cell r="L13">
            <v>-1.2099999999999999E-3</v>
          </cell>
          <cell r="M13">
            <v>8.3000000000000001E-4</v>
          </cell>
          <cell r="N13">
            <v>6.96E-3</v>
          </cell>
          <cell r="O13">
            <v>-1.0000000000000001E-5</v>
          </cell>
          <cell r="P13"/>
          <cell r="Q13">
            <v>-4.0999999999999999E-4</v>
          </cell>
          <cell r="R13">
            <v>4.8999999999999998E-4</v>
          </cell>
          <cell r="S13">
            <v>2.3999999999999998E-3</v>
          </cell>
          <cell r="T13">
            <v>-4.0000000000000003E-5</v>
          </cell>
        </row>
        <row r="14">
          <cell r="K14">
            <v>44287</v>
          </cell>
          <cell r="L14">
            <v>1.208E-2</v>
          </cell>
          <cell r="M14">
            <v>-2E-3</v>
          </cell>
          <cell r="N14">
            <v>1.265E-2</v>
          </cell>
          <cell r="O14">
            <v>-6.0000000000000002E-5</v>
          </cell>
          <cell r="P14"/>
          <cell r="Q14">
            <v>4.8599999999999997E-3</v>
          </cell>
          <cell r="R14">
            <v>-1.4999999999999999E-4</v>
          </cell>
          <cell r="S14">
            <v>4.3499999999999997E-3</v>
          </cell>
          <cell r="T14">
            <v>-3.8999999999999999E-4</v>
          </cell>
        </row>
        <row r="15">
          <cell r="K15">
            <v>44470</v>
          </cell>
          <cell r="L15">
            <v>-1.357E-2</v>
          </cell>
          <cell r="M15">
            <v>2.7999999999999998E-4</v>
          </cell>
          <cell r="N15">
            <v>-3.3E-3</v>
          </cell>
          <cell r="O15">
            <v>-4.0000000000000002E-4</v>
          </cell>
          <cell r="P15"/>
          <cell r="Q15">
            <v>-5.5799999999999999E-3</v>
          </cell>
          <cell r="R15">
            <v>1.9000000000000001E-4</v>
          </cell>
          <cell r="S15">
            <v>-1.1100000000000001E-3</v>
          </cell>
          <cell r="T15">
            <v>-3.2000000000000003E-4</v>
          </cell>
        </row>
        <row r="16">
          <cell r="K16">
            <v>44652</v>
          </cell>
          <cell r="L16">
            <v>5.7300000000000004E-2</v>
          </cell>
          <cell r="M16">
            <v>2.7799999999999999E-3</v>
          </cell>
          <cell r="N16">
            <v>4.743E-2</v>
          </cell>
          <cell r="O16">
            <v>9.8999999999999999E-4</v>
          </cell>
          <cell r="P16"/>
          <cell r="Q16">
            <v>2.7810000000000001E-2</v>
          </cell>
          <cell r="R16">
            <v>-2.2000000000000001E-4</v>
          </cell>
          <cell r="S16">
            <v>1.6230000000000001E-2</v>
          </cell>
          <cell r="T16">
            <v>-3.7200000000000002E-3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39"/>
  <sheetViews>
    <sheetView tabSelected="1" topLeftCell="A7" zoomScale="90" zoomScaleNormal="90" workbookViewId="0">
      <selection activeCell="AS7" sqref="AS7"/>
    </sheetView>
  </sheetViews>
  <sheetFormatPr defaultRowHeight="15" x14ac:dyDescent="0.25"/>
  <cols>
    <col min="1" max="1" width="13" customWidth="1"/>
    <col min="2" max="2" width="10.85546875" customWidth="1"/>
    <col min="3" max="3" width="15.42578125" customWidth="1"/>
    <col min="4" max="4" width="17.28515625" customWidth="1"/>
    <col min="6" max="6" width="11.140625" customWidth="1"/>
    <col min="7" max="7" width="11.140625" style="14" customWidth="1"/>
    <col min="8" max="8" width="11.140625" customWidth="1"/>
    <col min="9" max="11" width="11.140625" style="14" customWidth="1"/>
    <col min="12" max="12" width="9.140625" style="14"/>
    <col min="13" max="13" width="10.42578125" style="14" customWidth="1"/>
    <col min="14" max="15" width="9.140625" style="14"/>
    <col min="16" max="16" width="4.28515625" style="14" customWidth="1"/>
    <col min="17" max="17" width="11.5703125" customWidth="1"/>
    <col min="18" max="18" width="12.42578125" customWidth="1"/>
    <col min="19" max="19" width="13.140625" customWidth="1"/>
    <col min="20" max="20" width="14.28515625" customWidth="1"/>
    <col min="22" max="27" width="10.7109375" style="14" customWidth="1"/>
    <col min="28" max="28" width="9.140625" style="14"/>
    <col min="29" max="29" width="11.28515625" style="14" customWidth="1"/>
    <col min="30" max="31" width="9.140625" style="14"/>
    <col min="32" max="32" width="4" style="14" customWidth="1"/>
    <col min="33" max="33" width="11.5703125" customWidth="1"/>
    <col min="34" max="35" width="13.140625" customWidth="1"/>
    <col min="36" max="36" width="16.7109375" customWidth="1"/>
    <col min="38" max="38" width="12" bestFit="1" customWidth="1"/>
    <col min="39" max="39" width="12" style="14" customWidth="1"/>
    <col min="40" max="40" width="10" style="14" customWidth="1"/>
    <col min="41" max="41" width="10.5703125" bestFit="1" customWidth="1"/>
    <col min="42" max="42" width="10.5703125" style="14" bestFit="1" customWidth="1"/>
    <col min="43" max="43" width="10.5703125" customWidth="1"/>
    <col min="45" max="45" width="10.85546875" customWidth="1"/>
    <col min="46" max="46" width="9.140625" style="14"/>
  </cols>
  <sheetData>
    <row r="1" spans="1:50" x14ac:dyDescent="0.25">
      <c r="AG1" s="8"/>
      <c r="AH1" s="8"/>
      <c r="AI1" s="8"/>
      <c r="AJ1" s="8"/>
    </row>
    <row r="2" spans="1:50" x14ac:dyDescent="0.25">
      <c r="AG2" s="8"/>
      <c r="AH2" s="8"/>
      <c r="AI2" s="8"/>
      <c r="AJ2" s="8"/>
    </row>
    <row r="3" spans="1:50" s="14" customFormat="1" x14ac:dyDescent="0.25"/>
    <row r="4" spans="1:50" s="14" customFormat="1" x14ac:dyDescent="0.25"/>
    <row r="5" spans="1:50" s="14" customFormat="1" x14ac:dyDescent="0.25"/>
    <row r="6" spans="1:50" s="14" customFormat="1" x14ac:dyDescent="0.25"/>
    <row r="7" spans="1:50" x14ac:dyDescent="0.25">
      <c r="F7" s="51" t="s">
        <v>21</v>
      </c>
      <c r="G7" s="51"/>
      <c r="I7" s="51" t="s">
        <v>31</v>
      </c>
      <c r="J7" s="51"/>
      <c r="V7" s="51" t="s">
        <v>21</v>
      </c>
      <c r="W7" s="51"/>
      <c r="Y7" s="51" t="s">
        <v>31</v>
      </c>
      <c r="Z7" s="51"/>
      <c r="AG7" s="8"/>
      <c r="AH7" s="8"/>
      <c r="AI7" s="8"/>
      <c r="AJ7" s="8"/>
      <c r="AL7" s="51" t="s">
        <v>21</v>
      </c>
      <c r="AM7" s="51"/>
      <c r="AO7" s="51" t="s">
        <v>31</v>
      </c>
      <c r="AP7" s="51"/>
    </row>
    <row r="8" spans="1:50" x14ac:dyDescent="0.25">
      <c r="F8" s="35" t="s">
        <v>30</v>
      </c>
      <c r="G8" s="18">
        <f>EDATE(J9,-12)</f>
        <v>44287</v>
      </c>
      <c r="I8" s="35" t="s">
        <v>30</v>
      </c>
      <c r="J8" s="18">
        <f>EDATE(J9,-6)</f>
        <v>44470</v>
      </c>
      <c r="V8" s="35" t="s">
        <v>30</v>
      </c>
      <c r="W8" s="18">
        <f>$G$8</f>
        <v>44287</v>
      </c>
      <c r="Y8" s="35" t="s">
        <v>30</v>
      </c>
      <c r="Z8" s="18">
        <f>$J$8</f>
        <v>44470</v>
      </c>
      <c r="AG8" s="8"/>
      <c r="AH8" s="8"/>
      <c r="AI8" s="8"/>
      <c r="AJ8" s="8"/>
      <c r="AL8" s="35" t="s">
        <v>30</v>
      </c>
      <c r="AM8" s="18">
        <f>$G$8</f>
        <v>44287</v>
      </c>
      <c r="AO8" s="36" t="s">
        <v>30</v>
      </c>
      <c r="AP8" s="18">
        <f>$J$8</f>
        <v>44470</v>
      </c>
    </row>
    <row r="9" spans="1:50" ht="15.75" x14ac:dyDescent="0.25">
      <c r="A9" s="52" t="s">
        <v>15</v>
      </c>
      <c r="B9" s="53"/>
      <c r="C9" s="53"/>
      <c r="D9" s="54"/>
      <c r="F9" s="36" t="s">
        <v>30</v>
      </c>
      <c r="G9" s="18">
        <f>EDATE(G8,6)</f>
        <v>44470</v>
      </c>
      <c r="I9" s="36" t="s">
        <v>30</v>
      </c>
      <c r="J9" s="18">
        <f>[1]Input!$B$6</f>
        <v>44652</v>
      </c>
      <c r="Q9" s="52" t="s">
        <v>16</v>
      </c>
      <c r="R9" s="53"/>
      <c r="S9" s="53"/>
      <c r="T9" s="54"/>
      <c r="U9" s="7"/>
      <c r="V9" s="36" t="s">
        <v>30</v>
      </c>
      <c r="W9" s="18">
        <f>$G$9</f>
        <v>44470</v>
      </c>
      <c r="Y9" s="36" t="s">
        <v>30</v>
      </c>
      <c r="Z9" s="18">
        <f>$J$9</f>
        <v>44652</v>
      </c>
      <c r="AA9" s="7"/>
      <c r="AB9" s="7"/>
      <c r="AC9" s="7"/>
      <c r="AD9" s="7"/>
      <c r="AE9" s="7"/>
      <c r="AF9" s="21"/>
      <c r="AG9" s="52" t="s">
        <v>19</v>
      </c>
      <c r="AH9" s="53"/>
      <c r="AI9" s="53"/>
      <c r="AJ9" s="54"/>
      <c r="AK9" s="7"/>
      <c r="AL9" s="36" t="s">
        <v>30</v>
      </c>
      <c r="AM9" s="18">
        <f>$G$9</f>
        <v>44470</v>
      </c>
      <c r="AO9" s="35" t="s">
        <v>30</v>
      </c>
      <c r="AP9" s="18">
        <f>$J$9</f>
        <v>44652</v>
      </c>
      <c r="AQ9" s="7"/>
      <c r="AR9" s="7"/>
      <c r="AS9" s="7"/>
      <c r="AT9" s="7"/>
      <c r="AU9" s="7"/>
      <c r="AV9" s="21"/>
      <c r="AW9" s="21"/>
      <c r="AX9" s="21"/>
    </row>
    <row r="10" spans="1:50" s="20" customFormat="1" ht="90" customHeight="1" x14ac:dyDescent="0.25">
      <c r="A10" s="45" t="s">
        <v>1</v>
      </c>
      <c r="B10" s="32" t="s">
        <v>40</v>
      </c>
      <c r="C10" s="32" t="s">
        <v>41</v>
      </c>
      <c r="D10" s="46" t="s">
        <v>2</v>
      </c>
      <c r="E10" s="47" t="s">
        <v>22</v>
      </c>
      <c r="F10" s="47" t="s">
        <v>33</v>
      </c>
      <c r="G10" s="47" t="s">
        <v>32</v>
      </c>
      <c r="H10" s="47" t="s">
        <v>34</v>
      </c>
      <c r="I10" s="47" t="s">
        <v>33</v>
      </c>
      <c r="J10" s="47" t="s">
        <v>32</v>
      </c>
      <c r="K10" s="47" t="str">
        <f>"WNAR "&amp;TEXT(J9,"M/D/YYYY")</f>
        <v>WNAR 4/1/2022</v>
      </c>
      <c r="L10" s="17" t="s">
        <v>42</v>
      </c>
      <c r="M10" s="17" t="s">
        <v>43</v>
      </c>
      <c r="N10" s="47" t="s">
        <v>0</v>
      </c>
      <c r="O10" s="17" t="s">
        <v>44</v>
      </c>
      <c r="Q10" s="45" t="s">
        <v>1</v>
      </c>
      <c r="R10" s="32" t="s">
        <v>40</v>
      </c>
      <c r="S10" s="32" t="s">
        <v>41</v>
      </c>
      <c r="T10" s="46" t="s">
        <v>2</v>
      </c>
      <c r="U10" s="47" t="s">
        <v>22</v>
      </c>
      <c r="V10" s="47" t="s">
        <v>33</v>
      </c>
      <c r="W10" s="47" t="s">
        <v>32</v>
      </c>
      <c r="X10" s="47" t="s">
        <v>34</v>
      </c>
      <c r="Y10" s="47" t="s">
        <v>33</v>
      </c>
      <c r="Z10" s="47" t="s">
        <v>32</v>
      </c>
      <c r="AA10" s="47" t="str">
        <f>"WNAR "&amp;TEXT(Z9,"M/D/YYYY")</f>
        <v>WNAR 4/1/2022</v>
      </c>
      <c r="AB10" s="17" t="s">
        <v>42</v>
      </c>
      <c r="AC10" s="17" t="s">
        <v>43</v>
      </c>
      <c r="AD10" s="47" t="s">
        <v>0</v>
      </c>
      <c r="AE10" s="17" t="s">
        <v>45</v>
      </c>
      <c r="AG10" s="45" t="s">
        <v>1</v>
      </c>
      <c r="AH10" s="32" t="s">
        <v>40</v>
      </c>
      <c r="AI10" s="32" t="s">
        <v>41</v>
      </c>
      <c r="AJ10" s="46" t="s">
        <v>2</v>
      </c>
      <c r="AK10" s="47" t="s">
        <v>22</v>
      </c>
      <c r="AL10" s="47" t="s">
        <v>33</v>
      </c>
      <c r="AM10" s="47" t="s">
        <v>32</v>
      </c>
      <c r="AN10" s="47" t="s">
        <v>34</v>
      </c>
      <c r="AO10" s="47" t="s">
        <v>33</v>
      </c>
      <c r="AP10" s="47" t="s">
        <v>32</v>
      </c>
      <c r="AQ10" s="47" t="str">
        <f>"WNAR "&amp;TEXT(AP9,"M/D/YYYY")</f>
        <v>WNAR 4/1/2022</v>
      </c>
      <c r="AR10" s="17" t="s">
        <v>42</v>
      </c>
      <c r="AS10" s="17" t="s">
        <v>43</v>
      </c>
      <c r="AT10" s="47" t="s">
        <v>0</v>
      </c>
      <c r="AU10" s="17" t="s">
        <v>45</v>
      </c>
    </row>
    <row r="11" spans="1:50" x14ac:dyDescent="0.25">
      <c r="A11" s="21" t="s">
        <v>3</v>
      </c>
      <c r="B11" s="39">
        <f>VLOOKUP($A11,'[1]NEMO Feeder RES'!$A$7:$D$18,2,FALSE)</f>
        <v>16133.5</v>
      </c>
      <c r="C11" s="37">
        <f>VLOOKUP($A11,'[1]NEMO Feeder RES'!$A$7:$D$18,3,FALSE)</f>
        <v>155.97304834753703</v>
      </c>
      <c r="D11" s="39">
        <f>VLOOKUP($A11,'[1]NEMO Feeder RES'!$A$7:$D$18,4,FALSE)</f>
        <v>2516391</v>
      </c>
      <c r="E11" s="40">
        <f>ROUND(C11,0)</f>
        <v>156</v>
      </c>
      <c r="F11" s="41">
        <f>VLOOKUP(G9,'[2] Rates - Sheets 67.2-67.5'!$K$12:$T$16,2,FALSE)</f>
        <v>-1.357E-2</v>
      </c>
      <c r="G11" s="41">
        <f>VLOOKUP(G9,'[2] Rates - Sheets 67.2-67.5'!$K$12:$T$16,3,FALSE)</f>
        <v>2.7999999999999998E-4</v>
      </c>
      <c r="H11" s="42">
        <f>F11+F14+G11+G14</f>
        <v>-3.2100000000000002E-3</v>
      </c>
      <c r="I11" s="41">
        <f>VLOOKUP(J8,'[2] Rates - Sheets 67.2-67.5'!$K$12:$T$16,2,FALSE)</f>
        <v>-1.357E-2</v>
      </c>
      <c r="J11" s="41">
        <f>VLOOKUP(J8,'[2] Rates - Sheets 67.2-67.5'!$K$12:$T$16,3,FALSE)</f>
        <v>2.7999999999999998E-4</v>
      </c>
      <c r="K11" s="42">
        <f>I11+J11+I14+J14</f>
        <v>4.6790000000000005E-2</v>
      </c>
      <c r="L11" s="43">
        <f>D$27+(E11*D$29)+(E11*D$32)+(E11*H11)</f>
        <v>167.41383999999999</v>
      </c>
      <c r="M11" s="43">
        <f>D$27+(E11*D$29)+(E11*D$32)+(E11*K11)</f>
        <v>175.21384</v>
      </c>
      <c r="N11" s="43">
        <f>M11-L11</f>
        <v>7.8000000000000114</v>
      </c>
      <c r="O11" s="44">
        <f t="shared" ref="O11:O24" si="0">(M11/L11)-1</f>
        <v>4.6591130100116063E-2</v>
      </c>
      <c r="P11" s="21"/>
      <c r="Q11" s="21" t="s">
        <v>3</v>
      </c>
      <c r="R11" s="39">
        <f>VLOOKUP($Q11,'[1]WEMO Feeder RES'!$A$7:$D$18,2,FALSE)</f>
        <v>3337.5</v>
      </c>
      <c r="S11" s="39">
        <f>VLOOKUP($Q11,'[1]WEMO Feeder RES'!$A$7:$D$18,3,FALSE)</f>
        <v>146.07970534627208</v>
      </c>
      <c r="T11" s="39">
        <f>VLOOKUP($Q11,'[1]WEMO Feeder RES'!$A$7:$D$18,4,FALSE)</f>
        <v>487541</v>
      </c>
      <c r="U11" s="40">
        <f>ROUND(S11,0)</f>
        <v>146</v>
      </c>
      <c r="V11" s="41">
        <f>VLOOKUP(W9,'[2] Rates - Sheets 67.2-67.5'!$K$12:$T$16,2,FALSE)</f>
        <v>-1.357E-2</v>
      </c>
      <c r="W11" s="41">
        <f>VLOOKUP(W9,'[2] Rates - Sheets 67.2-67.5'!$K$12:$T$16,3,FALSE)</f>
        <v>2.7999999999999998E-4</v>
      </c>
      <c r="X11" s="42">
        <f>V11+V14+W11+W14</f>
        <v>-3.2100000000000002E-3</v>
      </c>
      <c r="Y11" s="41">
        <f>VLOOKUP(Z8,'[2] Rates - Sheets 67.2-67.5'!$K$12:$T$16,2,FALSE)</f>
        <v>-1.357E-2</v>
      </c>
      <c r="Z11" s="41">
        <f>VLOOKUP(Z8,'[2] Rates - Sheets 67.2-67.5'!$K$12:$T$16,3,FALSE)</f>
        <v>2.7999999999999998E-4</v>
      </c>
      <c r="AA11" s="42">
        <f>Y11+Z11+Y14+Z14</f>
        <v>4.6790000000000005E-2</v>
      </c>
      <c r="AB11" s="43">
        <f>T$27+(U11*T$29)+(U11*T$32)+(U11*X11)</f>
        <v>175.29123999999999</v>
      </c>
      <c r="AC11" s="43">
        <f>T$27+(U11*T$29)+(U11*T$32)+(U11*AA11)</f>
        <v>182.59124</v>
      </c>
      <c r="AD11" s="43">
        <f>AC11-AB11</f>
        <v>7.3000000000000114</v>
      </c>
      <c r="AE11" s="44">
        <f t="shared" ref="AE11:AE22" si="1">(AC11/AB11)-1</f>
        <v>4.1644978950459821E-2</v>
      </c>
      <c r="AF11" s="21"/>
      <c r="AG11" s="21" t="s">
        <v>3</v>
      </c>
      <c r="AH11" s="39">
        <f>VLOOKUP($AG11,'[1]SEMO Feeder RES'!$A$7:$D$18,2,FALSE)</f>
        <v>27825</v>
      </c>
      <c r="AI11" s="39">
        <f>VLOOKUP($AG11,'[1]SEMO Feeder RES'!$A$7:$D$18,3,FALSE)</f>
        <v>123.53577039059967</v>
      </c>
      <c r="AJ11" s="39">
        <f>VLOOKUP($AG11,'[1]SEMO Feeder RES'!$A$7:$D$18,4,FALSE)</f>
        <v>3437383</v>
      </c>
      <c r="AK11" s="40">
        <f>ROUND(AI11,0)</f>
        <v>124</v>
      </c>
      <c r="AL11" s="41">
        <f>VLOOKUP(AM9,'[2] Rates - Sheets 67.2-67.5'!$K$12:$T$16,4,FALSE)</f>
        <v>-3.3E-3</v>
      </c>
      <c r="AM11" s="41">
        <f>VLOOKUP(AM9,'[2] Rates - Sheets 67.2-67.5'!$K$12:$T$16,5,FALSE)</f>
        <v>-4.0000000000000002E-4</v>
      </c>
      <c r="AN11" s="42">
        <f>AL11+AL14+AM11+AM14</f>
        <v>8.8900000000000021E-3</v>
      </c>
      <c r="AO11" s="41">
        <f>VLOOKUP(AP8,'[2] Rates - Sheets 67.2-67.5'!$K$12:$T$16,4,FALSE)</f>
        <v>-3.3E-3</v>
      </c>
      <c r="AP11" s="41">
        <f>VLOOKUP(AP8,'[2] Rates - Sheets 67.2-67.5'!$K$12:$T$16,5,FALSE)</f>
        <v>-4.0000000000000002E-4</v>
      </c>
      <c r="AQ11" s="42">
        <f>AO11+AP11+AO14+AP14</f>
        <v>4.4719999999999996E-2</v>
      </c>
      <c r="AR11" s="43">
        <f>AJ$27+(MIN(AK11,$AI$30)*AJ$30)+(MAX(0,AK11-AI$30)*AJ$31)+(AK11*AJ$32)+(AK11*AN11)</f>
        <v>125.96884</v>
      </c>
      <c r="AS11" s="43">
        <f>AJ$27+(MIN(AK11,AI$30)*AJ$30)+(MAX(0,AK11-AI$30)*AJ$31)+(AK11*AJ$32)+(AK11*AQ11)</f>
        <v>130.41175999999999</v>
      </c>
      <c r="AT11" s="43">
        <f>AS11-AR11</f>
        <v>4.4429199999999867</v>
      </c>
      <c r="AU11" s="44">
        <f t="shared" ref="AU11:AU24" si="2">(AS11/AR11)-1</f>
        <v>3.5269992166316655E-2</v>
      </c>
    </row>
    <row r="12" spans="1:50" x14ac:dyDescent="0.25">
      <c r="A12" t="s">
        <v>4</v>
      </c>
      <c r="B12" s="39">
        <f>VLOOKUP($A12,'[1]NEMO Feeder RES'!$A$7:$D$18,2,FALSE)</f>
        <v>16122.5</v>
      </c>
      <c r="C12" s="37">
        <f>VLOOKUP($A12,'[1]NEMO Feeder RES'!$A$7:$D$18,3,FALSE)</f>
        <v>132.44858938434794</v>
      </c>
      <c r="D12" s="3">
        <f>VLOOKUP($A12,'[1]NEMO Feeder RES'!$A$7:$D$18,4,FALSE)</f>
        <v>2135402</v>
      </c>
      <c r="E12" s="16">
        <f t="shared" ref="E12:E22" si="3">ROUND(C12,0)</f>
        <v>132</v>
      </c>
      <c r="F12" s="13">
        <f t="shared" ref="F12:K13" si="4">F11</f>
        <v>-1.357E-2</v>
      </c>
      <c r="G12" s="13">
        <f t="shared" ref="G12" si="5">G11</f>
        <v>2.7999999999999998E-4</v>
      </c>
      <c r="H12" s="10">
        <f>H11</f>
        <v>-3.2100000000000002E-3</v>
      </c>
      <c r="I12" s="13">
        <f t="shared" si="4"/>
        <v>-1.357E-2</v>
      </c>
      <c r="J12" s="13">
        <f t="shared" ref="J12" si="6">J11</f>
        <v>2.7999999999999998E-4</v>
      </c>
      <c r="K12" s="10">
        <f t="shared" si="4"/>
        <v>4.6790000000000005E-2</v>
      </c>
      <c r="L12" s="11">
        <f>D$27+(E12*D$29)+(E12*D$32)+(E12*H12)</f>
        <v>145.04248000000001</v>
      </c>
      <c r="M12" s="11">
        <f>D$27+(E12*D$29)+(E12*D$32)+(E12*K12)</f>
        <v>151.64248000000001</v>
      </c>
      <c r="N12" s="11">
        <f t="shared" ref="N12:N24" si="7">M12-L12</f>
        <v>6.5999999999999943</v>
      </c>
      <c r="O12" s="2">
        <f t="shared" si="0"/>
        <v>4.5503910302691963E-2</v>
      </c>
      <c r="Q12" s="14" t="s">
        <v>4</v>
      </c>
      <c r="R12" s="21">
        <f>VLOOKUP($Q12,'[1]WEMO Feeder RES'!$A$7:$D$18,2,FALSE)</f>
        <v>3337</v>
      </c>
      <c r="S12" s="25">
        <f>VLOOKUP($Q12,'[1]WEMO Feeder RES'!$A$7:$D$18,3,FALSE)</f>
        <v>123.07577892458774</v>
      </c>
      <c r="T12" s="3">
        <f>VLOOKUP($Q12,'[1]WEMO Feeder RES'!$A$7:$D$18,4,FALSE)</f>
        <v>410704</v>
      </c>
      <c r="U12" s="16">
        <f t="shared" ref="U12:U22" si="8">ROUND(S12,0)</f>
        <v>123</v>
      </c>
      <c r="V12" s="13">
        <f t="shared" ref="V12:W12" si="9">V11</f>
        <v>-1.357E-2</v>
      </c>
      <c r="W12" s="13">
        <f t="shared" si="9"/>
        <v>2.7999999999999998E-4</v>
      </c>
      <c r="X12" s="10">
        <f>X11</f>
        <v>-3.2100000000000002E-3</v>
      </c>
      <c r="Y12" s="13">
        <f t="shared" ref="Y12:AA13" si="10">Y11</f>
        <v>-1.357E-2</v>
      </c>
      <c r="Z12" s="13">
        <f t="shared" si="10"/>
        <v>2.7999999999999998E-4</v>
      </c>
      <c r="AA12" s="10">
        <f t="shared" si="10"/>
        <v>4.6790000000000005E-2</v>
      </c>
      <c r="AB12" s="11">
        <f>T$27+(U12*T$29)+(U12*T$32)+(U12*X12)</f>
        <v>151.14261999999999</v>
      </c>
      <c r="AC12" s="11">
        <f>T$27+(U12*T$29)+(U12*T$32)+(U12*AA12)</f>
        <v>157.29262</v>
      </c>
      <c r="AD12" s="11">
        <f t="shared" ref="AD12:AD24" si="11">AC12-AB12</f>
        <v>6.1500000000000057</v>
      </c>
      <c r="AE12" s="2">
        <f t="shared" si="1"/>
        <v>4.069004493901196E-2</v>
      </c>
      <c r="AG12" s="14" t="s">
        <v>4</v>
      </c>
      <c r="AH12" s="3">
        <f>VLOOKUP($AG12,'[1]SEMO Feeder RES'!$A$7:$D$18,2,FALSE)</f>
        <v>27806.5</v>
      </c>
      <c r="AI12" s="3">
        <f>VLOOKUP($AG12,'[1]SEMO Feeder RES'!$A$7:$D$18,3,FALSE)</f>
        <v>103.75418913357871</v>
      </c>
      <c r="AJ12" s="3">
        <f>VLOOKUP($AG12,'[1]SEMO Feeder RES'!$A$7:$D$18,4,FALSE)</f>
        <v>2885041</v>
      </c>
      <c r="AK12" s="16">
        <f t="shared" ref="AK12:AK22" si="12">ROUND(AI12,0)</f>
        <v>104</v>
      </c>
      <c r="AL12" s="13">
        <f t="shared" ref="AL12:AM12" si="13">AL11</f>
        <v>-3.3E-3</v>
      </c>
      <c r="AM12" s="13">
        <f t="shared" si="13"/>
        <v>-4.0000000000000002E-4</v>
      </c>
      <c r="AN12" s="10">
        <f>AN11</f>
        <v>8.8900000000000021E-3</v>
      </c>
      <c r="AO12" s="13">
        <f t="shared" ref="AO12:AQ13" si="14">AO11</f>
        <v>-3.3E-3</v>
      </c>
      <c r="AP12" s="13">
        <f t="shared" si="14"/>
        <v>-4.0000000000000002E-4</v>
      </c>
      <c r="AQ12" s="10">
        <f t="shared" si="14"/>
        <v>4.4719999999999996E-2</v>
      </c>
      <c r="AR12" s="11">
        <f t="shared" ref="AR12:AR22" si="15">AJ$27+(MIN(AK12,$AI$30)*AJ$30)+(MAX(0,AK12-AI$30)*AJ$31)+(AK12*AJ$32)+(AK12*AN12)</f>
        <v>108.07063999999998</v>
      </c>
      <c r="AS12" s="11">
        <f t="shared" ref="AS12:AS22" si="16">AJ$27+(MIN(AK12,AI$30)*AJ$30)+(MAX(0,AK12-AI$30)*AJ$31)+(AK12*AJ$32)+(AK12*AQ12)</f>
        <v>111.79695999999998</v>
      </c>
      <c r="AT12" s="11">
        <f t="shared" ref="AT12:AT24" si="17">AS12-AR12</f>
        <v>3.7263200000000012</v>
      </c>
      <c r="AU12" s="2">
        <f t="shared" si="2"/>
        <v>3.4480410220574242E-2</v>
      </c>
    </row>
    <row r="13" spans="1:50" x14ac:dyDescent="0.25">
      <c r="A13" t="s">
        <v>5</v>
      </c>
      <c r="B13" s="39">
        <f>VLOOKUP($A13,'[1]NEMO Feeder RES'!$A$7:$D$18,2,FALSE)</f>
        <v>16111.5</v>
      </c>
      <c r="C13" s="37">
        <f>VLOOKUP($A13,'[1]NEMO Feeder RES'!$A$7:$D$18,3,FALSE)</f>
        <v>99.776060000924161</v>
      </c>
      <c r="D13" s="3">
        <f>VLOOKUP($A13,'[1]NEMO Feeder RES'!$A$7:$D$18,4,FALSE)</f>
        <v>1607542</v>
      </c>
      <c r="E13" s="16">
        <f t="shared" si="3"/>
        <v>100</v>
      </c>
      <c r="F13" s="13">
        <f t="shared" si="4"/>
        <v>-1.357E-2</v>
      </c>
      <c r="G13" s="13">
        <f t="shared" ref="G13:H13" si="18">G12</f>
        <v>2.7999999999999998E-4</v>
      </c>
      <c r="H13" s="10">
        <f t="shared" si="18"/>
        <v>-3.2100000000000002E-3</v>
      </c>
      <c r="I13" s="13">
        <f t="shared" si="4"/>
        <v>-1.357E-2</v>
      </c>
      <c r="J13" s="13">
        <f t="shared" ref="J13" si="19">J12</f>
        <v>2.7999999999999998E-4</v>
      </c>
      <c r="K13" s="10">
        <f t="shared" si="4"/>
        <v>4.6790000000000005E-2</v>
      </c>
      <c r="L13" s="11">
        <f>D$27+(E13*D$29)+(E13*D$32)+(E13*H13)</f>
        <v>115.214</v>
      </c>
      <c r="M13" s="11">
        <f>D$27+(E13*D$29)+(E13*D$32)+(E13*K13)</f>
        <v>120.214</v>
      </c>
      <c r="N13" s="11">
        <f t="shared" si="7"/>
        <v>5</v>
      </c>
      <c r="O13" s="2">
        <f t="shared" si="0"/>
        <v>4.3397503775582935E-2</v>
      </c>
      <c r="Q13" s="14" t="s">
        <v>5</v>
      </c>
      <c r="R13" s="21">
        <f>VLOOKUP($Q13,'[1]WEMO Feeder RES'!$A$7:$D$18,2,FALSE)</f>
        <v>3342</v>
      </c>
      <c r="S13" s="25">
        <f>VLOOKUP($Q13,'[1]WEMO Feeder RES'!$A$7:$D$18,3,FALSE)</f>
        <v>97.327798032602601</v>
      </c>
      <c r="T13" s="3">
        <f>VLOOKUP($Q13,'[1]WEMO Feeder RES'!$A$7:$D$18,4,FALSE)</f>
        <v>325270</v>
      </c>
      <c r="U13" s="16">
        <f t="shared" si="8"/>
        <v>97</v>
      </c>
      <c r="V13" s="13">
        <f t="shared" ref="V13:Z22" si="20">V12</f>
        <v>-1.357E-2</v>
      </c>
      <c r="W13" s="13">
        <f t="shared" si="20"/>
        <v>2.7999999999999998E-4</v>
      </c>
      <c r="X13" s="10">
        <f t="shared" si="20"/>
        <v>-3.2100000000000002E-3</v>
      </c>
      <c r="Y13" s="13">
        <f t="shared" si="20"/>
        <v>-1.357E-2</v>
      </c>
      <c r="Z13" s="13">
        <f t="shared" si="10"/>
        <v>2.7999999999999998E-4</v>
      </c>
      <c r="AA13" s="10">
        <f t="shared" si="10"/>
        <v>4.6790000000000005E-2</v>
      </c>
      <c r="AB13" s="11">
        <f>T$27+(U13*T$29)+(U13*T$32)+(U13*X13)</f>
        <v>123.84418000000001</v>
      </c>
      <c r="AC13" s="11">
        <f>T$27+(U13*T$29)+(U13*T$32)+(U13*AA13)</f>
        <v>128.69418000000002</v>
      </c>
      <c r="AD13" s="11">
        <f t="shared" si="11"/>
        <v>4.8500000000000085</v>
      </c>
      <c r="AE13" s="2">
        <f t="shared" si="1"/>
        <v>3.9162114844637941E-2</v>
      </c>
      <c r="AG13" s="14" t="s">
        <v>5</v>
      </c>
      <c r="AH13" s="3">
        <f>VLOOKUP($AG13,'[1]SEMO Feeder RES'!$A$7:$D$18,2,FALSE)</f>
        <v>27812</v>
      </c>
      <c r="AI13" s="3">
        <f>VLOOKUP($AG13,'[1]SEMO Feeder RES'!$A$7:$D$18,3,FALSE)</f>
        <v>81.561842735614221</v>
      </c>
      <c r="AJ13" s="3">
        <f>VLOOKUP($AG13,'[1]SEMO Feeder RES'!$A$7:$D$18,4,FALSE)</f>
        <v>2268398</v>
      </c>
      <c r="AK13" s="16">
        <f t="shared" si="12"/>
        <v>82</v>
      </c>
      <c r="AL13" s="13">
        <f t="shared" ref="AL13:AP22" si="21">AL12</f>
        <v>-3.3E-3</v>
      </c>
      <c r="AM13" s="13">
        <f t="shared" si="21"/>
        <v>-4.0000000000000002E-4</v>
      </c>
      <c r="AN13" s="10">
        <f t="shared" si="21"/>
        <v>8.8900000000000021E-3</v>
      </c>
      <c r="AO13" s="13">
        <f t="shared" si="21"/>
        <v>-3.3E-3</v>
      </c>
      <c r="AP13" s="13">
        <f t="shared" si="14"/>
        <v>-4.0000000000000002E-4</v>
      </c>
      <c r="AQ13" s="10">
        <f t="shared" si="14"/>
        <v>4.4719999999999996E-2</v>
      </c>
      <c r="AR13" s="11">
        <f t="shared" si="15"/>
        <v>88.382620000000003</v>
      </c>
      <c r="AS13" s="11">
        <f t="shared" si="16"/>
        <v>91.320679999999996</v>
      </c>
      <c r="AT13" s="11">
        <f t="shared" si="17"/>
        <v>2.938059999999993</v>
      </c>
      <c r="AU13" s="2">
        <f t="shared" si="2"/>
        <v>3.3242508538443349E-2</v>
      </c>
    </row>
    <row r="14" spans="1:50" x14ac:dyDescent="0.25">
      <c r="A14" t="s">
        <v>6</v>
      </c>
      <c r="B14" s="39">
        <f>VLOOKUP($A14,'[1]NEMO Feeder RES'!$A$7:$D$18,2,FALSE)</f>
        <v>16009.5</v>
      </c>
      <c r="C14" s="37">
        <f>VLOOKUP($A14,'[1]NEMO Feeder RES'!$A$7:$D$18,3,FALSE)</f>
        <v>69.806960684754756</v>
      </c>
      <c r="D14" s="3">
        <f>VLOOKUP($A14,'[1]NEMO Feeder RES'!$A$7:$D$18,4,FALSE)</f>
        <v>1117575</v>
      </c>
      <c r="E14" s="16">
        <f t="shared" si="3"/>
        <v>70</v>
      </c>
      <c r="F14" s="19">
        <f>VLOOKUP(G8,'[2] Rates - Sheets 67.2-67.5'!$K$12:$T$16,2,FALSE)</f>
        <v>1.208E-2</v>
      </c>
      <c r="G14" s="19">
        <f>VLOOKUP(G8,'[2] Rates - Sheets 67.2-67.5'!$K$12:$T$16,3,FALSE)</f>
        <v>-2E-3</v>
      </c>
      <c r="H14" s="10">
        <f t="shared" ref="H14:H22" si="22">H13</f>
        <v>-3.2100000000000002E-3</v>
      </c>
      <c r="I14" s="19">
        <f>VLOOKUP(J9,'[2] Rates - Sheets 67.2-67.5'!$K$12:$T$16,2,FALSE)</f>
        <v>5.7300000000000004E-2</v>
      </c>
      <c r="J14" s="19">
        <f>VLOOKUP(J9,'[2] Rates - Sheets 67.2-67.5'!$K$12:$T$16,3,FALSE)</f>
        <v>2.7799999999999999E-3</v>
      </c>
      <c r="K14" s="9">
        <f>K13</f>
        <v>4.6790000000000005E-2</v>
      </c>
      <c r="L14" s="11">
        <f t="shared" ref="L14:L19" si="23">D$27+(MIN(E14,$AI$30)*D$30)+(MAX(0,E14-C$30)*D$31)+(E14*D$32)+(E14*H14)</f>
        <v>80.759400000000014</v>
      </c>
      <c r="M14" s="11">
        <f t="shared" ref="M14:M19" si="24">D$27+(MIN(E14,C$30)*D$30)+(MAX(0,E14-C$30)*D$31)+(E14*D$32)+(E14*K14)</f>
        <v>84.259400000000014</v>
      </c>
      <c r="N14" s="11">
        <f t="shared" si="7"/>
        <v>3.5</v>
      </c>
      <c r="O14" s="2">
        <f t="shared" si="0"/>
        <v>4.3338608261081601E-2</v>
      </c>
      <c r="Q14" s="14" t="s">
        <v>6</v>
      </c>
      <c r="R14" s="21">
        <f>VLOOKUP($Q14,'[1]WEMO Feeder RES'!$A$7:$D$18,2,FALSE)</f>
        <v>3327</v>
      </c>
      <c r="S14" s="25">
        <f>VLOOKUP($Q14,'[1]WEMO Feeder RES'!$A$7:$D$18,3,FALSE)</f>
        <v>58.856915890609116</v>
      </c>
      <c r="T14" s="3">
        <f>VLOOKUP($Q14,'[1]WEMO Feeder RES'!$A$7:$D$18,4,FALSE)</f>
        <v>195817</v>
      </c>
      <c r="U14" s="16">
        <f t="shared" si="8"/>
        <v>59</v>
      </c>
      <c r="V14" s="19">
        <f>VLOOKUP(W8,'[2] Rates - Sheets 67.2-67.5'!$K$12:$T$16,2,FALSE)</f>
        <v>1.208E-2</v>
      </c>
      <c r="W14" s="19">
        <f>VLOOKUP(W8,'[2] Rates - Sheets 67.2-67.5'!$K$12:$T$16,3,FALSE)</f>
        <v>-2E-3</v>
      </c>
      <c r="X14" s="10">
        <f t="shared" si="20"/>
        <v>-3.2100000000000002E-3</v>
      </c>
      <c r="Y14" s="19">
        <f>VLOOKUP(Z9,'[2] Rates - Sheets 67.2-67.5'!$K$12:$T$16,2,FALSE)</f>
        <v>5.7300000000000004E-2</v>
      </c>
      <c r="Z14" s="19">
        <f>VLOOKUP(Z9,'[2] Rates - Sheets 67.2-67.5'!$K$12:$T$16,3,FALSE)</f>
        <v>2.7799999999999999E-3</v>
      </c>
      <c r="AA14" s="9">
        <f>AA13</f>
        <v>4.6790000000000005E-2</v>
      </c>
      <c r="AB14" s="11">
        <f t="shared" ref="AB14:AB19" si="25">T$27+(MIN(U14,$AI$30)*T$30)+(MAX(0,U14-S$30)*T$31)+(U14*T$32)+(U14*X14)</f>
        <v>78.475979999999993</v>
      </c>
      <c r="AC14" s="11">
        <f t="shared" ref="AC14:AC19" si="26">T$27+(MIN(U14,S$30)*T$30)+(MAX(0,U14-S$30)*T$31)+(U14*T$32)+(U14*AA14)</f>
        <v>81.425979999999996</v>
      </c>
      <c r="AD14" s="11">
        <f t="shared" si="11"/>
        <v>2.9500000000000028</v>
      </c>
      <c r="AE14" s="2">
        <f t="shared" si="1"/>
        <v>3.7591120238320119E-2</v>
      </c>
      <c r="AG14" s="14" t="s">
        <v>6</v>
      </c>
      <c r="AH14" s="3">
        <f>VLOOKUP($AG14,'[1]SEMO Feeder RES'!$A$7:$D$18,2,FALSE)</f>
        <v>27728</v>
      </c>
      <c r="AI14" s="3">
        <f>VLOOKUP($AG14,'[1]SEMO Feeder RES'!$A$7:$D$18,3,FALSE)</f>
        <v>49.212342090221661</v>
      </c>
      <c r="AJ14" s="3">
        <f>VLOOKUP($AG14,'[1]SEMO Feeder RES'!$A$7:$D$18,4,FALSE)</f>
        <v>1364560</v>
      </c>
      <c r="AK14" s="16">
        <f t="shared" si="12"/>
        <v>49</v>
      </c>
      <c r="AL14" s="19">
        <f>VLOOKUP(AM8,'[2] Rates - Sheets 67.2-67.5'!$K$12:$T$16,4,FALSE)</f>
        <v>1.265E-2</v>
      </c>
      <c r="AM14" s="19">
        <f>VLOOKUP(AM8,'[2] Rates - Sheets 67.2-67.5'!$K$12:$T$16,5,FALSE)</f>
        <v>-6.0000000000000002E-5</v>
      </c>
      <c r="AN14" s="10">
        <f t="shared" si="21"/>
        <v>8.8900000000000021E-3</v>
      </c>
      <c r="AO14" s="19">
        <f>VLOOKUP(AP9,'[2] Rates - Sheets 67.2-67.5'!$K$12:$T$16,4,FALSE)</f>
        <v>4.743E-2</v>
      </c>
      <c r="AP14" s="19">
        <f>VLOOKUP(AP9,'[2] Rates - Sheets 67.2-67.5'!$K$12:$T$16,5,FALSE)</f>
        <v>9.8999999999999999E-4</v>
      </c>
      <c r="AQ14" s="9">
        <f>AQ13</f>
        <v>4.4719999999999996E-2</v>
      </c>
      <c r="AR14" s="11">
        <f t="shared" si="15"/>
        <v>58.850589999999997</v>
      </c>
      <c r="AS14" s="11">
        <f t="shared" si="16"/>
        <v>60.606259999999999</v>
      </c>
      <c r="AT14" s="11">
        <f t="shared" si="17"/>
        <v>1.7556700000000021</v>
      </c>
      <c r="AU14" s="2">
        <f t="shared" si="2"/>
        <v>2.9832666078623893E-2</v>
      </c>
    </row>
    <row r="15" spans="1:50" x14ac:dyDescent="0.25">
      <c r="A15" t="s">
        <v>7</v>
      </c>
      <c r="B15" s="39">
        <f>VLOOKUP($A15,'[1]NEMO Feeder RES'!$A$7:$D$18,2,FALSE)</f>
        <v>15839</v>
      </c>
      <c r="C15" s="37">
        <f>VLOOKUP($A15,'[1]NEMO Feeder RES'!$A$7:$D$18,3,FALSE)</f>
        <v>32.355106661544902</v>
      </c>
      <c r="D15" s="3">
        <f>VLOOKUP($A15,'[1]NEMO Feeder RES'!$A$7:$D$18,4,FALSE)</f>
        <v>512473</v>
      </c>
      <c r="E15" s="16">
        <f t="shared" si="3"/>
        <v>32</v>
      </c>
      <c r="F15" s="12">
        <f>F14</f>
        <v>1.208E-2</v>
      </c>
      <c r="G15" s="12">
        <f>G14</f>
        <v>-2E-3</v>
      </c>
      <c r="H15" s="10">
        <f t="shared" si="22"/>
        <v>-3.2100000000000002E-3</v>
      </c>
      <c r="I15" s="12">
        <f>I14</f>
        <v>5.7300000000000004E-2</v>
      </c>
      <c r="J15" s="12">
        <f>J14</f>
        <v>2.7799999999999999E-3</v>
      </c>
      <c r="K15" s="9">
        <f t="shared" ref="K15:K22" si="27">K14</f>
        <v>4.6790000000000005E-2</v>
      </c>
      <c r="L15" s="11">
        <f t="shared" si="23"/>
        <v>48.861440000000002</v>
      </c>
      <c r="M15" s="11">
        <f t="shared" si="24"/>
        <v>50.461440000000003</v>
      </c>
      <c r="N15" s="11">
        <f t="shared" si="7"/>
        <v>1.6000000000000014</v>
      </c>
      <c r="O15" s="2">
        <f t="shared" si="0"/>
        <v>3.2745657925759009E-2</v>
      </c>
      <c r="Q15" s="14" t="s">
        <v>7</v>
      </c>
      <c r="R15" s="21">
        <f>VLOOKUP($Q15,'[1]WEMO Feeder RES'!$A$7:$D$18,2,FALSE)</f>
        <v>3295.5</v>
      </c>
      <c r="S15" s="25">
        <f>VLOOKUP($Q15,'[1]WEMO Feeder RES'!$A$7:$D$18,3,FALSE)</f>
        <v>31.828622799896465</v>
      </c>
      <c r="T15" s="3">
        <f>VLOOKUP($Q15,'[1]WEMO Feeder RES'!$A$7:$D$18,4,FALSE)</f>
        <v>104891</v>
      </c>
      <c r="U15" s="16">
        <f t="shared" si="8"/>
        <v>32</v>
      </c>
      <c r="V15" s="12">
        <f>V14</f>
        <v>1.208E-2</v>
      </c>
      <c r="W15" s="12">
        <f>W14</f>
        <v>-2E-3</v>
      </c>
      <c r="X15" s="10">
        <f t="shared" si="20"/>
        <v>-3.2100000000000002E-3</v>
      </c>
      <c r="Y15" s="12">
        <f>Y14</f>
        <v>5.7300000000000004E-2</v>
      </c>
      <c r="Z15" s="12">
        <f>Z14</f>
        <v>2.7799999999999999E-3</v>
      </c>
      <c r="AA15" s="9">
        <f t="shared" ref="AA15:AA22" si="28">AA14</f>
        <v>4.6790000000000005E-2</v>
      </c>
      <c r="AB15" s="11">
        <f t="shared" si="25"/>
        <v>52.631040000000006</v>
      </c>
      <c r="AC15" s="11">
        <f t="shared" si="26"/>
        <v>54.231040000000007</v>
      </c>
      <c r="AD15" s="11">
        <f t="shared" si="11"/>
        <v>1.6000000000000014</v>
      </c>
      <c r="AE15" s="2">
        <f t="shared" si="1"/>
        <v>3.0400311299187743E-2</v>
      </c>
      <c r="AG15" s="14" t="s">
        <v>7</v>
      </c>
      <c r="AH15" s="3">
        <f>VLOOKUP($AG15,'[1]SEMO Feeder RES'!$A$7:$D$18,2,FALSE)</f>
        <v>27540.5</v>
      </c>
      <c r="AI15" s="3">
        <f>VLOOKUP($AG15,'[1]SEMO Feeder RES'!$A$7:$D$18,3,FALSE)</f>
        <v>25.099574557571497</v>
      </c>
      <c r="AJ15" s="3">
        <f>VLOOKUP($AG15,'[1]SEMO Feeder RES'!$A$7:$D$18,4,FALSE)</f>
        <v>691255</v>
      </c>
      <c r="AK15" s="16">
        <f t="shared" si="12"/>
        <v>25</v>
      </c>
      <c r="AL15" s="12">
        <f>AL14</f>
        <v>1.265E-2</v>
      </c>
      <c r="AM15" s="12">
        <f>AM14</f>
        <v>-6.0000000000000002E-5</v>
      </c>
      <c r="AN15" s="10">
        <f t="shared" si="21"/>
        <v>8.8900000000000021E-3</v>
      </c>
      <c r="AO15" s="12">
        <f>AO14</f>
        <v>4.743E-2</v>
      </c>
      <c r="AP15" s="12">
        <f>AP14</f>
        <v>9.8999999999999999E-4</v>
      </c>
      <c r="AQ15" s="9">
        <f t="shared" ref="AQ15:AQ22" si="29">AQ14</f>
        <v>4.4719999999999996E-2</v>
      </c>
      <c r="AR15" s="11">
        <f t="shared" si="15"/>
        <v>37.372750000000003</v>
      </c>
      <c r="AS15" s="11">
        <f t="shared" si="16"/>
        <v>38.268500000000003</v>
      </c>
      <c r="AT15" s="11">
        <f t="shared" si="17"/>
        <v>0.8957499999999996</v>
      </c>
      <c r="AU15" s="2">
        <f t="shared" si="2"/>
        <v>2.3967998073462615E-2</v>
      </c>
    </row>
    <row r="16" spans="1:50" x14ac:dyDescent="0.25">
      <c r="A16" t="s">
        <v>38</v>
      </c>
      <c r="B16" s="39">
        <f>VLOOKUP($A16,'[1]NEMO Feeder RES'!$A$7:$D$18,2,FALSE)</f>
        <v>15421</v>
      </c>
      <c r="C16" s="37">
        <f>VLOOKUP($A16,'[1]NEMO Feeder RES'!$A$7:$D$18,3,FALSE)</f>
        <v>12.085795560709176</v>
      </c>
      <c r="D16" s="3">
        <f>VLOOKUP($A16,'[1]NEMO Feeder RES'!$A$7:$D$18,4,FALSE)</f>
        <v>186375</v>
      </c>
      <c r="E16" s="16">
        <f t="shared" si="3"/>
        <v>12</v>
      </c>
      <c r="F16" s="12">
        <f t="shared" ref="F16:G19" si="30">F15</f>
        <v>1.208E-2</v>
      </c>
      <c r="G16" s="12">
        <f t="shared" si="30"/>
        <v>-2E-3</v>
      </c>
      <c r="H16" s="10">
        <f t="shared" si="22"/>
        <v>-3.2100000000000002E-3</v>
      </c>
      <c r="I16" s="12">
        <f t="shared" ref="I16:J19" si="31">I15</f>
        <v>5.7300000000000004E-2</v>
      </c>
      <c r="J16" s="12">
        <f t="shared" si="31"/>
        <v>2.7799999999999999E-3</v>
      </c>
      <c r="K16" s="9">
        <f t="shared" si="27"/>
        <v>4.6790000000000005E-2</v>
      </c>
      <c r="L16" s="11">
        <f t="shared" si="23"/>
        <v>32.073040000000006</v>
      </c>
      <c r="M16" s="11">
        <f t="shared" si="24"/>
        <v>32.673040000000007</v>
      </c>
      <c r="N16" s="11">
        <f t="shared" si="7"/>
        <v>0.60000000000000142</v>
      </c>
      <c r="O16" s="2">
        <f t="shared" si="0"/>
        <v>1.8707300586411568E-2</v>
      </c>
      <c r="Q16" s="14" t="s">
        <v>38</v>
      </c>
      <c r="R16" s="21">
        <f>VLOOKUP($Q16,'[1]WEMO Feeder RES'!$A$7:$D$18,2,FALSE)</f>
        <v>3249.5</v>
      </c>
      <c r="S16" s="25">
        <f>VLOOKUP($Q16,'[1]WEMO Feeder RES'!$A$7:$D$18,3,FALSE)</f>
        <v>11.156511148638026</v>
      </c>
      <c r="T16" s="3">
        <f>VLOOKUP($Q16,'[1]WEMO Feeder RES'!$A$7:$D$18,4,FALSE)</f>
        <v>36253</v>
      </c>
      <c r="U16" s="16">
        <f t="shared" si="8"/>
        <v>11</v>
      </c>
      <c r="V16" s="12">
        <f t="shared" ref="V16:W16" si="32">V15</f>
        <v>1.208E-2</v>
      </c>
      <c r="W16" s="12">
        <f t="shared" si="32"/>
        <v>-2E-3</v>
      </c>
      <c r="X16" s="10">
        <f t="shared" si="20"/>
        <v>-3.2100000000000002E-3</v>
      </c>
      <c r="Y16" s="12">
        <f t="shared" si="20"/>
        <v>5.7300000000000004E-2</v>
      </c>
      <c r="Z16" s="12">
        <f t="shared" si="20"/>
        <v>2.7799999999999999E-3</v>
      </c>
      <c r="AA16" s="9">
        <f t="shared" si="28"/>
        <v>4.6790000000000005E-2</v>
      </c>
      <c r="AB16" s="11">
        <f t="shared" si="25"/>
        <v>32.529420000000002</v>
      </c>
      <c r="AC16" s="11">
        <f t="shared" si="26"/>
        <v>33.079420000000006</v>
      </c>
      <c r="AD16" s="11">
        <f t="shared" si="11"/>
        <v>0.55000000000000426</v>
      </c>
      <c r="AE16" s="2">
        <f t="shared" si="1"/>
        <v>1.6907771488086976E-2</v>
      </c>
      <c r="AG16" s="14" t="s">
        <v>38</v>
      </c>
      <c r="AH16" s="3">
        <f>VLOOKUP($AG16,'[1]SEMO Feeder RES'!$A$7:$D$18,2,FALSE)</f>
        <v>27306.5</v>
      </c>
      <c r="AI16" s="3">
        <f>VLOOKUP($AG16,'[1]SEMO Feeder RES'!$A$7:$D$18,3,FALSE)</f>
        <v>12.701835355285022</v>
      </c>
      <c r="AJ16" s="3">
        <f>VLOOKUP($AG16,'[1]SEMO Feeder RES'!$A$7:$D$18,4,FALSE)</f>
        <v>346843</v>
      </c>
      <c r="AK16" s="16">
        <f t="shared" si="12"/>
        <v>13</v>
      </c>
      <c r="AL16" s="12">
        <f t="shared" ref="AL16:AM16" si="33">AL15</f>
        <v>1.265E-2</v>
      </c>
      <c r="AM16" s="12">
        <f t="shared" si="33"/>
        <v>-6.0000000000000002E-5</v>
      </c>
      <c r="AN16" s="10">
        <f t="shared" si="21"/>
        <v>8.8900000000000021E-3</v>
      </c>
      <c r="AO16" s="12">
        <f t="shared" si="21"/>
        <v>4.743E-2</v>
      </c>
      <c r="AP16" s="12">
        <f t="shared" si="21"/>
        <v>9.8999999999999999E-4</v>
      </c>
      <c r="AQ16" s="9">
        <f t="shared" si="29"/>
        <v>4.4719999999999996E-2</v>
      </c>
      <c r="AR16" s="11">
        <f t="shared" si="15"/>
        <v>26.63383</v>
      </c>
      <c r="AS16" s="11">
        <f t="shared" si="16"/>
        <v>27.099619999999998</v>
      </c>
      <c r="AT16" s="11">
        <f t="shared" si="17"/>
        <v>0.46578999999999837</v>
      </c>
      <c r="AU16" s="2">
        <f t="shared" si="2"/>
        <v>1.7488660098829101E-2</v>
      </c>
    </row>
    <row r="17" spans="1:47" x14ac:dyDescent="0.25">
      <c r="A17" t="s">
        <v>39</v>
      </c>
      <c r="B17" s="39">
        <f>VLOOKUP($A17,'[1]NEMO Feeder RES'!$A$7:$D$18,2,FALSE)</f>
        <v>15196</v>
      </c>
      <c r="C17" s="37">
        <f>VLOOKUP($A17,'[1]NEMO Feeder RES'!$A$7:$D$18,3,FALSE)</f>
        <v>10.085103223055476</v>
      </c>
      <c r="D17" s="3">
        <f>VLOOKUP($A17,'[1]NEMO Feeder RES'!$A$7:$D$18,4,FALSE)</f>
        <v>153253</v>
      </c>
      <c r="E17" s="16">
        <f t="shared" si="3"/>
        <v>10</v>
      </c>
      <c r="F17" s="12">
        <f t="shared" si="30"/>
        <v>1.208E-2</v>
      </c>
      <c r="G17" s="12">
        <f t="shared" si="30"/>
        <v>-2E-3</v>
      </c>
      <c r="H17" s="10">
        <f t="shared" si="22"/>
        <v>-3.2100000000000002E-3</v>
      </c>
      <c r="I17" s="12">
        <f t="shared" si="31"/>
        <v>5.7300000000000004E-2</v>
      </c>
      <c r="J17" s="12">
        <f t="shared" si="31"/>
        <v>2.7799999999999999E-3</v>
      </c>
      <c r="K17" s="9">
        <f t="shared" si="27"/>
        <v>4.6790000000000005E-2</v>
      </c>
      <c r="L17" s="11">
        <f t="shared" si="23"/>
        <v>30.394199999999998</v>
      </c>
      <c r="M17" s="11">
        <f t="shared" si="24"/>
        <v>30.894199999999998</v>
      </c>
      <c r="N17" s="11">
        <f t="shared" si="7"/>
        <v>0.5</v>
      </c>
      <c r="O17" s="2">
        <f t="shared" si="0"/>
        <v>1.6450507004625914E-2</v>
      </c>
      <c r="Q17" s="14" t="s">
        <v>39</v>
      </c>
      <c r="R17" s="21">
        <f>VLOOKUP($Q17,'[1]WEMO Feeder RES'!$A$7:$D$18,2,FALSE)</f>
        <v>3236</v>
      </c>
      <c r="S17" s="25">
        <f>VLOOKUP($Q17,'[1]WEMO Feeder RES'!$A$7:$D$18,3,FALSE)</f>
        <v>9.4999070442247078</v>
      </c>
      <c r="T17" s="3">
        <f>VLOOKUP($Q17,'[1]WEMO Feeder RES'!$A$7:$D$18,4,FALSE)</f>
        <v>30742</v>
      </c>
      <c r="U17" s="16">
        <f t="shared" si="8"/>
        <v>9</v>
      </c>
      <c r="V17" s="12">
        <f t="shared" ref="V17:W17" si="34">V16</f>
        <v>1.208E-2</v>
      </c>
      <c r="W17" s="12">
        <f t="shared" si="34"/>
        <v>-2E-3</v>
      </c>
      <c r="X17" s="10">
        <f t="shared" si="20"/>
        <v>-3.2100000000000002E-3</v>
      </c>
      <c r="Y17" s="12">
        <f t="shared" si="20"/>
        <v>5.7300000000000004E-2</v>
      </c>
      <c r="Z17" s="12">
        <f t="shared" si="20"/>
        <v>2.7799999999999999E-3</v>
      </c>
      <c r="AA17" s="9">
        <f t="shared" si="28"/>
        <v>4.6790000000000005E-2</v>
      </c>
      <c r="AB17" s="11">
        <f t="shared" si="25"/>
        <v>30.614979999999999</v>
      </c>
      <c r="AC17" s="11">
        <f t="shared" si="26"/>
        <v>31.064979999999998</v>
      </c>
      <c r="AD17" s="11">
        <f t="shared" si="11"/>
        <v>0.44999999999999929</v>
      </c>
      <c r="AE17" s="2">
        <f t="shared" si="1"/>
        <v>1.4698686721337006E-2</v>
      </c>
      <c r="AG17" s="14" t="s">
        <v>39</v>
      </c>
      <c r="AH17" s="3">
        <f>VLOOKUP($AG17,'[1]SEMO Feeder RES'!$A$7:$D$18,2,FALSE)</f>
        <v>27084</v>
      </c>
      <c r="AI17" s="3">
        <f>VLOOKUP($AG17,'[1]SEMO Feeder RES'!$A$7:$D$18,3,FALSE)</f>
        <v>9.9085056933269637</v>
      </c>
      <c r="AJ17" s="3">
        <f>VLOOKUP($AG17,'[1]SEMO Feeder RES'!$A$7:$D$18,4,FALSE)</f>
        <v>268362</v>
      </c>
      <c r="AK17" s="16">
        <f t="shared" si="12"/>
        <v>10</v>
      </c>
      <c r="AL17" s="12">
        <f t="shared" ref="AL17:AM17" si="35">AL16</f>
        <v>1.265E-2</v>
      </c>
      <c r="AM17" s="12">
        <f t="shared" si="35"/>
        <v>-6.0000000000000002E-5</v>
      </c>
      <c r="AN17" s="10">
        <f t="shared" si="21"/>
        <v>8.8900000000000021E-3</v>
      </c>
      <c r="AO17" s="12">
        <f t="shared" si="21"/>
        <v>4.743E-2</v>
      </c>
      <c r="AP17" s="12">
        <f t="shared" si="21"/>
        <v>9.8999999999999999E-4</v>
      </c>
      <c r="AQ17" s="9">
        <f t="shared" si="29"/>
        <v>4.4719999999999996E-2</v>
      </c>
      <c r="AR17" s="11">
        <f t="shared" si="15"/>
        <v>23.949099999999998</v>
      </c>
      <c r="AS17" s="11">
        <f t="shared" si="16"/>
        <v>24.307399999999998</v>
      </c>
      <c r="AT17" s="11">
        <f t="shared" si="17"/>
        <v>0.35829999999999984</v>
      </c>
      <c r="AU17" s="2">
        <f t="shared" si="2"/>
        <v>1.4960896234096577E-2</v>
      </c>
    </row>
    <row r="18" spans="1:47" x14ac:dyDescent="0.25">
      <c r="A18" t="s">
        <v>8</v>
      </c>
      <c r="B18" s="39">
        <f>VLOOKUP($A18,'[1]NEMO Feeder RES'!$A$7:$D$18,2,FALSE)</f>
        <v>15151</v>
      </c>
      <c r="C18" s="37">
        <f>VLOOKUP($A18,'[1]NEMO Feeder RES'!$A$7:$D$18,3,FALSE)</f>
        <v>9.1592184597761364</v>
      </c>
      <c r="D18" s="3">
        <f>VLOOKUP($A18,'[1]NEMO Feeder RES'!$A$7:$D$18,4,FALSE)</f>
        <v>138771</v>
      </c>
      <c r="E18" s="16">
        <f t="shared" si="3"/>
        <v>9</v>
      </c>
      <c r="F18" s="12">
        <f t="shared" si="30"/>
        <v>1.208E-2</v>
      </c>
      <c r="G18" s="12">
        <f t="shared" si="30"/>
        <v>-2E-3</v>
      </c>
      <c r="H18" s="10">
        <f t="shared" si="22"/>
        <v>-3.2100000000000002E-3</v>
      </c>
      <c r="I18" s="12">
        <f t="shared" si="31"/>
        <v>5.7300000000000004E-2</v>
      </c>
      <c r="J18" s="12">
        <f t="shared" si="31"/>
        <v>2.7799999999999999E-3</v>
      </c>
      <c r="K18" s="9">
        <f t="shared" si="27"/>
        <v>4.6790000000000005E-2</v>
      </c>
      <c r="L18" s="11">
        <f t="shared" si="23"/>
        <v>29.554779999999997</v>
      </c>
      <c r="M18" s="11">
        <f t="shared" si="24"/>
        <v>30.004779999999997</v>
      </c>
      <c r="N18" s="11">
        <f t="shared" si="7"/>
        <v>0.44999999999999929</v>
      </c>
      <c r="O18" s="2">
        <f t="shared" si="0"/>
        <v>1.5225963448213697E-2</v>
      </c>
      <c r="Q18" s="14" t="s">
        <v>8</v>
      </c>
      <c r="R18" s="21">
        <f>VLOOKUP($Q18,'[1]WEMO Feeder RES'!$A$7:$D$18,2,FALSE)</f>
        <v>3204</v>
      </c>
      <c r="S18" s="25">
        <f>VLOOKUP($Q18,'[1]WEMO Feeder RES'!$A$7:$D$18,3,FALSE)</f>
        <v>7.7180922700072614</v>
      </c>
      <c r="T18" s="3">
        <f>VLOOKUP($Q18,'[1]WEMO Feeder RES'!$A$7:$D$18,4,FALSE)</f>
        <v>24729</v>
      </c>
      <c r="U18" s="16">
        <f t="shared" si="8"/>
        <v>8</v>
      </c>
      <c r="V18" s="12">
        <f t="shared" ref="V18:W18" si="36">V17</f>
        <v>1.208E-2</v>
      </c>
      <c r="W18" s="12">
        <f t="shared" si="36"/>
        <v>-2E-3</v>
      </c>
      <c r="X18" s="10">
        <f t="shared" si="20"/>
        <v>-3.2100000000000002E-3</v>
      </c>
      <c r="Y18" s="12">
        <f t="shared" si="20"/>
        <v>5.7300000000000004E-2</v>
      </c>
      <c r="Z18" s="12">
        <f t="shared" si="20"/>
        <v>2.7799999999999999E-3</v>
      </c>
      <c r="AA18" s="9">
        <f t="shared" si="28"/>
        <v>4.6790000000000005E-2</v>
      </c>
      <c r="AB18" s="11">
        <f t="shared" si="25"/>
        <v>29.65776</v>
      </c>
      <c r="AC18" s="11">
        <f t="shared" si="26"/>
        <v>30.057760000000002</v>
      </c>
      <c r="AD18" s="11">
        <f t="shared" si="11"/>
        <v>0.40000000000000213</v>
      </c>
      <c r="AE18" s="2">
        <f t="shared" si="1"/>
        <v>1.3487195256823181E-2</v>
      </c>
      <c r="AG18" s="14" t="s">
        <v>8</v>
      </c>
      <c r="AH18" s="3">
        <f>VLOOKUP($AG18,'[1]SEMO Feeder RES'!$A$7:$D$18,2,FALSE)</f>
        <v>26964</v>
      </c>
      <c r="AI18" s="3">
        <f>VLOOKUP($AG18,'[1]SEMO Feeder RES'!$A$7:$D$18,3,FALSE)</f>
        <v>9.378385045284519</v>
      </c>
      <c r="AJ18" s="3">
        <f>VLOOKUP($AG18,'[1]SEMO Feeder RES'!$A$7:$D$18,4,FALSE)</f>
        <v>252879</v>
      </c>
      <c r="AK18" s="16">
        <f t="shared" si="12"/>
        <v>9</v>
      </c>
      <c r="AL18" s="12">
        <f t="shared" ref="AL18:AM18" si="37">AL17</f>
        <v>1.265E-2</v>
      </c>
      <c r="AM18" s="12">
        <f t="shared" si="37"/>
        <v>-6.0000000000000002E-5</v>
      </c>
      <c r="AN18" s="10">
        <f t="shared" si="21"/>
        <v>8.8900000000000021E-3</v>
      </c>
      <c r="AO18" s="12">
        <f t="shared" si="21"/>
        <v>4.743E-2</v>
      </c>
      <c r="AP18" s="12">
        <f t="shared" si="21"/>
        <v>9.8999999999999999E-4</v>
      </c>
      <c r="AQ18" s="9">
        <f t="shared" si="29"/>
        <v>4.4719999999999996E-2</v>
      </c>
      <c r="AR18" s="11">
        <f t="shared" si="15"/>
        <v>23.054189999999998</v>
      </c>
      <c r="AS18" s="11">
        <f t="shared" si="16"/>
        <v>23.376659999999998</v>
      </c>
      <c r="AT18" s="11">
        <f t="shared" si="17"/>
        <v>0.32246999999999915</v>
      </c>
      <c r="AU18" s="2">
        <f t="shared" si="2"/>
        <v>1.3987479065627584E-2</v>
      </c>
    </row>
    <row r="19" spans="1:47" x14ac:dyDescent="0.25">
      <c r="A19" t="s">
        <v>9</v>
      </c>
      <c r="B19" s="39">
        <f>VLOOKUP($A19,'[1]NEMO Feeder RES'!$A$7:$D$18,2,FALSE)</f>
        <v>15132</v>
      </c>
      <c r="C19" s="37">
        <f>VLOOKUP($A19,'[1]NEMO Feeder RES'!$A$7:$D$18,3,FALSE)</f>
        <v>12.953252738456634</v>
      </c>
      <c r="D19" s="3">
        <f>VLOOKUP($A19,'[1]NEMO Feeder RES'!$A$7:$D$18,4,FALSE)</f>
        <v>196009</v>
      </c>
      <c r="E19" s="16">
        <f t="shared" si="3"/>
        <v>13</v>
      </c>
      <c r="F19" s="12">
        <f t="shared" si="30"/>
        <v>1.208E-2</v>
      </c>
      <c r="G19" s="12">
        <f t="shared" si="30"/>
        <v>-2E-3</v>
      </c>
      <c r="H19" s="10">
        <f t="shared" si="22"/>
        <v>-3.2100000000000002E-3</v>
      </c>
      <c r="I19" s="12">
        <f t="shared" si="31"/>
        <v>5.7300000000000004E-2</v>
      </c>
      <c r="J19" s="12">
        <f t="shared" si="31"/>
        <v>2.7799999999999999E-3</v>
      </c>
      <c r="K19" s="9">
        <f t="shared" si="27"/>
        <v>4.6790000000000005E-2</v>
      </c>
      <c r="L19" s="11">
        <f t="shared" si="23"/>
        <v>32.912460000000003</v>
      </c>
      <c r="M19" s="11">
        <f t="shared" si="24"/>
        <v>33.562460000000002</v>
      </c>
      <c r="N19" s="11">
        <f t="shared" si="7"/>
        <v>0.64999999999999858</v>
      </c>
      <c r="O19" s="2">
        <f t="shared" si="0"/>
        <v>1.9749359361165952E-2</v>
      </c>
      <c r="Q19" s="14" t="s">
        <v>9</v>
      </c>
      <c r="R19" s="21">
        <f>VLOOKUP($Q19,'[1]WEMO Feeder RES'!$A$7:$D$18,2,FALSE)</f>
        <v>3185</v>
      </c>
      <c r="S19" s="25">
        <f>VLOOKUP($Q19,'[1]WEMO Feeder RES'!$A$7:$D$18,3,FALSE)</f>
        <v>11.282756463009656</v>
      </c>
      <c r="T19" s="3">
        <f>VLOOKUP($Q19,'[1]WEMO Feeder RES'!$A$7:$D$18,4,FALSE)</f>
        <v>35936</v>
      </c>
      <c r="U19" s="16">
        <f t="shared" si="8"/>
        <v>11</v>
      </c>
      <c r="V19" s="12">
        <f t="shared" ref="V19:W19" si="38">V18</f>
        <v>1.208E-2</v>
      </c>
      <c r="W19" s="12">
        <f t="shared" si="38"/>
        <v>-2E-3</v>
      </c>
      <c r="X19" s="10">
        <f t="shared" si="20"/>
        <v>-3.2100000000000002E-3</v>
      </c>
      <c r="Y19" s="12">
        <f t="shared" si="20"/>
        <v>5.7300000000000004E-2</v>
      </c>
      <c r="Z19" s="12">
        <f t="shared" si="20"/>
        <v>2.7799999999999999E-3</v>
      </c>
      <c r="AA19" s="9">
        <f t="shared" si="28"/>
        <v>4.6790000000000005E-2</v>
      </c>
      <c r="AB19" s="11">
        <f t="shared" si="25"/>
        <v>32.529420000000002</v>
      </c>
      <c r="AC19" s="11">
        <f t="shared" si="26"/>
        <v>33.079420000000006</v>
      </c>
      <c r="AD19" s="11">
        <f t="shared" si="11"/>
        <v>0.55000000000000426</v>
      </c>
      <c r="AE19" s="2">
        <f t="shared" si="1"/>
        <v>1.6907771488086976E-2</v>
      </c>
      <c r="AG19" s="14" t="s">
        <v>9</v>
      </c>
      <c r="AH19" s="3">
        <f>VLOOKUP($AG19,'[1]SEMO Feeder RES'!$A$7:$D$18,2,FALSE)</f>
        <v>26896.5</v>
      </c>
      <c r="AI19" s="3">
        <f>VLOOKUP($AG19,'[1]SEMO Feeder RES'!$A$7:$D$18,3,FALSE)</f>
        <v>12.010212609004119</v>
      </c>
      <c r="AJ19" s="3">
        <f>VLOOKUP($AG19,'[1]SEMO Feeder RES'!$A$7:$D$18,4,FALSE)</f>
        <v>323033</v>
      </c>
      <c r="AK19" s="16">
        <f t="shared" si="12"/>
        <v>12</v>
      </c>
      <c r="AL19" s="12">
        <f t="shared" ref="AL19:AM19" si="39">AL18</f>
        <v>1.265E-2</v>
      </c>
      <c r="AM19" s="12">
        <f t="shared" si="39"/>
        <v>-6.0000000000000002E-5</v>
      </c>
      <c r="AN19" s="10">
        <f t="shared" si="21"/>
        <v>8.8900000000000021E-3</v>
      </c>
      <c r="AO19" s="12">
        <f t="shared" si="21"/>
        <v>4.743E-2</v>
      </c>
      <c r="AP19" s="12">
        <f t="shared" si="21"/>
        <v>9.8999999999999999E-4</v>
      </c>
      <c r="AQ19" s="9">
        <f t="shared" si="29"/>
        <v>4.4719999999999996E-2</v>
      </c>
      <c r="AR19" s="11">
        <f t="shared" si="15"/>
        <v>25.738920000000004</v>
      </c>
      <c r="AS19" s="11">
        <f t="shared" si="16"/>
        <v>26.168880000000001</v>
      </c>
      <c r="AT19" s="11">
        <f t="shared" si="17"/>
        <v>0.42995999999999768</v>
      </c>
      <c r="AU19" s="2">
        <f t="shared" si="2"/>
        <v>1.670466359893874E-2</v>
      </c>
    </row>
    <row r="20" spans="1:47" x14ac:dyDescent="0.25">
      <c r="A20" t="s">
        <v>10</v>
      </c>
      <c r="B20" s="39">
        <f>VLOOKUP($A20,'[1]NEMO Feeder RES'!$A$7:$D$18,2,FALSE)</f>
        <v>15171.5</v>
      </c>
      <c r="C20" s="37">
        <f>VLOOKUP($A20,'[1]NEMO Feeder RES'!$A$7:$D$18,3,FALSE)</f>
        <v>19.887491766605791</v>
      </c>
      <c r="D20" s="3">
        <f>VLOOKUP($A20,'[1]NEMO Feeder RES'!$A$7:$D$18,4,FALSE)</f>
        <v>301723</v>
      </c>
      <c r="E20" s="16">
        <f t="shared" si="3"/>
        <v>20</v>
      </c>
      <c r="F20" s="13">
        <f>F11</f>
        <v>-1.357E-2</v>
      </c>
      <c r="G20" s="13">
        <f>G11</f>
        <v>2.7999999999999998E-4</v>
      </c>
      <c r="H20" s="10">
        <f t="shared" si="22"/>
        <v>-3.2100000000000002E-3</v>
      </c>
      <c r="I20" s="13">
        <f>I11</f>
        <v>-1.357E-2</v>
      </c>
      <c r="J20" s="13">
        <f>J11</f>
        <v>2.7999999999999998E-4</v>
      </c>
      <c r="K20" s="9">
        <f t="shared" si="27"/>
        <v>4.6790000000000005E-2</v>
      </c>
      <c r="L20" s="11">
        <f>D$27+(E20*D$29)+(E20*D$32)+(E20*H20)</f>
        <v>40.642800000000001</v>
      </c>
      <c r="M20" s="11">
        <f>D$27+(E20*D$29)+(E20*D$32)+(E20*K20)</f>
        <v>41.642800000000001</v>
      </c>
      <c r="N20" s="11">
        <f t="shared" si="7"/>
        <v>1</v>
      </c>
      <c r="O20" s="2">
        <f t="shared" si="0"/>
        <v>2.4604604013503062E-2</v>
      </c>
      <c r="Q20" s="14" t="s">
        <v>10</v>
      </c>
      <c r="R20" s="21">
        <f>VLOOKUP($Q20,'[1]WEMO Feeder RES'!$A$7:$D$18,2,FALSE)</f>
        <v>3185.5</v>
      </c>
      <c r="S20" s="25">
        <f>VLOOKUP($Q20,'[1]WEMO Feeder RES'!$A$7:$D$18,3,FALSE)</f>
        <v>16.40830337642387</v>
      </c>
      <c r="T20" s="3">
        <f>VLOOKUP($Q20,'[1]WEMO Feeder RES'!$A$7:$D$18,4,FALSE)</f>
        <v>52269</v>
      </c>
      <c r="U20" s="16">
        <f t="shared" si="8"/>
        <v>16</v>
      </c>
      <c r="V20" s="13">
        <f>V11</f>
        <v>-1.357E-2</v>
      </c>
      <c r="W20" s="13">
        <f>W11</f>
        <v>2.7999999999999998E-4</v>
      </c>
      <c r="X20" s="10">
        <f t="shared" si="20"/>
        <v>-3.2100000000000002E-3</v>
      </c>
      <c r="Y20" s="13">
        <f>Y11</f>
        <v>-1.357E-2</v>
      </c>
      <c r="Z20" s="13">
        <f>Z11</f>
        <v>2.7999999999999998E-4</v>
      </c>
      <c r="AA20" s="9">
        <f t="shared" si="28"/>
        <v>4.6790000000000005E-2</v>
      </c>
      <c r="AB20" s="11">
        <f>T$27+(U20*T$29)+(U20*T$32)+(U20*X20)</f>
        <v>38.799039999999998</v>
      </c>
      <c r="AC20" s="11">
        <f>T$27+(U20*T$29)+(U20*T$32)+(U20*AA20)</f>
        <v>39.599040000000002</v>
      </c>
      <c r="AD20" s="11">
        <f t="shared" si="11"/>
        <v>0.80000000000000426</v>
      </c>
      <c r="AE20" s="2">
        <f t="shared" si="1"/>
        <v>2.0619066863510227E-2</v>
      </c>
      <c r="AG20" s="14" t="s">
        <v>10</v>
      </c>
      <c r="AH20" s="3">
        <f>VLOOKUP($AG20,'[1]SEMO Feeder RES'!$A$7:$D$18,2,FALSE)</f>
        <v>26839</v>
      </c>
      <c r="AI20" s="3">
        <f>VLOOKUP($AG20,'[1]SEMO Feeder RES'!$A$7:$D$18,3,FALSE)</f>
        <v>13.771214486663101</v>
      </c>
      <c r="AJ20" s="3">
        <f>VLOOKUP($AG20,'[1]SEMO Feeder RES'!$A$7:$D$18,4,FALSE)</f>
        <v>369606</v>
      </c>
      <c r="AK20" s="16">
        <f t="shared" si="12"/>
        <v>14</v>
      </c>
      <c r="AL20" s="13">
        <f>AL11</f>
        <v>-3.3E-3</v>
      </c>
      <c r="AM20" s="13">
        <f>AM11</f>
        <v>-4.0000000000000002E-4</v>
      </c>
      <c r="AN20" s="10">
        <f t="shared" si="21"/>
        <v>8.8900000000000021E-3</v>
      </c>
      <c r="AO20" s="13">
        <f>AO11</f>
        <v>-3.3E-3</v>
      </c>
      <c r="AP20" s="13">
        <f>AP11</f>
        <v>-4.0000000000000002E-4</v>
      </c>
      <c r="AQ20" s="9">
        <f t="shared" si="29"/>
        <v>4.4719999999999996E-2</v>
      </c>
      <c r="AR20" s="11">
        <f t="shared" si="15"/>
        <v>27.528739999999999</v>
      </c>
      <c r="AS20" s="11">
        <f t="shared" si="16"/>
        <v>28.030360000000002</v>
      </c>
      <c r="AT20" s="11">
        <f t="shared" si="17"/>
        <v>0.50162000000000262</v>
      </c>
      <c r="AU20" s="2">
        <f t="shared" si="2"/>
        <v>1.8221683956476165E-2</v>
      </c>
    </row>
    <row r="21" spans="1:47" x14ac:dyDescent="0.25">
      <c r="A21" t="s">
        <v>11</v>
      </c>
      <c r="B21" s="39">
        <f>VLOOKUP($A21,'[1]NEMO Feeder RES'!$A$7:$D$18,2,FALSE)</f>
        <v>15566.5</v>
      </c>
      <c r="C21" s="37">
        <f>VLOOKUP($A21,'[1]NEMO Feeder RES'!$A$7:$D$18,3,FALSE)</f>
        <v>58.170040765973852</v>
      </c>
      <c r="D21" s="3">
        <f>VLOOKUP($A21,'[1]NEMO Feeder RES'!$A$7:$D$18,4,FALSE)</f>
        <v>905504</v>
      </c>
      <c r="E21" s="16">
        <f t="shared" si="3"/>
        <v>58</v>
      </c>
      <c r="F21" s="13">
        <f t="shared" ref="F21:I22" si="40">F20</f>
        <v>-1.357E-2</v>
      </c>
      <c r="G21" s="13">
        <f t="shared" ref="G21" si="41">G20</f>
        <v>2.7999999999999998E-4</v>
      </c>
      <c r="H21" s="10">
        <f t="shared" si="22"/>
        <v>-3.2100000000000002E-3</v>
      </c>
      <c r="I21" s="13">
        <f t="shared" si="40"/>
        <v>-1.357E-2</v>
      </c>
      <c r="J21" s="13">
        <f t="shared" ref="J21" si="42">J20</f>
        <v>2.7999999999999998E-4</v>
      </c>
      <c r="K21" s="9">
        <f t="shared" si="27"/>
        <v>4.6790000000000005E-2</v>
      </c>
      <c r="L21" s="11">
        <f>D$27+(E21*D$29)+(E21*D$32)+(E21*H21)</f>
        <v>76.064120000000003</v>
      </c>
      <c r="M21" s="11">
        <f>D$27+(E21*D$29)+(E21*D$32)+(E21*K21)</f>
        <v>78.964119999999994</v>
      </c>
      <c r="N21" s="11">
        <f t="shared" si="7"/>
        <v>2.8999999999999915</v>
      </c>
      <c r="O21" s="2">
        <f t="shared" si="0"/>
        <v>3.8125728661555502E-2</v>
      </c>
      <c r="Q21" s="14" t="s">
        <v>11</v>
      </c>
      <c r="R21" s="21">
        <f>VLOOKUP($Q21,'[1]WEMO Feeder RES'!$A$7:$D$18,2,FALSE)</f>
        <v>3234</v>
      </c>
      <c r="S21" s="25">
        <f>VLOOKUP($Q21,'[1]WEMO Feeder RES'!$A$7:$D$18,3,FALSE)</f>
        <v>54.210861330981182</v>
      </c>
      <c r="T21" s="3">
        <f>VLOOKUP($Q21,'[1]WEMO Feeder RES'!$A$7:$D$18,4,FALSE)</f>
        <v>175318</v>
      </c>
      <c r="U21" s="16">
        <f t="shared" si="8"/>
        <v>54</v>
      </c>
      <c r="V21" s="13">
        <f t="shared" ref="V21:W22" si="43">V20</f>
        <v>-1.357E-2</v>
      </c>
      <c r="W21" s="13">
        <f t="shared" si="43"/>
        <v>2.7999999999999998E-4</v>
      </c>
      <c r="X21" s="10">
        <f t="shared" si="20"/>
        <v>-3.2100000000000002E-3</v>
      </c>
      <c r="Y21" s="13">
        <f t="shared" si="20"/>
        <v>-1.357E-2</v>
      </c>
      <c r="Z21" s="13">
        <f t="shared" si="20"/>
        <v>2.7999999999999998E-4</v>
      </c>
      <c r="AA21" s="9">
        <f t="shared" si="28"/>
        <v>4.6790000000000005E-2</v>
      </c>
      <c r="AB21" s="11">
        <f>T$27+(U21*T$29)+(U21*T$32)+(U21*X21)</f>
        <v>78.696760000000012</v>
      </c>
      <c r="AC21" s="11">
        <f>T$27+(U21*T$29)+(U21*T$32)+(U21*AA21)</f>
        <v>81.396760000000015</v>
      </c>
      <c r="AD21" s="11">
        <f t="shared" si="11"/>
        <v>2.7000000000000028</v>
      </c>
      <c r="AE21" s="2">
        <f t="shared" si="1"/>
        <v>3.4308909286735689E-2</v>
      </c>
      <c r="AG21" s="14" t="s">
        <v>11</v>
      </c>
      <c r="AH21" s="3">
        <f>VLOOKUP($AG21,'[1]SEMO Feeder RES'!$A$7:$D$18,2,FALSE)</f>
        <v>27183.5</v>
      </c>
      <c r="AI21" s="3">
        <f>VLOOKUP($AG21,'[1]SEMO Feeder RES'!$A$7:$D$18,3,FALSE)</f>
        <v>39.94808082090421</v>
      </c>
      <c r="AJ21" s="3">
        <f>VLOOKUP($AG21,'[1]SEMO Feeder RES'!$A$7:$D$18,4,FALSE)</f>
        <v>1085929</v>
      </c>
      <c r="AK21" s="16">
        <f t="shared" si="12"/>
        <v>40</v>
      </c>
      <c r="AL21" s="13">
        <f t="shared" ref="AL21:AM22" si="44">AL20</f>
        <v>-3.3E-3</v>
      </c>
      <c r="AM21" s="13">
        <f t="shared" si="44"/>
        <v>-4.0000000000000002E-4</v>
      </c>
      <c r="AN21" s="10">
        <f t="shared" si="21"/>
        <v>8.8900000000000021E-3</v>
      </c>
      <c r="AO21" s="13">
        <f t="shared" si="21"/>
        <v>-3.3E-3</v>
      </c>
      <c r="AP21" s="13">
        <f t="shared" si="21"/>
        <v>-4.0000000000000002E-4</v>
      </c>
      <c r="AQ21" s="9">
        <f t="shared" si="29"/>
        <v>4.4719999999999996E-2</v>
      </c>
      <c r="AR21" s="11">
        <f t="shared" si="15"/>
        <v>50.796399999999998</v>
      </c>
      <c r="AS21" s="11">
        <f t="shared" si="16"/>
        <v>52.229599999999998</v>
      </c>
      <c r="AT21" s="11">
        <f t="shared" si="17"/>
        <v>1.4331999999999994</v>
      </c>
      <c r="AU21" s="2">
        <f t="shared" si="2"/>
        <v>2.8214597884889558E-2</v>
      </c>
    </row>
    <row r="22" spans="1:47" x14ac:dyDescent="0.25">
      <c r="A22" s="1" t="s">
        <v>12</v>
      </c>
      <c r="B22" s="39">
        <f>VLOOKUP($A22,'[1]NEMO Feeder RES'!$A$7:$D$18,2,FALSE)</f>
        <v>15929</v>
      </c>
      <c r="C22" s="37">
        <f>VLOOKUP($A22,'[1]NEMO Feeder RES'!$A$7:$D$18,3,FALSE)</f>
        <v>82.475388188949665</v>
      </c>
      <c r="D22" s="3">
        <f>VLOOKUP($A22,'[1]NEMO Feeder RES'!$A$7:$D$18,4,FALSE)</f>
        <v>1313750</v>
      </c>
      <c r="E22" s="16">
        <f t="shared" si="3"/>
        <v>82</v>
      </c>
      <c r="F22" s="13">
        <f t="shared" si="40"/>
        <v>-1.357E-2</v>
      </c>
      <c r="G22" s="13">
        <f t="shared" ref="G22" si="45">G21</f>
        <v>2.7999999999999998E-4</v>
      </c>
      <c r="H22" s="10">
        <f t="shared" si="22"/>
        <v>-3.2100000000000002E-3</v>
      </c>
      <c r="I22" s="13">
        <f t="shared" si="40"/>
        <v>-1.357E-2</v>
      </c>
      <c r="J22" s="13">
        <f t="shared" ref="J22" si="46">J21</f>
        <v>2.7999999999999998E-4</v>
      </c>
      <c r="K22" s="9">
        <f t="shared" si="27"/>
        <v>4.6790000000000005E-2</v>
      </c>
      <c r="L22" s="11">
        <f>D$27+(E22*D$29)+(E22*D$32)+(E22*H22)</f>
        <v>98.435479999999998</v>
      </c>
      <c r="M22" s="11">
        <f>D$27+(E22*D$29)+(E22*D$32)+(E22*K22)</f>
        <v>102.53548000000001</v>
      </c>
      <c r="N22" s="11">
        <f t="shared" si="7"/>
        <v>4.1000000000000085</v>
      </c>
      <c r="O22" s="2">
        <f t="shared" si="0"/>
        <v>4.1651648369063654E-2</v>
      </c>
      <c r="Q22" s="1" t="s">
        <v>12</v>
      </c>
      <c r="R22" s="21">
        <f>VLOOKUP($Q22,'[1]WEMO Feeder RES'!$A$7:$D$18,2,FALSE)</f>
        <v>3287.5</v>
      </c>
      <c r="S22" s="25">
        <f>VLOOKUP($Q22,'[1]WEMO Feeder RES'!$A$7:$D$18,3,FALSE)</f>
        <v>76.574334393103967</v>
      </c>
      <c r="T22" s="4">
        <f>VLOOKUP($Q22,'[1]WEMO Feeder RES'!$A$7:$D$18,4,FALSE)</f>
        <v>251738</v>
      </c>
      <c r="U22" s="16">
        <f t="shared" si="8"/>
        <v>77</v>
      </c>
      <c r="V22" s="13">
        <f t="shared" ref="V22" si="47">V21</f>
        <v>-1.357E-2</v>
      </c>
      <c r="W22" s="13">
        <f t="shared" si="43"/>
        <v>2.7999999999999998E-4</v>
      </c>
      <c r="X22" s="10">
        <f t="shared" si="20"/>
        <v>-3.2100000000000002E-3</v>
      </c>
      <c r="Y22" s="13">
        <f t="shared" si="20"/>
        <v>-1.357E-2</v>
      </c>
      <c r="Z22" s="13">
        <f t="shared" si="20"/>
        <v>2.7999999999999998E-4</v>
      </c>
      <c r="AA22" s="9">
        <f t="shared" si="28"/>
        <v>4.6790000000000005E-2</v>
      </c>
      <c r="AB22" s="11">
        <f>T$27+(U22*T$29)+(U22*T$32)+(U22*X22)</f>
        <v>102.84538000000001</v>
      </c>
      <c r="AC22" s="11">
        <f>T$27+(U22*T$29)+(U22*T$32)+(U22*AA22)</f>
        <v>106.69538</v>
      </c>
      <c r="AD22" s="11">
        <f t="shared" si="11"/>
        <v>3.8499999999999943</v>
      </c>
      <c r="AE22" s="2">
        <f t="shared" si="1"/>
        <v>3.7434836645068525E-2</v>
      </c>
      <c r="AG22" s="1" t="s">
        <v>12</v>
      </c>
      <c r="AH22" s="3">
        <f>VLOOKUP($AG22,'[1]SEMO Feeder RES'!$A$7:$D$18,2,FALSE)</f>
        <v>27493.5</v>
      </c>
      <c r="AI22" s="3">
        <f>VLOOKUP($AG22,'[1]SEMO Feeder RES'!$A$7:$D$18,3,FALSE)</f>
        <v>72.801128389382853</v>
      </c>
      <c r="AJ22" s="3">
        <f>VLOOKUP($AG22,'[1]SEMO Feeder RES'!$A$7:$D$18,4,FALSE)</f>
        <v>2001558</v>
      </c>
      <c r="AK22" s="16">
        <f t="shared" si="12"/>
        <v>73</v>
      </c>
      <c r="AL22" s="13">
        <f t="shared" ref="AL22" si="48">AL21</f>
        <v>-3.3E-3</v>
      </c>
      <c r="AM22" s="13">
        <f t="shared" si="44"/>
        <v>-4.0000000000000002E-4</v>
      </c>
      <c r="AN22" s="10">
        <f t="shared" si="21"/>
        <v>8.8900000000000021E-3</v>
      </c>
      <c r="AO22" s="13">
        <f t="shared" si="21"/>
        <v>-3.3E-3</v>
      </c>
      <c r="AP22" s="13">
        <f t="shared" si="21"/>
        <v>-4.0000000000000002E-4</v>
      </c>
      <c r="AQ22" s="9">
        <f t="shared" si="29"/>
        <v>4.4719999999999996E-2</v>
      </c>
      <c r="AR22" s="11">
        <f t="shared" si="15"/>
        <v>80.328430000000012</v>
      </c>
      <c r="AS22" s="11">
        <f t="shared" si="16"/>
        <v>82.944020000000009</v>
      </c>
      <c r="AT22" s="11">
        <f t="shared" si="17"/>
        <v>2.6155899999999974</v>
      </c>
      <c r="AU22" s="2">
        <f t="shared" si="2"/>
        <v>3.2561199067378643E-2</v>
      </c>
    </row>
    <row r="23" spans="1:47" ht="15.75" thickBot="1" x14ac:dyDescent="0.3">
      <c r="A23" t="s">
        <v>13</v>
      </c>
      <c r="B23" s="38">
        <f>SUM(B11:B22)</f>
        <v>187783</v>
      </c>
      <c r="D23" s="23">
        <f>SUM(D11:D22)</f>
        <v>11084768</v>
      </c>
      <c r="E23" s="26">
        <f>SUM(E11:E22)</f>
        <v>694</v>
      </c>
      <c r="F23" s="5"/>
      <c r="G23" s="5"/>
      <c r="H23" s="5"/>
      <c r="L23" s="33">
        <f>SUM(L11:L22)</f>
        <v>897.36803999999995</v>
      </c>
      <c r="M23" s="33">
        <f>SUM(M11:M22)</f>
        <v>932.06803999999988</v>
      </c>
      <c r="N23" s="33">
        <f t="shared" si="7"/>
        <v>34.699999999999932</v>
      </c>
      <c r="O23" s="34">
        <f t="shared" si="0"/>
        <v>3.8668638120876064E-2</v>
      </c>
      <c r="Q23" s="21" t="s">
        <v>13</v>
      </c>
      <c r="R23" s="22">
        <f>SUM(R11:R22)</f>
        <v>39220.5</v>
      </c>
      <c r="T23" s="23">
        <f>SUM(T11:T22)</f>
        <v>2131208</v>
      </c>
      <c r="U23" s="26">
        <f>SUM(U11:U22)</f>
        <v>643</v>
      </c>
      <c r="V23" s="5"/>
      <c r="W23" s="5"/>
      <c r="X23" s="5"/>
      <c r="AB23" s="33">
        <f>SUM(AB11:AB22)</f>
        <v>927.05781999999988</v>
      </c>
      <c r="AC23" s="33">
        <f>SUM(AC11:AC22)</f>
        <v>959.20782000000008</v>
      </c>
      <c r="AD23" s="33">
        <f t="shared" si="11"/>
        <v>32.150000000000205</v>
      </c>
      <c r="AE23" s="34">
        <f t="shared" ref="AE23:AE24" si="49">(AC23/AB23)-1</f>
        <v>3.4679606068152458E-2</v>
      </c>
      <c r="AG23" s="14" t="s">
        <v>13</v>
      </c>
      <c r="AH23" s="49">
        <f>SUM(AH11:AH22)</f>
        <v>328479</v>
      </c>
      <c r="AJ23" s="23">
        <f>SUM(AJ11:AJ22)</f>
        <v>15294847</v>
      </c>
      <c r="AK23" s="26">
        <f>SUM(AK11:AK22)</f>
        <v>555</v>
      </c>
      <c r="AL23" s="5"/>
      <c r="AM23" s="5"/>
      <c r="AN23" s="5"/>
      <c r="AR23" s="33">
        <f>SUM(AR11:AR22)</f>
        <v>676.67504999999994</v>
      </c>
      <c r="AS23" s="33">
        <f>SUM(AS11:AS22)</f>
        <v>696.5607</v>
      </c>
      <c r="AT23" s="33">
        <f t="shared" si="17"/>
        <v>19.885650000000055</v>
      </c>
      <c r="AU23" s="34">
        <f t="shared" si="2"/>
        <v>2.9387296014534714E-2</v>
      </c>
    </row>
    <row r="24" spans="1:47" ht="15.75" thickTop="1" x14ac:dyDescent="0.25">
      <c r="D24" s="27" t="s">
        <v>35</v>
      </c>
      <c r="E24" s="16">
        <f>E23/12</f>
        <v>57.833333333333336</v>
      </c>
      <c r="F24" s="14"/>
      <c r="H24" s="14"/>
      <c r="L24" s="11">
        <f>L23/12</f>
        <v>74.780670000000001</v>
      </c>
      <c r="M24" s="11">
        <f>M23/12</f>
        <v>77.672336666666652</v>
      </c>
      <c r="N24" s="11">
        <f t="shared" si="7"/>
        <v>2.8916666666666515</v>
      </c>
      <c r="O24" s="2">
        <f t="shared" si="0"/>
        <v>3.8668638120876064E-2</v>
      </c>
      <c r="Q24" s="7"/>
      <c r="R24" s="7"/>
      <c r="S24" s="7"/>
      <c r="T24" s="27" t="s">
        <v>35</v>
      </c>
      <c r="U24" s="16">
        <f>U23/12</f>
        <v>53.583333333333336</v>
      </c>
      <c r="AB24" s="11">
        <f>AB23/12</f>
        <v>77.254818333333318</v>
      </c>
      <c r="AC24" s="11">
        <f>AC23/12</f>
        <v>79.933985000000007</v>
      </c>
      <c r="AD24" s="11">
        <f t="shared" si="11"/>
        <v>2.6791666666666885</v>
      </c>
      <c r="AE24" s="2">
        <f t="shared" si="49"/>
        <v>3.4679606068152458E-2</v>
      </c>
      <c r="AF24" s="7"/>
      <c r="AG24" s="7"/>
      <c r="AI24" s="16"/>
      <c r="AJ24" s="27" t="s">
        <v>35</v>
      </c>
      <c r="AK24" s="16">
        <f>AK23/12</f>
        <v>46.25</v>
      </c>
      <c r="AR24" s="11">
        <f>AR23/12</f>
        <v>56.389587499999998</v>
      </c>
      <c r="AS24" s="11">
        <f>AS23/12</f>
        <v>58.046725000000002</v>
      </c>
      <c r="AT24" s="11">
        <f t="shared" si="17"/>
        <v>1.6571375000000046</v>
      </c>
      <c r="AU24" s="2">
        <f t="shared" si="2"/>
        <v>2.9387296014534714E-2</v>
      </c>
    </row>
    <row r="25" spans="1:47" x14ac:dyDescent="0.25">
      <c r="E25" s="24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</row>
    <row r="26" spans="1:47" x14ac:dyDescent="0.25">
      <c r="Q26" s="7"/>
      <c r="R26" s="14"/>
      <c r="S26" s="14"/>
      <c r="T26" s="14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</row>
    <row r="27" spans="1:47" x14ac:dyDescent="0.25">
      <c r="A27" s="7" t="s">
        <v>14</v>
      </c>
      <c r="B27" s="14"/>
      <c r="C27" s="14"/>
      <c r="D27" s="29">
        <v>22</v>
      </c>
      <c r="J27" s="48"/>
      <c r="K27" s="11"/>
      <c r="Q27" s="7" t="s">
        <v>14</v>
      </c>
      <c r="R27" s="14"/>
      <c r="S27" s="14"/>
      <c r="T27" s="29">
        <v>22</v>
      </c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 t="s">
        <v>14</v>
      </c>
      <c r="AJ27" s="29">
        <v>15</v>
      </c>
    </row>
    <row r="28" spans="1:47" x14ac:dyDescent="0.25">
      <c r="A28" s="7" t="s">
        <v>20</v>
      </c>
      <c r="B28" s="14"/>
      <c r="C28" s="14"/>
      <c r="D28" s="14"/>
      <c r="Q28" s="7" t="s">
        <v>20</v>
      </c>
      <c r="R28" s="14"/>
      <c r="T28" s="30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 t="s">
        <v>20</v>
      </c>
      <c r="AJ28" s="30"/>
    </row>
    <row r="29" spans="1:47" x14ac:dyDescent="0.25">
      <c r="A29" s="7" t="s">
        <v>23</v>
      </c>
      <c r="B29" s="14" t="s">
        <v>24</v>
      </c>
      <c r="C29" s="6" t="s">
        <v>26</v>
      </c>
      <c r="D29" s="28">
        <v>0.33606999999999998</v>
      </c>
      <c r="Q29" s="7" t="s">
        <v>23</v>
      </c>
      <c r="R29" s="14" t="s">
        <v>24</v>
      </c>
      <c r="S29" s="6" t="s">
        <v>26</v>
      </c>
      <c r="T29" s="28">
        <v>0.33606999999999998</v>
      </c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 t="s">
        <v>23</v>
      </c>
      <c r="AH29" s="14" t="s">
        <v>24</v>
      </c>
      <c r="AI29" s="6" t="s">
        <v>26</v>
      </c>
      <c r="AJ29" s="28">
        <v>0.24335000000000001</v>
      </c>
    </row>
    <row r="30" spans="1:47" x14ac:dyDescent="0.25">
      <c r="A30" s="14"/>
      <c r="B30" s="14" t="s">
        <v>25</v>
      </c>
      <c r="C30" s="6">
        <v>30</v>
      </c>
      <c r="D30" s="28">
        <v>0.24335000000000001</v>
      </c>
      <c r="R30" t="s">
        <v>25</v>
      </c>
      <c r="S30" s="6">
        <v>30</v>
      </c>
      <c r="T30" s="28">
        <v>0.24335000000000001</v>
      </c>
      <c r="AG30" s="14"/>
      <c r="AH30" s="14" t="s">
        <v>25</v>
      </c>
      <c r="AI30" s="6">
        <v>30</v>
      </c>
      <c r="AJ30" s="28">
        <v>0.24335000000000001</v>
      </c>
    </row>
    <row r="31" spans="1:47" x14ac:dyDescent="0.25">
      <c r="A31" s="14"/>
      <c r="B31" s="14"/>
      <c r="C31" s="6" t="s">
        <v>18</v>
      </c>
      <c r="D31" s="28">
        <v>0.24335000000000001</v>
      </c>
      <c r="S31" s="6" t="s">
        <v>18</v>
      </c>
      <c r="T31" s="28">
        <v>0.24335000000000001</v>
      </c>
      <c r="AG31" s="14"/>
      <c r="AI31" s="6" t="s">
        <v>18</v>
      </c>
      <c r="AJ31" s="28">
        <v>0.24335000000000001</v>
      </c>
    </row>
    <row r="32" spans="1:47" x14ac:dyDescent="0.25">
      <c r="A32" s="14" t="s">
        <v>17</v>
      </c>
      <c r="B32" s="14"/>
      <c r="C32" s="14"/>
      <c r="D32" s="50">
        <v>0.59928000000000003</v>
      </c>
      <c r="F32" t="s">
        <v>46</v>
      </c>
      <c r="Q32" s="14" t="s">
        <v>17</v>
      </c>
      <c r="S32" s="14"/>
      <c r="T32" s="50">
        <v>0.71708000000000005</v>
      </c>
      <c r="V32" s="14" t="s">
        <v>47</v>
      </c>
      <c r="AG32" s="14" t="s">
        <v>17</v>
      </c>
      <c r="AH32" s="14"/>
      <c r="AI32" s="14"/>
      <c r="AJ32" s="50">
        <v>0.64266999999999996</v>
      </c>
      <c r="AL32" s="14" t="s">
        <v>48</v>
      </c>
    </row>
    <row r="34" spans="1:33" s="14" customFormat="1" x14ac:dyDescent="0.25">
      <c r="A34" s="15" t="s">
        <v>37</v>
      </c>
      <c r="Q34" s="15" t="s">
        <v>37</v>
      </c>
      <c r="AG34" s="15" t="s">
        <v>37</v>
      </c>
    </row>
    <row r="35" spans="1:33" x14ac:dyDescent="0.25">
      <c r="A35" s="14" t="s">
        <v>36</v>
      </c>
      <c r="G35" s="27"/>
      <c r="Q35" s="14" t="s">
        <v>36</v>
      </c>
      <c r="AG35" s="14" t="s">
        <v>36</v>
      </c>
    </row>
    <row r="36" spans="1:33" x14ac:dyDescent="0.25">
      <c r="A36" s="31" t="s">
        <v>14</v>
      </c>
      <c r="Q36" s="31" t="s">
        <v>14</v>
      </c>
      <c r="AG36" s="31" t="s">
        <v>14</v>
      </c>
    </row>
    <row r="37" spans="1:33" x14ac:dyDescent="0.25">
      <c r="A37" s="31" t="s">
        <v>27</v>
      </c>
      <c r="Q37" s="31" t="s">
        <v>27</v>
      </c>
      <c r="AG37" s="31" t="s">
        <v>27</v>
      </c>
    </row>
    <row r="38" spans="1:33" x14ac:dyDescent="0.25">
      <c r="A38" s="31" t="s">
        <v>28</v>
      </c>
      <c r="Q38" s="31" t="s">
        <v>28</v>
      </c>
      <c r="AG38" s="31" t="s">
        <v>28</v>
      </c>
    </row>
    <row r="39" spans="1:33" x14ac:dyDescent="0.25">
      <c r="A39" s="31" t="s">
        <v>29</v>
      </c>
      <c r="Q39" s="31" t="s">
        <v>29</v>
      </c>
      <c r="AG39" s="31" t="s">
        <v>29</v>
      </c>
    </row>
  </sheetData>
  <mergeCells count="9">
    <mergeCell ref="Y7:Z7"/>
    <mergeCell ref="AL7:AM7"/>
    <mergeCell ref="AO7:AP7"/>
    <mergeCell ref="AG9:AJ9"/>
    <mergeCell ref="A9:D9"/>
    <mergeCell ref="F7:G7"/>
    <mergeCell ref="I7:J7"/>
    <mergeCell ref="Q9:T9"/>
    <mergeCell ref="V7:W7"/>
  </mergeCells>
  <pageMargins left="0.45" right="0.45" top="0.75" bottom="0.75" header="0.3" footer="0.3"/>
  <pageSetup scale="75" orientation="landscape" r:id="rId1"/>
  <headerFooter>
    <oddHeader>&amp;C&amp;"-,Bold"&amp;14Liberty Utilities (Midstates natural Gas) Corp.&amp;"-,Regular"&amp;11
Weather Normalization Adjustment Rider
Semi Annual Filing
Customer Bill Impact</oddHeader>
  </headerFooter>
  <colBreaks count="2" manualBreakCount="2">
    <brk id="15" max="1048575" man="1"/>
    <brk id="31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Analysis</vt:lpstr>
      <vt:lpstr>Analysis!Print_Area</vt:lpstr>
    </vt:vector>
  </TitlesOfParts>
  <Company>Liberty Utilities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Cherishe Barbee</dc:creator>
  <cp:lastModifiedBy>James Young</cp:lastModifiedBy>
  <cp:lastPrinted>2021-08-30T00:21:47Z</cp:lastPrinted>
  <dcterms:created xsi:type="dcterms:W3CDTF">2019-03-15T14:19:22Z</dcterms:created>
  <dcterms:modified xsi:type="dcterms:W3CDTF">2022-03-11T15:23:00Z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