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John Cogan\MO WNAR\MO WNAR Apr-2021 Filing\Filing\"/>
    </mc:Choice>
  </mc:AlternateContent>
  <xr:revisionPtr revIDLastSave="0" documentId="13_ncr:1_{ABE31C77-8951-47D4-8D20-3B8579935BBD}" xr6:coauthVersionLast="44" xr6:coauthVersionMax="44" xr10:uidLastSave="{00000000-0000-0000-0000-000000000000}"/>
  <bookViews>
    <workbookView xWindow="-120" yWindow="-120" windowWidth="24240" windowHeight="13140" tabRatio="718" xr2:uid="{00000000-000D-0000-FFFF-FFFF00000000}"/>
  </bookViews>
  <sheets>
    <sheet name=" Rates - Sheets 67.2-67.5" sheetId="35" r:id="rId1"/>
    <sheet name="CSWNA Summary" sheetId="4" r:id="rId2"/>
    <sheet name="WNA Excess Limit Balance" sheetId="70" r:id="rId3"/>
    <sheet name="CSWNA Res NEMO" sheetId="1" r:id="rId4"/>
    <sheet name="CSWNA SGS NEMO" sheetId="3" r:id="rId5"/>
    <sheet name="CSWNA Res WEMO" sheetId="28" r:id="rId6"/>
    <sheet name="CSWNA SGS WEMO" sheetId="29" r:id="rId7"/>
    <sheet name="CSWNA Res SEMO" sheetId="5" r:id="rId8"/>
    <sheet name="CSWNA SGS SEMO" sheetId="6" r:id="rId9"/>
    <sheet name="Assumptions" sheetId="59" r:id="rId10"/>
    <sheet name="SRR Summary" sheetId="58" r:id="rId11"/>
    <sheet name="SRR Res NEMO" sheetId="52" r:id="rId12"/>
    <sheet name="SRR Res WEMO" sheetId="53" r:id="rId13"/>
    <sheet name="SRR SGS NEMO" sheetId="54" r:id="rId14"/>
    <sheet name=" SRR SGS WEMO" sheetId="55" r:id="rId15"/>
    <sheet name="SRR Res SEMO" sheetId="56" r:id="rId16"/>
    <sheet name="SRR SGS SEMO" sheetId="57" r:id="rId17"/>
    <sheet name="Input WS&gt;&gt;&gt;" sheetId="7" r:id="rId18"/>
    <sheet name="Input_NEMO" sheetId="12" r:id="rId19"/>
    <sheet name="Input_WEMO" sheetId="30" r:id="rId20"/>
    <sheet name="Input_SEMO" sheetId="25" r:id="rId21"/>
    <sheet name="HDD_Summary" sheetId="21" r:id="rId22"/>
    <sheet name="Customer Count by Cycle" sheetId="26" r:id="rId23"/>
    <sheet name="Staff Ranked NHDD" sheetId="60" r:id="rId24"/>
    <sheet name="Actual_Kirk_HDD" sheetId="24" r:id="rId25"/>
    <sheet name="Actual_CGI_HDD" sheetId="23" r:id="rId26"/>
    <sheet name="Meter Reading_NEMO" sheetId="31" r:id="rId27"/>
    <sheet name="Meter Reading_WEMO" sheetId="32" r:id="rId28"/>
    <sheet name="Meter Reading_SEMO" sheetId="16" r:id="rId29"/>
    <sheet name="Acctg Recon" sheetId="62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\I" localSheetId="26">#REF!</definedName>
    <definedName name="\I" localSheetId="27">#REF!</definedName>
    <definedName name="\I">#REF!</definedName>
    <definedName name="\P" localSheetId="26">#REF!</definedName>
    <definedName name="\P" localSheetId="27">#REF!</definedName>
    <definedName name="\P">#REF!</definedName>
    <definedName name="__123Graph_A" localSheetId="26" hidden="1">[1]pwcc!#REF!</definedName>
    <definedName name="__123Graph_A" localSheetId="27" hidden="1">[1]pwcc!#REF!</definedName>
    <definedName name="__123Graph_A" hidden="1">[1]pwcc!#REF!</definedName>
    <definedName name="_20_2_WEIGHTS" localSheetId="26">[2]NE:SE!$Y$13:$AC$264</definedName>
    <definedName name="_20_2_WEIGHTS" localSheetId="28">[2]NE:SE!$Y$13:$AC$264</definedName>
    <definedName name="_20_2_WEIGHTS" localSheetId="27">[2]NE:SE!$Y$13:$AC$264</definedName>
    <definedName name="_20_2_WEIGHTS">[3]NE:SE!$Y$13:$AC$264</definedName>
    <definedName name="_xlnm._FilterDatabase" localSheetId="25" hidden="1">Actual_CGI_HDD!$A$8:$D$8</definedName>
    <definedName name="_xlnm._FilterDatabase" localSheetId="24" hidden="1">Actual_Kirk_HDD!$A$8:$E$8</definedName>
    <definedName name="_Order1" hidden="1">255</definedName>
    <definedName name="a" localSheetId="26" hidden="1">[1]pwcc!#REF!</definedName>
    <definedName name="a" localSheetId="27" hidden="1">[1]pwcc!#REF!</definedName>
    <definedName name="a" hidden="1">[1]pwcc!#REF!</definedName>
    <definedName name="ant" localSheetId="26" hidden="1">[1]pwcc!#REF!</definedName>
    <definedName name="ant" localSheetId="27" hidden="1">[1]pwcc!#REF!</definedName>
    <definedName name="ant" hidden="1">[1]pwcc!#REF!</definedName>
    <definedName name="AS2DocOpenMode" hidden="1">"AS2DocumentEdit"</definedName>
    <definedName name="ASD" localSheetId="26">#REF!</definedName>
    <definedName name="ASD" localSheetId="27">#REF!</definedName>
    <definedName name="ASD">#REF!</definedName>
    <definedName name="CGACTDD" localSheetId="26">INDIRECT("ACT_WX!" &amp; ADDRESS(4,34)&amp;":"&amp;ADDRESS(COUNTA([2]ACT_WX!$D$4:$D$65536)+3,34))</definedName>
    <definedName name="CGACTDD" localSheetId="28">INDIRECT("ACT_WX!" &amp; ADDRESS(4,34)&amp;":"&amp;ADDRESS(COUNTA([2]ACT_WX!$D$4:$D$65536)+3,34))</definedName>
    <definedName name="CGACTDD" localSheetId="27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26">INDIRECT("ACT_WX!" &amp; ADDRESS(4,38)&amp;":"&amp;ADDRESS(COUNTA([2]ACT_WX!$H$4:$H$65536)+3,38))</definedName>
    <definedName name="CGACTHDD" localSheetId="28">INDIRECT("ACT_WX!" &amp; ADDRESS(4,38)&amp;":"&amp;ADDRESS(COUNTA([2]ACT_WX!$H$4:$H$65536)+3,38))</definedName>
    <definedName name="CGACTHDD" localSheetId="27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26">INDIRECT("ACT_WX!" &amp; ADDRESS(4,33)&amp;":"&amp;ADDRESS(COUNTA([2]ACT_WX!$C$4:$C$65536)+3,33))</definedName>
    <definedName name="CGACTMM" localSheetId="28">INDIRECT("ACT_WX!" &amp; ADDRESS(4,33)&amp;":"&amp;ADDRESS(COUNTA([2]ACT_WX!$C$4:$C$65536)+3,33))</definedName>
    <definedName name="CGACTMM" localSheetId="27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26">INDIRECT("ACT_WX!" &amp; ADDRESS(4,32)&amp;":"&amp;ADDRESS(COUNTA([2]ACT_WX!$B$4:$B$65536)+3,32))</definedName>
    <definedName name="CGACTYYYY" localSheetId="28">INDIRECT("ACT_WX!" &amp; ADDRESS(4,32)&amp;":"&amp;ADDRESS(COUNTA([2]ACT_WX!$B$4:$B$65536)+3,32))</definedName>
    <definedName name="CGACTYYYY" localSheetId="27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20">INDIRECT("NORM_WX!" &amp; ADDRESS(4,34)&amp;":"&amp;ADDRESS(COUNTA(#REF!)+3,34))</definedName>
    <definedName name="CGNORMDD" localSheetId="26">INDIRECT("NORM_WX!" &amp; ADDRESS(4,34)&amp;":"&amp;ADDRESS(COUNTA([2]NORM_WX!$D$4:$D$65536)+3,34))</definedName>
    <definedName name="CGNORMDD" localSheetId="28">INDIRECT("NORM_WX!" &amp; ADDRESS(4,34)&amp;":"&amp;ADDRESS(COUNTA([2]NORM_WX!$D$4:$D$65536)+3,34))</definedName>
    <definedName name="CGNORMDD" localSheetId="27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20">INDIRECT("NORM_WX!" &amp; ADDRESS(4,38)&amp;":"&amp;ADDRESS(COUNTA(#REF!)+3,38))</definedName>
    <definedName name="CGNORMHDD" localSheetId="26">INDIRECT("NORM_WX!" &amp; ADDRESS(4,38)&amp;":"&amp;ADDRESS(COUNTA([2]NORM_WX!$H$4:$H$65536)+3,38))</definedName>
    <definedName name="CGNORMHDD" localSheetId="28">INDIRECT("NORM_WX!" &amp; ADDRESS(4,38)&amp;":"&amp;ADDRESS(COUNTA([2]NORM_WX!$H$4:$H$65536)+3,38))</definedName>
    <definedName name="CGNORMHDD" localSheetId="27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20">INDIRECT("NORM_WX!" &amp; ADDRESS(4,33)&amp;":"&amp;ADDRESS(COUNTA(#REF!)+3,33))</definedName>
    <definedName name="CGNORMMM" localSheetId="26">INDIRECT("NORM_WX!" &amp; ADDRESS(4,33)&amp;":"&amp;ADDRESS(COUNTA([2]NORM_WX!$C$4:$C$65536)+3,33))</definedName>
    <definedName name="CGNORMMM" localSheetId="28">INDIRECT("NORM_WX!" &amp; ADDRESS(4,33)&amp;":"&amp;ADDRESS(COUNTA([2]NORM_WX!$C$4:$C$65536)+3,33))</definedName>
    <definedName name="CGNORMMM" localSheetId="27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20">INDIRECT("NORM_WX!" &amp; ADDRESS(4,32)&amp;":"&amp;ADDRESS(COUNTA(#REF!)+3,32))</definedName>
    <definedName name="CGNORMYYYY" localSheetId="26">INDIRECT("NORM_WX!" &amp; ADDRESS(4,32)&amp;":"&amp;ADDRESS(COUNTA([2]NORM_WX!$B$4:$B$65536)+3,32))</definedName>
    <definedName name="CGNORMYYYY" localSheetId="28">INDIRECT("NORM_WX!" &amp; ADDRESS(4,32)&amp;":"&amp;ADDRESS(COUNTA([2]NORM_WX!$B$4:$B$65536)+3,32))</definedName>
    <definedName name="CGNORMYYYY" localSheetId="27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26">#REF!</definedName>
    <definedName name="Clarity.Template.ExpandCollapse.ColIndicator" localSheetId="27">#REF!</definedName>
    <definedName name="Clarity.Template.ExpandCollapse.ColIndicator">#REF!</definedName>
    <definedName name="Clarity.Template.ExpandCollapse.RowIndicator" localSheetId="26">#REF!</definedName>
    <definedName name="Clarity.Template.ExpandCollapse.RowIndicator" localSheetId="27">#REF!</definedName>
    <definedName name="Clarity.Template.ExpandCollapse.RowIndicator">#REF!</definedName>
    <definedName name="Clarity.Template.ExpandCollapse.Rows.Range_0" localSheetId="26">#REF!</definedName>
    <definedName name="Clarity.Template.ExpandCollapse.Rows.Range_0" localSheetId="27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26">#REF!</definedName>
    <definedName name="Clarity.Template.ExpandCollapse.Rows.Range_1" localSheetId="27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26">#REF!</definedName>
    <definedName name="Clarity.Template.ExpandCollapse.Rows.Range_10" localSheetId="27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26">#REF!</definedName>
    <definedName name="Clarity.Template.ExpandCollapse.Rows.Range_11" localSheetId="27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26">#REF!</definedName>
    <definedName name="Clarity.Template.ExpandCollapse.Rows.Range_12" localSheetId="27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26">#REF!</definedName>
    <definedName name="Clarity.Template.ExpandCollapse.Rows.Range_13" localSheetId="27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26">#REF!</definedName>
    <definedName name="Clarity.Template.ExpandCollapse.Rows.Range_14" localSheetId="27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26">#REF!</definedName>
    <definedName name="Clarity.Template.ExpandCollapse.Rows.Range_15" localSheetId="27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26">#REF!</definedName>
    <definedName name="Clarity.Template.ExpandCollapse.Rows.Range_16" localSheetId="27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26">#REF!</definedName>
    <definedName name="Clarity.Template.ExpandCollapse.Rows.Range_17" localSheetId="27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26">#REF!</definedName>
    <definedName name="Clarity.Template.ExpandCollapse.Rows.Range_18" localSheetId="27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26">#REF!</definedName>
    <definedName name="Clarity.Template.ExpandCollapse.Rows.Range_19" localSheetId="27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26">#REF!</definedName>
    <definedName name="Clarity.Template.ExpandCollapse.Rows.Range_2" localSheetId="27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26">#REF!</definedName>
    <definedName name="Clarity.Template.ExpandCollapse.Rows.Range_20" localSheetId="27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26">#REF!</definedName>
    <definedName name="Clarity.Template.ExpandCollapse.Rows.Range_21" localSheetId="27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26">#REF!</definedName>
    <definedName name="Clarity.Template.ExpandCollapse.Rows.Range_22" localSheetId="27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26">#REF!</definedName>
    <definedName name="Clarity.Template.ExpandCollapse.Rows.Range_23" localSheetId="27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26">#REF!</definedName>
    <definedName name="Clarity.Template.ExpandCollapse.Rows.Range_24" localSheetId="27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26">#REF!</definedName>
    <definedName name="Clarity.Template.ExpandCollapse.Rows.Range_25" localSheetId="27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26">#REF!</definedName>
    <definedName name="Clarity.Template.ExpandCollapse.Rows.Range_26" localSheetId="27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26">#REF!</definedName>
    <definedName name="Clarity.Template.ExpandCollapse.Rows.Range_27" localSheetId="27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26">#REF!</definedName>
    <definedName name="Clarity.Template.ExpandCollapse.Rows.Range_28" localSheetId="27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26">#REF!</definedName>
    <definedName name="Clarity.Template.ExpandCollapse.Rows.Range_29" localSheetId="27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26">#REF!</definedName>
    <definedName name="Clarity.Template.ExpandCollapse.Rows.Range_3" localSheetId="27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26">#REF!</definedName>
    <definedName name="Clarity.Template.ExpandCollapse.Rows.Range_30" localSheetId="27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26">#REF!</definedName>
    <definedName name="Clarity.Template.ExpandCollapse.Rows.Range_31" localSheetId="27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26">#REF!</definedName>
    <definedName name="Clarity.Template.ExpandCollapse.Rows.Range_4" localSheetId="27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26">#REF!</definedName>
    <definedName name="Clarity.Template.ExpandCollapse.Rows.Range_5" localSheetId="27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26">#REF!</definedName>
    <definedName name="Clarity.Template.ExpandCollapse.Rows.Range_6" localSheetId="27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26">#REF!</definedName>
    <definedName name="Clarity.Template.ExpandCollapse.Rows.Range_7" localSheetId="27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26">#REF!</definedName>
    <definedName name="Clarity.Template.ExpandCollapse.Rows.Range_8" localSheetId="27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26">#REF!</definedName>
    <definedName name="Clarity.Template.ExpandCollapse.Rows.Range_9" localSheetId="27">#REF!</definedName>
    <definedName name="Clarity.Template.ExpandCollapse.Rows.Range_9">#REF!</definedName>
    <definedName name="Clarity.Template.ExpandCollapse.Rows.Range_9.Expanded">TRUE</definedName>
    <definedName name="ColumnRanges.Column_BegBal" localSheetId="26">#REF!</definedName>
    <definedName name="ColumnRanges.Column_BegBal" localSheetId="27">#REF!</definedName>
    <definedName name="ColumnRanges.Column_BegBal">#REF!</definedName>
    <definedName name="ColumnRanges.Column_CurYrActual" localSheetId="26">#REF!</definedName>
    <definedName name="ColumnRanges.Column_CurYrActual" localSheetId="27">#REF!</definedName>
    <definedName name="ColumnRanges.Column_CurYrActual">#REF!</definedName>
    <definedName name="ColumnRanges.Column_CurYrActualYTD" localSheetId="26">#REF!</definedName>
    <definedName name="ColumnRanges.Column_CurYrActualYTD" localSheetId="27">#REF!</definedName>
    <definedName name="ColumnRanges.Column_CurYrActualYTD">#REF!</definedName>
    <definedName name="ColumnRanges.Column_CurYrBudget" localSheetId="26">#REF!</definedName>
    <definedName name="ColumnRanges.Column_CurYrBudget" localSheetId="27">#REF!</definedName>
    <definedName name="ColumnRanges.Column_CurYrBudget">#REF!</definedName>
    <definedName name="ColumnRanges.Column_CurYrBudgetYTD" localSheetId="26">#REF!</definedName>
    <definedName name="ColumnRanges.Column_CurYrBudgetYTD" localSheetId="27">#REF!</definedName>
    <definedName name="ColumnRanges.Column_CurYrBudgetYTD">#REF!</definedName>
    <definedName name="ColumnRanges.Column_Data" localSheetId="26">#REF!</definedName>
    <definedName name="ColumnRanges.Column_Data" localSheetId="27">#REF!</definedName>
    <definedName name="ColumnRanges.Column_Data">#REF!</definedName>
    <definedName name="ColumnRanges.Column_PrYr" localSheetId="26">#REF!</definedName>
    <definedName name="ColumnRanges.Column_PrYr" localSheetId="27">#REF!</definedName>
    <definedName name="ColumnRanges.Column_PrYr">#REF!</definedName>
    <definedName name="ColumnRanges.Column_PrYrYTD" localSheetId="26">#REF!</definedName>
    <definedName name="ColumnRanges.Column_PrYrYTD" localSheetId="27">#REF!</definedName>
    <definedName name="ColumnRanges.Column_PrYrYTD">#REF!</definedName>
    <definedName name="ColumnRanges.ColumnMeta" localSheetId="26">#REF!</definedName>
    <definedName name="ColumnRanges.ColumnMeta" localSheetId="27">#REF!</definedName>
    <definedName name="ColumnRanges.ColumnMeta">#REF!</definedName>
    <definedName name="ColumnRanges.ColumnPageFilter" localSheetId="26">#REF!</definedName>
    <definedName name="ColumnRanges.ColumnPageFilter" localSheetId="27">#REF!</definedName>
    <definedName name="ColumnRanges.ColumnPageFilter">#REF!</definedName>
    <definedName name="CYCLEZ" localSheetId="26">INDIRECT("'Meter Reading Schedule'!" &amp; ADDRESS(10,1)&amp;":"&amp;ADDRESS(COUNTA('Meter Reading_NEMO'!$A$10:$A$65506)+9,1))</definedName>
    <definedName name="CYCLEZ" localSheetId="28">INDIRECT("'Meter Reading Schedule'!" &amp; ADDRESS(10,1)&amp;":"&amp;ADDRESS(COUNTA('Meter Reading_SEMO'!$A$10:$A$65024)+9,1))</definedName>
    <definedName name="CYCLEZ" localSheetId="27">INDIRECT("'Meter Reading Schedule'!" &amp; ADDRESS(10,1)&amp;":"&amp;ADDRESS(COUNTA('Meter Reading_WEMO'!$A$10:$A$65042)+9,1))</definedName>
    <definedName name="CYCLEZ">INDIRECT("'Meter Reading Schedule'!" &amp; ADDRESS(10,1)&amp;":"&amp;ADDRESS(COUNTA('[3]Meter Reading Schedule'!$A$10:$A$65536)+9,1))</definedName>
    <definedName name="d" localSheetId="26">#REF!</definedName>
    <definedName name="d" localSheetId="27">#REF!</definedName>
    <definedName name="d">#REF!</definedName>
    <definedName name="DATAZ" localSheetId="26">INDIRECT("'Meter Reading Schedule'!" &amp; ADDRESS(10,2)&amp;":"&amp;ADDRESS(COUNTA('Meter Reading_NEMO'!$A$10:$A$65506)+9,COUNTA('Meter Reading_NEMO'!$10:$10)))</definedName>
    <definedName name="DATAZ" localSheetId="28">INDIRECT("'Meter Reading Schedule'!" &amp; ADDRESS(10,2)&amp;":"&amp;ADDRESS(COUNTA('Meter Reading_SEMO'!$A$10:$A$65024)+9,COUNTA('Meter Reading_SEMO'!$10:$10)))</definedName>
    <definedName name="DATAZ" localSheetId="27">INDIRECT("'Meter Reading Schedule'!" &amp; ADDRESS(10,2)&amp;":"&amp;ADDRESS(COUNTA('Meter Reading_WEMO'!$A$10:$A$65042)+9,COUNTA('Meter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26">INDIRECT("'Meter Reading Schedule'!" &amp; ADDRESS(4,2)&amp;":"&amp;ADDRESS(4,COUNTA('Meter Reading_NEMO'!$10:$10)))</definedName>
    <definedName name="Datez" localSheetId="28">INDIRECT("'Meter Reading Schedule'!" &amp; ADDRESS(4,2)&amp;":"&amp;ADDRESS(4,COUNTA('Meter Reading_SEMO'!$10:$10)))</definedName>
    <definedName name="Datez" localSheetId="27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26">INDIRECT("ACT_WX!" &amp; ADDRESS(4,4)&amp;":"&amp;ADDRESS(COUNTA([2]ACT_WX!$D$4:$D$65536)+3,4))</definedName>
    <definedName name="KCACTDD" localSheetId="28">INDIRECT("ACT_WX!" &amp; ADDRESS(4,4)&amp;":"&amp;ADDRESS(COUNTA([2]ACT_WX!$D$4:$D$65536)+3,4))</definedName>
    <definedName name="KCACTDD" localSheetId="27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26">INDIRECT("ACT_WX!" &amp; ADDRESS(4,8)&amp;":"&amp;ADDRESS(COUNTA([2]ACT_WX!$H$4:$H$65536)+3,8))</definedName>
    <definedName name="KCACTHDD" localSheetId="28">INDIRECT("ACT_WX!" &amp; ADDRESS(4,8)&amp;":"&amp;ADDRESS(COUNTA([2]ACT_WX!$H$4:$H$65536)+3,8))</definedName>
    <definedName name="KCACTHDD" localSheetId="27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26">INDIRECT("ACT_WX!" &amp; ADDRESS(4,3)&amp;":"&amp;ADDRESS(COUNTA([2]ACT_WX!$C$4:$C$65536)+3,3))</definedName>
    <definedName name="KCACTMM" localSheetId="28">INDIRECT("ACT_WX!" &amp; ADDRESS(4,3)&amp;":"&amp;ADDRESS(COUNTA([2]ACT_WX!$C$4:$C$65536)+3,3))</definedName>
    <definedName name="KCACTMM" localSheetId="27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26">INDIRECT("ACT_WX!" &amp; ADDRESS(4,2)&amp;":"&amp;ADDRESS(COUNTA([2]ACT_WX!$B$4:$B$65536)+3,2))</definedName>
    <definedName name="KCACTYYYY" localSheetId="28">INDIRECT("ACT_WX!" &amp; ADDRESS(4,2)&amp;":"&amp;ADDRESS(COUNTA([2]ACT_WX!$B$4:$B$65536)+3,2))</definedName>
    <definedName name="KCACTYYYY" localSheetId="27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20">INDIRECT("NORM_WX!" &amp; ADDRESS(4,4)&amp;":"&amp;ADDRESS(COUNTA(#REF!)+3,4))</definedName>
    <definedName name="KCINORMDD" localSheetId="26">INDIRECT("NORM_WX!" &amp; ADDRESS(4,4)&amp;":"&amp;ADDRESS(COUNTA([2]NORM_WX!$D$4:$D$65536)+3,4))</definedName>
    <definedName name="KCINORMDD" localSheetId="28">INDIRECT("NORM_WX!" &amp; ADDRESS(4,4)&amp;":"&amp;ADDRESS(COUNTA([2]NORM_WX!$D$4:$D$65536)+3,4))</definedName>
    <definedName name="KCINORMDD" localSheetId="27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20">INDIRECT("NORM_WX!" &amp; ADDRESS(4,4)&amp;":"&amp;ADDRESS(COUNTA(#REF!)+3,4))</definedName>
    <definedName name="KCNORMDD" localSheetId="26">INDIRECT("NORM_WX!" &amp; ADDRESS(4,4)&amp;":"&amp;ADDRESS(COUNTA([2]NORM_WX!$D$4:$D$65536)+3,4))</definedName>
    <definedName name="KCNORMDD" localSheetId="28">INDIRECT("NORM_WX!" &amp; ADDRESS(4,4)&amp;":"&amp;ADDRESS(COUNTA([2]NORM_WX!$D$4:$D$65536)+3,4))</definedName>
    <definedName name="KCNORMDD" localSheetId="27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20">INDIRECT("NORM_WX!" &amp; ADDRESS(4,8)&amp;":"&amp;ADDRESS(COUNTA(#REF!)+3,8))</definedName>
    <definedName name="KCNORMHDD" localSheetId="26">INDIRECT("NORM_WX!" &amp; ADDRESS(4,8)&amp;":"&amp;ADDRESS(COUNTA([2]NORM_WX!$H$4:$H$65536)+3,8))</definedName>
    <definedName name="KCNORMHDD" localSheetId="28">INDIRECT("NORM_WX!" &amp; ADDRESS(4,8)&amp;":"&amp;ADDRESS(COUNTA([2]NORM_WX!$H$4:$H$65536)+3,8))</definedName>
    <definedName name="KCNORMHDD" localSheetId="27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20">INDIRECT("NORM_WX!" &amp; ADDRESS(4,3)&amp;":"&amp;ADDRESS(COUNTA(#REF!)+3,3))</definedName>
    <definedName name="KCNORMMM" localSheetId="26">INDIRECT("NORM_WX!" &amp; ADDRESS(4,3)&amp;":"&amp;ADDRESS(COUNTA([2]NORM_WX!$C$4:$C$65536)+3,3))</definedName>
    <definedName name="KCNORMMM" localSheetId="28">INDIRECT("NORM_WX!" &amp; ADDRESS(4,3)&amp;":"&amp;ADDRESS(COUNTA([2]NORM_WX!$C$4:$C$65536)+3,3))</definedName>
    <definedName name="KCNORMMM" localSheetId="27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20">INDIRECT("NORM_WX!" &amp; ADDRESS(4,2)&amp;":"&amp;ADDRESS(COUNTA(#REF!)+3,2))</definedName>
    <definedName name="KCNORMYYYY" localSheetId="26">INDIRECT("NORM_WX!" &amp; ADDRESS(4,2)&amp;":"&amp;ADDRESS(COUNTA([2]NORM_WX!$B$4:$B$65536)+3,2))</definedName>
    <definedName name="KCNORMYYYY" localSheetId="28">INDIRECT("NORM_WX!" &amp; ADDRESS(4,2)&amp;":"&amp;ADDRESS(COUNTA([2]NORM_WX!$B$4:$B$65536)+3,2))</definedName>
    <definedName name="KCNORMYYYY" localSheetId="27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26">INDIRECT("ACT_WX!" &amp; ADDRESS(4,19)&amp;":"&amp;ADDRESS(COUNTA([2]ACT_WX!$D$4:$D$65536)+3,19))</definedName>
    <definedName name="KVACTDD" localSheetId="28">INDIRECT("ACT_WX!" &amp; ADDRESS(4,19)&amp;":"&amp;ADDRESS(COUNTA([2]ACT_WX!$D$4:$D$65536)+3,19))</definedName>
    <definedName name="KVACTDD" localSheetId="27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26">INDIRECT("ACT_WX!" &amp; ADDRESS(4,23)&amp;":"&amp;ADDRESS(COUNTA([2]ACT_WX!$H$4:$H$65536)+3,23))</definedName>
    <definedName name="KVACTHDD" localSheetId="28">INDIRECT("ACT_WX!" &amp; ADDRESS(4,23)&amp;":"&amp;ADDRESS(COUNTA([2]ACT_WX!$H$4:$H$65536)+3,23))</definedName>
    <definedName name="KVACTHDD" localSheetId="27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26">INDIRECT("ACT_WX!" &amp; ADDRESS(4,18)&amp;":"&amp;ADDRESS(COUNTA([2]ACT_WX!$C$4:$C$65536)+3,18))</definedName>
    <definedName name="KVACTMM" localSheetId="28">INDIRECT("ACT_WX!" &amp; ADDRESS(4,18)&amp;":"&amp;ADDRESS(COUNTA([2]ACT_WX!$C$4:$C$65536)+3,18))</definedName>
    <definedName name="KVACTMM" localSheetId="27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26">INDIRECT("ACT_WX!" &amp; ADDRESS(4,17)&amp;":"&amp;ADDRESS(COUNTA([2]ACT_WX!$B$4:$B$65536)+3,17))</definedName>
    <definedName name="KVACTYYYY" localSheetId="28">INDIRECT("ACT_WX!" &amp; ADDRESS(4,17)&amp;":"&amp;ADDRESS(COUNTA([2]ACT_WX!$B$4:$B$65536)+3,17))</definedName>
    <definedName name="KVACTYYYY" localSheetId="27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20">INDIRECT("NORM_WX!" &amp; ADDRESS(4,19)&amp;":"&amp;ADDRESS(COUNTA(#REF!)+3,19))</definedName>
    <definedName name="KVNORMDD" localSheetId="26">INDIRECT("NORM_WX!" &amp; ADDRESS(4,19)&amp;":"&amp;ADDRESS(COUNTA([2]NORM_WX!$D$4:$D$65536)+3,19))</definedName>
    <definedName name="KVNORMDD" localSheetId="28">INDIRECT("NORM_WX!" &amp; ADDRESS(4,19)&amp;":"&amp;ADDRESS(COUNTA([2]NORM_WX!$D$4:$D$65536)+3,19))</definedName>
    <definedName name="KVNORMDD" localSheetId="27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20">INDIRECT("NORM_WX!" &amp; ADDRESS(4,23)&amp;":"&amp;ADDRESS(COUNTA(#REF!)+3,23))</definedName>
    <definedName name="KVNORMHDD" localSheetId="26">INDIRECT("NORM_WX!" &amp; ADDRESS(4,23)&amp;":"&amp;ADDRESS(COUNTA([2]NORM_WX!$H$4:$H$65536)+3,23))</definedName>
    <definedName name="KVNORMHDD" localSheetId="28">INDIRECT("NORM_WX!" &amp; ADDRESS(4,23)&amp;":"&amp;ADDRESS(COUNTA([2]NORM_WX!$H$4:$H$65536)+3,23))</definedName>
    <definedName name="KVNORMHDD" localSheetId="27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20">INDIRECT("NORM_WX!" &amp; ADDRESS(4,18)&amp;":"&amp;ADDRESS(COUNTA(#REF!)+3,18))</definedName>
    <definedName name="KVNORMMM" localSheetId="26">INDIRECT("NORM_WX!" &amp; ADDRESS(4,18)&amp;":"&amp;ADDRESS(COUNTA([2]NORM_WX!$C$4:$C$65536)+3,18))</definedName>
    <definedName name="KVNORMMM" localSheetId="28">INDIRECT("NORM_WX!" &amp; ADDRESS(4,18)&amp;":"&amp;ADDRESS(COUNTA([2]NORM_WX!$C$4:$C$65536)+3,18))</definedName>
    <definedName name="KVNORMMM" localSheetId="27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20">INDIRECT("NORM_WX!" &amp; ADDRESS(4,17)&amp;":"&amp;ADDRESS(COUNTA(#REF!)+3,17))</definedName>
    <definedName name="KVNORMYYYY" localSheetId="26">INDIRECT("NORM_WX!" &amp; ADDRESS(4,17)&amp;":"&amp;ADDRESS(COUNTA([2]NORM_WX!$B$4:$B$65536)+3,17))</definedName>
    <definedName name="KVNORMYYYY" localSheetId="28">INDIRECT("NORM_WX!" &amp; ADDRESS(4,17)&amp;":"&amp;ADDRESS(COUNTA([2]NORM_WX!$B$4:$B$65536)+3,17))</definedName>
    <definedName name="KVNORMYYYY" localSheetId="27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26">#REF!</definedName>
    <definedName name="Maps.OlapDataMap.OlapDataMap1.Columns.0.Caption" localSheetId="27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26">#REF!</definedName>
    <definedName name="Maps.OlapDataMap.OlapDataMap1.Columns.0.Key" localSheetId="27">#REF!</definedName>
    <definedName name="Maps.OlapDataMap.OlapDataMap1.Columns.0.Key">#REF!</definedName>
    <definedName name="Maps.OlapDataMap.OlapDataMap1.Columns.1.Caption" localSheetId="26">#REF!</definedName>
    <definedName name="Maps.OlapDataMap.OlapDataMap1.Columns.1.Caption" localSheetId="27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26">#REF!</definedName>
    <definedName name="Maps.OlapDataMap.OlapDataMap1.Columns.1.Key" localSheetId="27">#REF!</definedName>
    <definedName name="Maps.OlapDataMap.OlapDataMap1.Columns.1.Key">#REF!</definedName>
    <definedName name="Maps.OlapDataMap.OlapDataMap1.Columns.2.Caption" localSheetId="26">#REF!</definedName>
    <definedName name="Maps.OlapDataMap.OlapDataMap1.Columns.2.Caption" localSheetId="27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26">#REF!</definedName>
    <definedName name="Maps.OlapDataMap.OlapDataMap1.Columns.2.Key" localSheetId="27">#REF!</definedName>
    <definedName name="Maps.OlapDataMap.OlapDataMap1.Columns.2.Key">#REF!</definedName>
    <definedName name="Maps.OlapDataMap.OlapDataMap1.Columns.3.Caption" localSheetId="26">#REF!</definedName>
    <definedName name="Maps.OlapDataMap.OlapDataMap1.Columns.3.Caption" localSheetId="27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26">#REF!</definedName>
    <definedName name="Maps.OlapDataMap.OlapDataMap1.Columns.3.Key" localSheetId="27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26">#REF!</definedName>
    <definedName name="Maps.OlapDataMap.OlapDataMap1.Pages.0.Key" localSheetId="27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26">#REF!</definedName>
    <definedName name="Maps.OlapDataMap.OlapDataMap1.Pages.1.Key" localSheetId="27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26">#REF!</definedName>
    <definedName name="Maps.OlapDataMap.OlapDataMap1.Pages.2.Key" localSheetId="27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26">#REF!</definedName>
    <definedName name="Maps.OlapDataMap.OlapDataMap1.Pages.3.Key" localSheetId="27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26">#REF!</definedName>
    <definedName name="Maps.OlapDataMap.OlapDataMap1.Pages.4.Key" localSheetId="27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26">#REF!</definedName>
    <definedName name="Maps.OlapDataMap.OlapDataMap1.Pages.5.Key" localSheetId="27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26">#REF!</definedName>
    <definedName name="Maps.OlapDataMap.OlapDataMap1.Pages.6.Key" localSheetId="27">#REF!</definedName>
    <definedName name="Maps.OlapDataMap.OlapDataMap1.Pages.6.Key">#REF!</definedName>
    <definedName name="Maps.OlapDataMap.OlapDataMap1.Rows.0.Caption" localSheetId="26">#REF!</definedName>
    <definedName name="Maps.OlapDataMap.OlapDataMap1.Rows.0.Caption" localSheetId="27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26">#REF!</definedName>
    <definedName name="Maps.OlapDataMap.OlapDataMap1.Rows.0.Key" localSheetId="27">#REF!</definedName>
    <definedName name="Maps.OlapDataMap.OlapDataMap1.Rows.0.Key">#REF!</definedName>
    <definedName name="Maps.OlapDataMap.OlapDataMap1.Rows.1.Caption" localSheetId="26">#REF!</definedName>
    <definedName name="Maps.OlapDataMap.OlapDataMap1.Rows.1.Caption" localSheetId="27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26">#REF!</definedName>
    <definedName name="Maps.OlapDataMap.OlapDataMap1.Rows.1.Key" localSheetId="27">#REF!</definedName>
    <definedName name="Maps.OlapDataMap.OlapDataMap1.Rows.1.Key">#REF!</definedName>
    <definedName name="MenuItem.Caption">"PL Act vs Bud - With GL details (Region View)"</definedName>
    <definedName name="NUMODAYZ" localSheetId="26">INDIRECT("'Meter Reading Schedule'!" &amp; ADDRESS(5,2)&amp;":"&amp;ADDRESS(5,COUNTA('Meter Reading_NEMO'!$10:$10)))</definedName>
    <definedName name="NUMODAYZ" localSheetId="28">INDIRECT("'Meter Reading Schedule'!" &amp; ADDRESS(5,2)&amp;":"&amp;ADDRESS(5,COUNTA('Meter Reading_SEMO'!$10:$10)))</definedName>
    <definedName name="NUMODAYZ" localSheetId="27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0">' Rates - Sheets 67.2-67.5'!$A$1:$T$71</definedName>
    <definedName name="_xlnm.Print_Area" localSheetId="14">' SRR SGS WEMO'!$A$1:$R$28</definedName>
    <definedName name="_xlnm.Print_Area" localSheetId="29">'Acctg Recon'!$A$1:$P$100</definedName>
    <definedName name="_xlnm.Print_Area" localSheetId="25">Actual_CGI_HDD!$A$1:$G$222</definedName>
    <definedName name="_xlnm.Print_Area" localSheetId="24">Actual_Kirk_HDD!$A$1:$I$376</definedName>
    <definedName name="_xlnm.Print_Area" localSheetId="9">Assumptions!$A$1:$G$22</definedName>
    <definedName name="_xlnm.Print_Area" localSheetId="3">'CSWNA Res NEMO'!$A$1:$I$82</definedName>
    <definedName name="_xlnm.Print_Area" localSheetId="7">'CSWNA Res SEMO'!$A$1:$I$82</definedName>
    <definedName name="_xlnm.Print_Area" localSheetId="5">'CSWNA Res WEMO'!$A$1:$I$82</definedName>
    <definedName name="_xlnm.Print_Area" localSheetId="4">'CSWNA SGS NEMO'!$A$1:$I$82</definedName>
    <definedName name="_xlnm.Print_Area" localSheetId="8">'CSWNA SGS SEMO'!$A$1:$I$82</definedName>
    <definedName name="_xlnm.Print_Area" localSheetId="6">'CSWNA SGS WEMO'!$A$1:$I$82</definedName>
    <definedName name="_xlnm.Print_Area" localSheetId="1">'CSWNA Summary'!#REF!</definedName>
    <definedName name="_xlnm.Print_Area" localSheetId="22">'Customer Count by Cycle'!$A$1:$O$115</definedName>
    <definedName name="_xlnm.Print_Area" localSheetId="21">HDD_Summary!$A$2:$K$369</definedName>
    <definedName name="_xlnm.Print_Area" localSheetId="18">Input_NEMO!$A$1:$J$22</definedName>
    <definedName name="_xlnm.Print_Area" localSheetId="20">Input_SEMO!$A$1:$J$22</definedName>
    <definedName name="_xlnm.Print_Area" localSheetId="19">Input_WEMO!$A$1:$J$23</definedName>
    <definedName name="_xlnm.Print_Area" localSheetId="26">'Meter Reading_NEMO'!$A$1:$Z$10</definedName>
    <definedName name="_xlnm.Print_Area" localSheetId="28">'Meter Reading_SEMO'!$A$1:$X$10</definedName>
    <definedName name="_xlnm.Print_Area" localSheetId="27">'Meter Reading_WEMO'!$A$1:$X$10</definedName>
    <definedName name="_xlnm.Print_Area" localSheetId="11">'SRR Res NEMO'!$A$1:$R$29</definedName>
    <definedName name="_xlnm.Print_Area" localSheetId="15">'SRR Res SEMO'!$A$1:$R$28</definedName>
    <definedName name="_xlnm.Print_Area" localSheetId="12">'SRR Res WEMO'!$A$1:$R$28</definedName>
    <definedName name="_xlnm.Print_Area" localSheetId="13">'SRR SGS NEMO'!$A$1:$R$28</definedName>
    <definedName name="_xlnm.Print_Area" localSheetId="16">'SRR SGS SEMO'!$A$1:$R$28</definedName>
    <definedName name="_xlnm.Print_Area" localSheetId="10">'SRR Summary'!$A$1:$M$68</definedName>
    <definedName name="_xlnm.Print_Area" localSheetId="23">'Staff Ranked NHDD'!$A$1:$F$375</definedName>
    <definedName name="_xlnm.Print_Area" localSheetId="2">'WNA Excess Limit Balance'!$A$1:$K$62</definedName>
    <definedName name="Print_Area_MI" localSheetId="26">#REF!</definedName>
    <definedName name="Print_Area_MI" localSheetId="27">#REF!</definedName>
    <definedName name="Print_Area_MI">#REF!</definedName>
    <definedName name="_xlnm.Print_Titles" localSheetId="0">' Rates - Sheets 67.2-67.5'!$1:$11</definedName>
    <definedName name="_xlnm.Print_Titles" localSheetId="29">'Acctg Recon'!$1:$11</definedName>
    <definedName name="_xlnm.Print_Titles" localSheetId="25">Actual_CGI_HDD!$1:$8</definedName>
    <definedName name="_xlnm.Print_Titles" localSheetId="24">Actual_Kirk_HDD!$1:$8</definedName>
    <definedName name="_xlnm.Print_Titles" localSheetId="3">'CSWNA Res NEMO'!$1:$6</definedName>
    <definedName name="_xlnm.Print_Titles" localSheetId="7">'CSWNA Res SEMO'!$1:$6</definedName>
    <definedName name="_xlnm.Print_Titles" localSheetId="5">'CSWNA Res WEMO'!$1:$6</definedName>
    <definedName name="_xlnm.Print_Titles" localSheetId="4">'CSWNA SGS NEMO'!$1:$6</definedName>
    <definedName name="_xlnm.Print_Titles" localSheetId="8">'CSWNA SGS SEMO'!$1:$6</definedName>
    <definedName name="_xlnm.Print_Titles" localSheetId="6">'CSWNA SGS WEMO'!$1:$6</definedName>
    <definedName name="_xlnm.Print_Titles" localSheetId="22">'Customer Count by Cycle'!$1:$5</definedName>
    <definedName name="_xlnm.Print_Titles" localSheetId="21">HDD_Summary!$1:$3</definedName>
    <definedName name="_xlnm.Print_Titles" localSheetId="23">'Staff Ranked NHDD'!$1:$7</definedName>
    <definedName name="_xlnm.Print_Titles">#N/A</definedName>
    <definedName name="RefVarPriorYear" localSheetId="26">#REF!</definedName>
    <definedName name="RefVarPriorYear" localSheetId="27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26">#REF!</definedName>
    <definedName name="RowRanges.RowAcquisitionCost" localSheetId="27">#REF!</definedName>
    <definedName name="RowRanges.RowAcquisitionCost">#REF!</definedName>
    <definedName name="RowRanges.RowAcquisitionCosts" localSheetId="26">#REF!</definedName>
    <definedName name="RowRanges.RowAcquisitionCosts" localSheetId="27">#REF!</definedName>
    <definedName name="RowRanges.RowAcquisitionCosts">#REF!</definedName>
    <definedName name="RowRanges.RowAFUDC" localSheetId="26">#REF!</definedName>
    <definedName name="RowRanges.RowAFUDC" localSheetId="27">#REF!</definedName>
    <definedName name="RowRanges.RowAFUDC">#REF!</definedName>
    <definedName name="RowRanges.RowCheck" localSheetId="26">#REF!</definedName>
    <definedName name="RowRanges.RowCheck" localSheetId="27">#REF!</definedName>
    <definedName name="RowRanges.RowCheck">#REF!</definedName>
    <definedName name="RowRanges.RowCorpAdmin" localSheetId="26">#REF!</definedName>
    <definedName name="RowRanges.RowCorpAdmin" localSheetId="27">#REF!</definedName>
    <definedName name="RowRanges.RowCorpAdmin">#REF!</definedName>
    <definedName name="RowRanges.RowCorpServAdmin" localSheetId="26">#REF!</definedName>
    <definedName name="RowRanges.RowCorpServAdmin" localSheetId="27">#REF!</definedName>
    <definedName name="RowRanges.RowCorpServAdmin">#REF!</definedName>
    <definedName name="RowRanges.RowCustomers" localSheetId="26">#REF!</definedName>
    <definedName name="RowRanges.RowCustomers" localSheetId="27">#REF!</definedName>
    <definedName name="RowRanges.RowCustomers">#REF!</definedName>
    <definedName name="RowRanges.RowDepAmortDetail" localSheetId="26">#REF!</definedName>
    <definedName name="RowRanges.RowDepAmortDetail" localSheetId="27">#REF!</definedName>
    <definedName name="RowRanges.RowDepAmortDetail">#REF!</definedName>
    <definedName name="RowRanges.RowEnergyCostDetail" localSheetId="26">#REF!</definedName>
    <definedName name="RowRanges.RowEnergyCostDetail" localSheetId="27">#REF!</definedName>
    <definedName name="RowRanges.RowEnergyCostDetail">#REF!</definedName>
    <definedName name="RowRanges.RowEnergyCostTotal" localSheetId="26">#REF!</definedName>
    <definedName name="RowRanges.RowEnergyCostTotal" localSheetId="27">#REF!</definedName>
    <definedName name="RowRanges.RowEnergyCostTotal">#REF!</definedName>
    <definedName name="RowRanges.RowExecAdmin" localSheetId="26">#REF!</definedName>
    <definedName name="RowRanges.RowExecAdmin" localSheetId="27">#REF!</definedName>
    <definedName name="RowRanges.RowExecAdmin">#REF!</definedName>
    <definedName name="RowRanges.RowGainLossDerivativeInstruments" localSheetId="26">#REF!</definedName>
    <definedName name="RowRanges.RowGainLossDerivativeInstruments" localSheetId="27">#REF!</definedName>
    <definedName name="RowRanges.RowGainLossDerivativeInstruments">#REF!</definedName>
    <definedName name="RowRanges.RowGainLossFixedAssetDisposal" localSheetId="26">#REF!</definedName>
    <definedName name="RowRanges.RowGainLossFixedAssetDisposal" localSheetId="27">#REF!</definedName>
    <definedName name="RowRanges.RowGainLossFixedAssetDisposal">#REF!</definedName>
    <definedName name="RowRanges.RowGainLossForeignExchange" localSheetId="26">#REF!</definedName>
    <definedName name="RowRanges.RowGainLossForeignExchange" localSheetId="27">#REF!</definedName>
    <definedName name="RowRanges.RowGainLossForeignExchange">#REF!</definedName>
    <definedName name="RowRanges.RowInterestExpense" localSheetId="26">#REF!</definedName>
    <definedName name="RowRanges.RowInterestExpense" localSheetId="27">#REF!</definedName>
    <definedName name="RowRanges.RowInterestExpense">#REF!</definedName>
    <definedName name="RowRanges.RowInterestSubtotal" localSheetId="26">#REF!</definedName>
    <definedName name="RowRanges.RowInterestSubtotal" localSheetId="27">#REF!</definedName>
    <definedName name="RowRanges.RowInterestSubtotal">#REF!</definedName>
    <definedName name="RowRanges.RowMeta" localSheetId="26">#REF!</definedName>
    <definedName name="RowRanges.RowMeta" localSheetId="27">#REF!</definedName>
    <definedName name="RowRanges.RowMeta">#REF!</definedName>
    <definedName name="RowRanges.RowMinInt" localSheetId="26">#REF!</definedName>
    <definedName name="RowRanges.RowMinInt" localSheetId="27">#REF!</definedName>
    <definedName name="RowRanges.RowMinInt">#REF!</definedName>
    <definedName name="RowRanges.RowOtherEBITDADetail" localSheetId="26">#REF!</definedName>
    <definedName name="RowRanges.RowOtherEBITDADetail" localSheetId="27">#REF!</definedName>
    <definedName name="RowRanges.RowOtherEBITDADetail">#REF!</definedName>
    <definedName name="RowRanges.RowPageFilter" localSheetId="26">#REF!</definedName>
    <definedName name="RowRanges.RowPageFilter" localSheetId="27">#REF!</definedName>
    <definedName name="RowRanges.RowPageFilter">#REF!</definedName>
    <definedName name="RowRanges.RowRangeAdminLabour" localSheetId="26">#REF!</definedName>
    <definedName name="RowRanges.RowRangeAdminLabour" localSheetId="27">#REF!</definedName>
    <definedName name="RowRanges.RowRangeAdminLabour">#REF!</definedName>
    <definedName name="RowRanges.RowRangeAdminNonLabour" localSheetId="26">#REF!</definedName>
    <definedName name="RowRanges.RowRangeAdminNonLabour" localSheetId="27">#REF!</definedName>
    <definedName name="RowRanges.RowRangeAdminNonLabour">#REF!</definedName>
    <definedName name="RowRanges.RowRangeCustCareLabour" localSheetId="26">#REF!</definedName>
    <definedName name="RowRanges.RowRangeCustCareLabour" localSheetId="27">#REF!</definedName>
    <definedName name="RowRanges.RowRangeCustCareLabour">#REF!</definedName>
    <definedName name="RowRanges.RowRangeCustCareNonLabour" localSheetId="26">#REF!</definedName>
    <definedName name="RowRanges.RowRangeCustCareNonLabour" localSheetId="27">#REF!</definedName>
    <definedName name="RowRanges.RowRangeCustCareNonLabour">#REF!</definedName>
    <definedName name="RowRanges.RowRangeDivIncomeTotal" localSheetId="26">#REF!</definedName>
    <definedName name="RowRanges.RowRangeDivIncomeTotal" localSheetId="27">#REF!</definedName>
    <definedName name="RowRanges.RowRangeDivIncomeTotal">#REF!</definedName>
    <definedName name="RowRanges.RowRangeEnergySales" localSheetId="26">#REF!</definedName>
    <definedName name="RowRanges.RowRangeEnergySales" localSheetId="27">#REF!</definedName>
    <definedName name="RowRanges.RowRangeEnergySales">#REF!</definedName>
    <definedName name="RowRanges.RowRangeEnergySalesTotal" localSheetId="26">#REF!</definedName>
    <definedName name="RowRanges.RowRangeEnergySalesTotal" localSheetId="27">#REF!</definedName>
    <definedName name="RowRanges.RowRangeEnergySalesTotal">#REF!</definedName>
    <definedName name="RowRanges.RowRangeIncTaxTotal" localSheetId="26">#REF!</definedName>
    <definedName name="RowRanges.RowRangeIncTaxTotal" localSheetId="27">#REF!</definedName>
    <definedName name="RowRanges.RowRangeIncTaxTotal">#REF!</definedName>
    <definedName name="RowRanges.RowRangeLABSAllocation" localSheetId="26">#REF!</definedName>
    <definedName name="RowRanges.RowRangeLABSAllocation" localSheetId="27">#REF!</definedName>
    <definedName name="RowRanges.RowRangeLABSAllocation">#REF!</definedName>
    <definedName name="RowRanges.RowRangeLUAllocation" localSheetId="26">#REF!</definedName>
    <definedName name="RowRanges.RowRangeLUAllocation" localSheetId="27">#REF!</definedName>
    <definedName name="RowRanges.RowRangeLUAllocation">#REF!</definedName>
    <definedName name="RowRanges.RowRangeOpsLabour" localSheetId="26">#REF!</definedName>
    <definedName name="RowRanges.RowRangeOpsLabour" localSheetId="27">#REF!</definedName>
    <definedName name="RowRanges.RowRangeOpsLabour">#REF!</definedName>
    <definedName name="RowRanges.RowRangeOpsNonLabour" localSheetId="26">#REF!</definedName>
    <definedName name="RowRanges.RowRangeOpsNonLabour" localSheetId="27">#REF!</definedName>
    <definedName name="RowRanges.RowRangeOpsNonLabour">#REF!</definedName>
    <definedName name="RowRanges.RowRangeOtherEBITDATotal" localSheetId="26">#REF!</definedName>
    <definedName name="RowRanges.RowRangeOtherEBITDATotal" localSheetId="27">#REF!</definedName>
    <definedName name="RowRanges.RowRangeOtherEBITDATotal">#REF!</definedName>
    <definedName name="RowRanges.RowRangeOtherRevenue" localSheetId="26">#REF!</definedName>
    <definedName name="RowRanges.RowRangeOtherRevenue" localSheetId="27">#REF!</definedName>
    <definedName name="RowRanges.RowRangeOtherRevenue">#REF!</definedName>
    <definedName name="RowRanges.RowRangeOtherRevenueTotal" localSheetId="26">#REF!</definedName>
    <definedName name="RowRanges.RowRangeOtherRevenueTotal" localSheetId="27">#REF!</definedName>
    <definedName name="RowRanges.RowRangeOtherRevenueTotal">#REF!</definedName>
    <definedName name="RowRanges.RowRangeOtherTotal" localSheetId="26">#REF!</definedName>
    <definedName name="RowRanges.RowRangeOtherTotal" localSheetId="27">#REF!</definedName>
    <definedName name="RowRanges.RowRangeOtherTotal">#REF!</definedName>
    <definedName name="RowRanges.RowRangeSteamSales" localSheetId="26">#REF!</definedName>
    <definedName name="RowRanges.RowRangeSteamSales" localSheetId="27">#REF!</definedName>
    <definedName name="RowRanges.RowRangeSteamSales">#REF!</definedName>
    <definedName name="RowRanges.RowRangeSteamSalesTotal" localSheetId="26">#REF!</definedName>
    <definedName name="RowRanges.RowRangeSteamSalesTotal" localSheetId="27">#REF!</definedName>
    <definedName name="RowRanges.RowRangeSteamSalesTotal">#REF!</definedName>
    <definedName name="RowRanges.RowRangeUtilitySalesEnergy" localSheetId="26">#REF!</definedName>
    <definedName name="RowRanges.RowRangeUtilitySalesEnergy" localSheetId="27">#REF!</definedName>
    <definedName name="RowRanges.RowRangeUtilitySalesEnergy">#REF!</definedName>
    <definedName name="RowRanges.RowRangeUtilitySalesEnergyTotal" localSheetId="26">#REF!</definedName>
    <definedName name="RowRanges.RowRangeUtilitySalesEnergyTotal" localSheetId="27">#REF!</definedName>
    <definedName name="RowRanges.RowRangeUtilitySalesEnergyTotal">#REF!</definedName>
    <definedName name="RowRanges.RowRangeUtilitySalesGas" localSheetId="26">#REF!</definedName>
    <definedName name="RowRanges.RowRangeUtilitySalesGas" localSheetId="27">#REF!</definedName>
    <definedName name="RowRanges.RowRangeUtilitySalesGas">#REF!</definedName>
    <definedName name="RowRanges.RowRangeUtilitySalesGasTotal" localSheetId="26">#REF!</definedName>
    <definedName name="RowRanges.RowRangeUtilitySalesGasTotal" localSheetId="27">#REF!</definedName>
    <definedName name="RowRanges.RowRangeUtilitySalesGasTotal">#REF!</definedName>
    <definedName name="RowRanges.RowRangeUtilitySalesWater" localSheetId="26">#REF!</definedName>
    <definedName name="RowRanges.RowRangeUtilitySalesWater" localSheetId="27">#REF!</definedName>
    <definedName name="RowRanges.RowRangeUtilitySalesWater">#REF!</definedName>
    <definedName name="RowRanges.RowRangeUtilitySalesWaterTotal" localSheetId="26">#REF!</definedName>
    <definedName name="RowRanges.RowRangeUtilitySalesWaterTotal" localSheetId="27">#REF!</definedName>
    <definedName name="RowRanges.RowRangeUtilitySalesWaterTotal">#REF!</definedName>
    <definedName name="RowRanges.RowRangeWasteDisposalFees" localSheetId="26">#REF!</definedName>
    <definedName name="RowRanges.RowRangeWasteDisposalFees" localSheetId="27">#REF!</definedName>
    <definedName name="RowRanges.RowRangeWasteDisposalFees">#REF!</definedName>
    <definedName name="RowRanges.RowRangeWasteDisposalFeesTotal" localSheetId="26">#REF!</definedName>
    <definedName name="RowRanges.RowRangeWasteDisposalFeesTotal" localSheetId="27">#REF!</definedName>
    <definedName name="RowRanges.RowRangeWasteDisposalFeesTotal">#REF!</definedName>
    <definedName name="RowRanges.RowTaxDetail" localSheetId="26">#REF!</definedName>
    <definedName name="RowRanges.RowTaxDetail" localSheetId="27">#REF!</definedName>
    <definedName name="RowRanges.RowTaxDetail">#REF!</definedName>
    <definedName name="RowRanges.RowVol_Energy" localSheetId="26">#REF!</definedName>
    <definedName name="RowRanges.RowVol_Energy" localSheetId="27">#REF!</definedName>
    <definedName name="RowRanges.RowVol_Energy">#REF!</definedName>
    <definedName name="RowRanges.RowVol_Gas" localSheetId="26">#REF!</definedName>
    <definedName name="RowRanges.RowVol_Gas" localSheetId="27">#REF!</definedName>
    <definedName name="RowRanges.RowVol_Gas">#REF!</definedName>
    <definedName name="RowRanges.RowVol_Sewer" localSheetId="26">#REF!</definedName>
    <definedName name="RowRanges.RowVol_Sewer" localSheetId="27">#REF!</definedName>
    <definedName name="RowRanges.RowVol_Sewer">#REF!</definedName>
    <definedName name="RowRanges.RowVol_Water" localSheetId="26">#REF!</definedName>
    <definedName name="RowRanges.RowVol_Water" localSheetId="27">#REF!</definedName>
    <definedName name="RowRanges.RowVol_Water">#REF!</definedName>
    <definedName name="SPRACTDD" localSheetId="26">INDIRECT("ACT_WX!" &amp; ADDRESS(4,19)&amp;":"&amp;ADDRESS(COUNTA([2]ACT_WX!$S:$S)+3,19))</definedName>
    <definedName name="SPRACTDD" localSheetId="28">INDIRECT("ACT_WX!" &amp; ADDRESS(4,19)&amp;":"&amp;ADDRESS(COUNTA([2]ACT_WX!$S:$S)+3,19))</definedName>
    <definedName name="SPRACTDD" localSheetId="27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26">INDIRECT("ACT_WX!" &amp; ADDRESS(4,23)&amp;":"&amp;ADDRESS(COUNTA([2]ACT_WX!$W:$W)+3,23))</definedName>
    <definedName name="SPRACTHDD" localSheetId="28">INDIRECT("ACT_WX!" &amp; ADDRESS(4,23)&amp;":"&amp;ADDRESS(COUNTA([2]ACT_WX!$W:$W)+3,23))</definedName>
    <definedName name="SPRACTHDD" localSheetId="27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26">INDIRECT("ACT_WX!" &amp; ADDRESS(4,18)&amp;":"&amp;ADDRESS(COUNTA([2]ACT_WX!$R:$R)+3,18))</definedName>
    <definedName name="SPRACTMM" localSheetId="28">INDIRECT("ACT_WX!" &amp; ADDRESS(4,18)&amp;":"&amp;ADDRESS(COUNTA([2]ACT_WX!$R:$R)+3,18))</definedName>
    <definedName name="SPRACTMM" localSheetId="27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26">INDIRECT("ACT_WX!" &amp; ADDRESS(4,17)&amp;":"&amp;ADDRESS(COUNTA([2]ACT_WX!$Q:$Q)+3,17))</definedName>
    <definedName name="SPRACTYYYY" localSheetId="28">INDIRECT("ACT_WX!" &amp; ADDRESS(4,17)&amp;":"&amp;ADDRESS(COUNTA([2]ACT_WX!$Q:$Q)+3,17))</definedName>
    <definedName name="SPRACTYYYY" localSheetId="27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20">INDIRECT("NORM_WX!" &amp; ADDRESS(4,19)&amp;":"&amp;ADDRESS(COUNTA(#REF!)+3,19))</definedName>
    <definedName name="SPRNORMDD" localSheetId="26">INDIRECT("NORM_WX!" &amp; ADDRESS(4,19)&amp;":"&amp;ADDRESS(COUNTA([2]NORM_WX!$S$4:$S$65261)+3,19))</definedName>
    <definedName name="SPRNORMDD" localSheetId="28">INDIRECT("NORM_WX!" &amp; ADDRESS(4,19)&amp;":"&amp;ADDRESS(COUNTA([2]NORM_WX!$S$4:$S$65261)+3,19))</definedName>
    <definedName name="SPRNORMDD" localSheetId="27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20">INDIRECT("NORM_WX!" &amp; ADDRESS(4,23)&amp;":"&amp;ADDRESS(COUNTA(#REF!)+3,23))</definedName>
    <definedName name="SPRNORMHDD" localSheetId="26">INDIRECT("NORM_WX!" &amp; ADDRESS(4,23)&amp;":"&amp;ADDRESS(COUNTA([2]NORM_WX!$W$4:$W$65261)+3,23))</definedName>
    <definedName name="SPRNORMHDD" localSheetId="28">INDIRECT("NORM_WX!" &amp; ADDRESS(4,23)&amp;":"&amp;ADDRESS(COUNTA([2]NORM_WX!$W$4:$W$65261)+3,23))</definedName>
    <definedName name="SPRNORMHDD" localSheetId="27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20">INDIRECT("NORM_WX!" &amp; ADDRESS(4,18)&amp;":"&amp;ADDRESS(COUNTA(#REF!)+3,18))</definedName>
    <definedName name="SPRNORMMM" localSheetId="26">INDIRECT("NORM_WX!" &amp; ADDRESS(4,18)&amp;":"&amp;ADDRESS(COUNTA([2]NORM_WX!$R$4:$R$65261)+3,18))</definedName>
    <definedName name="SPRNORMMM" localSheetId="28">INDIRECT("NORM_WX!" &amp; ADDRESS(4,18)&amp;":"&amp;ADDRESS(COUNTA([2]NORM_WX!$R$4:$R$65261)+3,18))</definedName>
    <definedName name="SPRNORMMM" localSheetId="27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20">INDIRECT("NORM_WX!" &amp; ADDRESS(4,17)&amp;":"&amp;ADDRESS(COUNTA(#REF!)+3,17))</definedName>
    <definedName name="SPRNORMYYYY" localSheetId="26">INDIRECT("NORM_WX!" &amp; ADDRESS(4,17)&amp;":"&amp;ADDRESS(COUNTA([2]NORM_WX!$Q$4:$Q$65261)+3,17))</definedName>
    <definedName name="SPRNORMYYYY" localSheetId="28">INDIRECT("NORM_WX!" &amp; ADDRESS(4,17)&amp;":"&amp;ADDRESS(COUNTA([2]NORM_WX!$Q$4:$Q$65261)+3,17))</definedName>
    <definedName name="SPRNORMYYYY" localSheetId="27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4" i="58" l="1"/>
  <c r="K64" i="58"/>
  <c r="E64" i="58"/>
  <c r="S18" i="57"/>
  <c r="E12" i="56"/>
  <c r="F12" i="56" s="1"/>
  <c r="E11" i="56"/>
  <c r="F11" i="56" s="1"/>
  <c r="E12" i="55"/>
  <c r="F12" i="55" s="1"/>
  <c r="E11" i="55"/>
  <c r="F11" i="55" s="1"/>
  <c r="E12" i="54"/>
  <c r="F12" i="54" s="1"/>
  <c r="E11" i="54"/>
  <c r="F11" i="54" s="1"/>
  <c r="S18" i="54"/>
  <c r="S18" i="53"/>
  <c r="E12" i="53"/>
  <c r="F12" i="53" s="1"/>
  <c r="E11" i="53"/>
  <c r="F11" i="53" s="1"/>
  <c r="S18" i="52"/>
  <c r="E12" i="52"/>
  <c r="F12" i="52" s="1"/>
  <c r="E11" i="52" l="1"/>
  <c r="F11" i="52" l="1"/>
  <c r="E12" i="57" l="1"/>
  <c r="F12" i="57" s="1"/>
  <c r="E11" i="57"/>
  <c r="F11" i="57" s="1"/>
  <c r="E3" i="57"/>
  <c r="F3" i="57" s="1"/>
  <c r="G3" i="57" s="1"/>
  <c r="H3" i="57" s="1"/>
  <c r="E3" i="56"/>
  <c r="F3" i="56" s="1"/>
  <c r="G3" i="56" s="1"/>
  <c r="H3" i="56" s="1"/>
  <c r="E3" i="55"/>
  <c r="F3" i="55" s="1"/>
  <c r="G3" i="55" s="1"/>
  <c r="H3" i="55" s="1"/>
  <c r="E3" i="54"/>
  <c r="F3" i="54" s="1"/>
  <c r="G3" i="54" s="1"/>
  <c r="H3" i="54" s="1"/>
  <c r="E3" i="53"/>
  <c r="F3" i="53" s="1"/>
  <c r="G3" i="53" s="1"/>
  <c r="H3" i="53" s="1"/>
  <c r="E3" i="52" l="1"/>
  <c r="F3" i="52" s="1"/>
  <c r="G3" i="52" s="1"/>
  <c r="D131" i="35" l="1"/>
  <c r="D130" i="35"/>
  <c r="D116" i="35"/>
  <c r="D115" i="35"/>
  <c r="D101" i="35"/>
  <c r="D100" i="35"/>
  <c r="D86" i="35"/>
  <c r="D85" i="35"/>
  <c r="D127" i="35"/>
  <c r="D126" i="35"/>
  <c r="D125" i="35"/>
  <c r="D122" i="35"/>
  <c r="D121" i="35"/>
  <c r="D120" i="35"/>
  <c r="D112" i="35"/>
  <c r="D111" i="35"/>
  <c r="D110" i="35"/>
  <c r="D107" i="35"/>
  <c r="D106" i="35"/>
  <c r="D105" i="35"/>
  <c r="D97" i="35"/>
  <c r="D96" i="35"/>
  <c r="D95" i="35"/>
  <c r="D92" i="35"/>
  <c r="D91" i="35"/>
  <c r="D90" i="35"/>
  <c r="D82" i="35"/>
  <c r="D81" i="35"/>
  <c r="D80" i="35"/>
  <c r="D75" i="35"/>
  <c r="D76" i="35"/>
  <c r="D77" i="35"/>
  <c r="J19" i="55"/>
  <c r="J18" i="55" l="1"/>
  <c r="L19" i="55"/>
  <c r="L18" i="55"/>
  <c r="K19" i="55"/>
  <c r="S18" i="56" l="1"/>
  <c r="K18" i="55"/>
  <c r="S18" i="55" s="1"/>
  <c r="C25" i="4" l="1"/>
  <c r="C122" i="35"/>
  <c r="C107" i="35"/>
  <c r="C92" i="35"/>
  <c r="C77" i="35"/>
  <c r="E8" i="56" l="1"/>
  <c r="E19" i="56" s="1"/>
  <c r="E28" i="56" s="1"/>
  <c r="F8" i="56"/>
  <c r="F19" i="56" s="1"/>
  <c r="F28" i="56" s="1"/>
  <c r="D8" i="56"/>
  <c r="D19" i="56" s="1"/>
  <c r="S21" i="54"/>
  <c r="L43" i="62"/>
  <c r="H43" i="62"/>
  <c r="G43" i="62"/>
  <c r="D43" i="62"/>
  <c r="K43" i="62"/>
  <c r="E8" i="57"/>
  <c r="E19" i="57" s="1"/>
  <c r="E28" i="57" s="1"/>
  <c r="F8" i="57"/>
  <c r="F19" i="57" s="1"/>
  <c r="F28" i="57" s="1"/>
  <c r="D8" i="57"/>
  <c r="D19" i="57" s="1"/>
  <c r="D8" i="52"/>
  <c r="D19" i="52" s="1"/>
  <c r="F8" i="52"/>
  <c r="E8" i="52"/>
  <c r="E19" i="52" s="1"/>
  <c r="E28" i="52" s="1"/>
  <c r="F8" i="53"/>
  <c r="F19" i="53" s="1"/>
  <c r="F28" i="53" s="1"/>
  <c r="D8" i="53"/>
  <c r="D19" i="53" s="1"/>
  <c r="E8" i="53"/>
  <c r="E19" i="53" s="1"/>
  <c r="E28" i="53" s="1"/>
  <c r="F8" i="54"/>
  <c r="F19" i="54" s="1"/>
  <c r="F28" i="54" s="1"/>
  <c r="D8" i="54"/>
  <c r="D19" i="54" s="1"/>
  <c r="E8" i="54"/>
  <c r="E19" i="54" s="1"/>
  <c r="E28" i="54" s="1"/>
  <c r="F8" i="55"/>
  <c r="F19" i="55" s="1"/>
  <c r="F28" i="55" s="1"/>
  <c r="D8" i="55"/>
  <c r="D19" i="55" s="1"/>
  <c r="E8" i="55"/>
  <c r="E19" i="55" s="1"/>
  <c r="E28" i="55" s="1"/>
  <c r="I43" i="62"/>
  <c r="E43" i="62"/>
  <c r="J43" i="62"/>
  <c r="F43" i="62"/>
  <c r="E4" i="16"/>
  <c r="F4" i="16"/>
  <c r="E5" i="16" s="1"/>
  <c r="G4" i="16"/>
  <c r="H4" i="16"/>
  <c r="I4" i="16"/>
  <c r="J4" i="16"/>
  <c r="I5" i="16" s="1"/>
  <c r="K4" i="16"/>
  <c r="L4" i="16"/>
  <c r="M4" i="16"/>
  <c r="N4" i="16"/>
  <c r="M5" i="16" s="1"/>
  <c r="O4" i="16"/>
  <c r="P4" i="16"/>
  <c r="Q4" i="16"/>
  <c r="R4" i="16"/>
  <c r="Q5" i="16" s="1"/>
  <c r="S4" i="16"/>
  <c r="T4" i="16"/>
  <c r="U4" i="16"/>
  <c r="V4" i="16"/>
  <c r="U5" i="16" s="1"/>
  <c r="W4" i="16"/>
  <c r="X4" i="16"/>
  <c r="Y4" i="16"/>
  <c r="Z4" i="16"/>
  <c r="Y5" i="16" s="1"/>
  <c r="F4" i="32"/>
  <c r="G4" i="32"/>
  <c r="F5" i="32" s="1"/>
  <c r="H4" i="32"/>
  <c r="I4" i="32"/>
  <c r="J4" i="32"/>
  <c r="K4" i="32"/>
  <c r="L4" i="32"/>
  <c r="M4" i="32"/>
  <c r="L5" i="32" s="1"/>
  <c r="N4" i="32"/>
  <c r="O4" i="32"/>
  <c r="N5" i="32" s="1"/>
  <c r="P4" i="32"/>
  <c r="Q4" i="32"/>
  <c r="R4" i="32"/>
  <c r="S4" i="32"/>
  <c r="T4" i="32"/>
  <c r="U4" i="32"/>
  <c r="T5" i="32" s="1"/>
  <c r="V4" i="32"/>
  <c r="W4" i="32"/>
  <c r="V5" i="32" s="1"/>
  <c r="X4" i="32"/>
  <c r="Y4" i="32"/>
  <c r="Z4" i="32"/>
  <c r="J4" i="31"/>
  <c r="K4" i="31"/>
  <c r="J5" i="31" s="1"/>
  <c r="L4" i="31"/>
  <c r="M4" i="31"/>
  <c r="N4" i="31"/>
  <c r="O4" i="31"/>
  <c r="P4" i="31"/>
  <c r="Q4" i="31"/>
  <c r="P5" i="31" s="1"/>
  <c r="R4" i="31"/>
  <c r="S4" i="31"/>
  <c r="R5" i="31" s="1"/>
  <c r="T4" i="31"/>
  <c r="U4" i="31"/>
  <c r="V4" i="31"/>
  <c r="W4" i="31"/>
  <c r="X4" i="31"/>
  <c r="Y4" i="31"/>
  <c r="X5" i="31" s="1"/>
  <c r="Z4" i="31"/>
  <c r="E4" i="31"/>
  <c r="F4" i="31"/>
  <c r="G4" i="31"/>
  <c r="H4" i="31"/>
  <c r="I4" i="31"/>
  <c r="Y28" i="16"/>
  <c r="W28" i="16"/>
  <c r="U28" i="16"/>
  <c r="S28" i="16"/>
  <c r="Q28" i="16"/>
  <c r="O28" i="16"/>
  <c r="M28" i="16"/>
  <c r="K28" i="16"/>
  <c r="I28" i="16"/>
  <c r="G28" i="16"/>
  <c r="E28" i="16"/>
  <c r="C28" i="16"/>
  <c r="Y27" i="16"/>
  <c r="W27" i="16"/>
  <c r="U27" i="16"/>
  <c r="S27" i="16"/>
  <c r="Q27" i="16"/>
  <c r="O27" i="16"/>
  <c r="M27" i="16"/>
  <c r="K27" i="16"/>
  <c r="I27" i="16"/>
  <c r="G27" i="16"/>
  <c r="E27" i="16"/>
  <c r="C27" i="16"/>
  <c r="Y26" i="16"/>
  <c r="W26" i="16"/>
  <c r="U26" i="16"/>
  <c r="S26" i="16"/>
  <c r="Q26" i="16"/>
  <c r="O26" i="16"/>
  <c r="M26" i="16"/>
  <c r="K26" i="16"/>
  <c r="I26" i="16"/>
  <c r="G26" i="16"/>
  <c r="E26" i="16"/>
  <c r="C26" i="16"/>
  <c r="Y25" i="16"/>
  <c r="W25" i="16"/>
  <c r="U25" i="16"/>
  <c r="S25" i="16"/>
  <c r="Q25" i="16"/>
  <c r="O25" i="16"/>
  <c r="M25" i="16"/>
  <c r="K25" i="16"/>
  <c r="I25" i="16"/>
  <c r="G25" i="16"/>
  <c r="E25" i="16"/>
  <c r="C25" i="16"/>
  <c r="Y24" i="16"/>
  <c r="W24" i="16"/>
  <c r="U24" i="16"/>
  <c r="S24" i="16"/>
  <c r="Q24" i="16"/>
  <c r="O24" i="16"/>
  <c r="M24" i="16"/>
  <c r="K24" i="16"/>
  <c r="I24" i="16"/>
  <c r="G24" i="16"/>
  <c r="E24" i="16"/>
  <c r="C24" i="16"/>
  <c r="Y23" i="16"/>
  <c r="W23" i="16"/>
  <c r="U23" i="16"/>
  <c r="S23" i="16"/>
  <c r="Q23" i="16"/>
  <c r="O23" i="16"/>
  <c r="M23" i="16"/>
  <c r="K23" i="16"/>
  <c r="I23" i="16"/>
  <c r="G23" i="16"/>
  <c r="E23" i="16"/>
  <c r="C23" i="16"/>
  <c r="Y22" i="16"/>
  <c r="W22" i="16"/>
  <c r="U22" i="16"/>
  <c r="S22" i="16"/>
  <c r="Q22" i="16"/>
  <c r="O22" i="16"/>
  <c r="M22" i="16"/>
  <c r="K22" i="16"/>
  <c r="I22" i="16"/>
  <c r="G22" i="16"/>
  <c r="E22" i="16"/>
  <c r="C22" i="16"/>
  <c r="Y21" i="16"/>
  <c r="W21" i="16"/>
  <c r="U21" i="16"/>
  <c r="S21" i="16"/>
  <c r="Q21" i="16"/>
  <c r="O21" i="16"/>
  <c r="M21" i="16"/>
  <c r="K21" i="16"/>
  <c r="I21" i="16"/>
  <c r="G21" i="16"/>
  <c r="E21" i="16"/>
  <c r="C21" i="16"/>
  <c r="Y20" i="16"/>
  <c r="W20" i="16"/>
  <c r="U20" i="16"/>
  <c r="S20" i="16"/>
  <c r="Q20" i="16"/>
  <c r="O20" i="16"/>
  <c r="M20" i="16"/>
  <c r="K20" i="16"/>
  <c r="I20" i="16"/>
  <c r="G20" i="16"/>
  <c r="E20" i="16"/>
  <c r="C20" i="16"/>
  <c r="Y19" i="16"/>
  <c r="W19" i="16"/>
  <c r="U19" i="16"/>
  <c r="S19" i="16"/>
  <c r="Q19" i="16"/>
  <c r="O19" i="16"/>
  <c r="M19" i="16"/>
  <c r="K19" i="16"/>
  <c r="I19" i="16"/>
  <c r="G19" i="16"/>
  <c r="E19" i="16"/>
  <c r="C19" i="16"/>
  <c r="Y18" i="16"/>
  <c r="W18" i="16"/>
  <c r="U18" i="16"/>
  <c r="S18" i="16"/>
  <c r="Q18" i="16"/>
  <c r="O18" i="16"/>
  <c r="M18" i="16"/>
  <c r="K18" i="16"/>
  <c r="I18" i="16"/>
  <c r="G18" i="16"/>
  <c r="E18" i="16"/>
  <c r="C18" i="16"/>
  <c r="Y17" i="16"/>
  <c r="W17" i="16"/>
  <c r="U17" i="16"/>
  <c r="S17" i="16"/>
  <c r="Q17" i="16"/>
  <c r="O17" i="16"/>
  <c r="M17" i="16"/>
  <c r="K17" i="16"/>
  <c r="I17" i="16"/>
  <c r="G17" i="16"/>
  <c r="E17" i="16"/>
  <c r="C17" i="16"/>
  <c r="Y16" i="16"/>
  <c r="W16" i="16"/>
  <c r="U16" i="16"/>
  <c r="S16" i="16"/>
  <c r="Q16" i="16"/>
  <c r="O16" i="16"/>
  <c r="M16" i="16"/>
  <c r="K16" i="16"/>
  <c r="I16" i="16"/>
  <c r="G16" i="16"/>
  <c r="E16" i="16"/>
  <c r="C16" i="16"/>
  <c r="Y15" i="16"/>
  <c r="W15" i="16"/>
  <c r="U15" i="16"/>
  <c r="S15" i="16"/>
  <c r="Q15" i="16"/>
  <c r="O15" i="16"/>
  <c r="M15" i="16"/>
  <c r="K15" i="16"/>
  <c r="I15" i="16"/>
  <c r="G15" i="16"/>
  <c r="E15" i="16"/>
  <c r="C15" i="16"/>
  <c r="Y14" i="16"/>
  <c r="W14" i="16"/>
  <c r="U14" i="16"/>
  <c r="S14" i="16"/>
  <c r="Q14" i="16"/>
  <c r="O14" i="16"/>
  <c r="M14" i="16"/>
  <c r="K14" i="16"/>
  <c r="I14" i="16"/>
  <c r="G14" i="16"/>
  <c r="E14" i="16"/>
  <c r="C14" i="16"/>
  <c r="Y13" i="16"/>
  <c r="W13" i="16"/>
  <c r="U13" i="16"/>
  <c r="S13" i="16"/>
  <c r="Q13" i="16"/>
  <c r="O13" i="16"/>
  <c r="M13" i="16"/>
  <c r="K13" i="16"/>
  <c r="I13" i="16"/>
  <c r="G13" i="16"/>
  <c r="E13" i="16"/>
  <c r="C13" i="16"/>
  <c r="Y12" i="16"/>
  <c r="W12" i="16"/>
  <c r="U12" i="16"/>
  <c r="S12" i="16"/>
  <c r="Q12" i="16"/>
  <c r="O12" i="16"/>
  <c r="M12" i="16"/>
  <c r="K12" i="16"/>
  <c r="I12" i="16"/>
  <c r="G12" i="16"/>
  <c r="E12" i="16"/>
  <c r="C12" i="16"/>
  <c r="Y11" i="16"/>
  <c r="W11" i="16"/>
  <c r="U11" i="16"/>
  <c r="S11" i="16"/>
  <c r="Q11" i="16"/>
  <c r="O11" i="16"/>
  <c r="M11" i="16"/>
  <c r="K11" i="16"/>
  <c r="I11" i="16"/>
  <c r="G11" i="16"/>
  <c r="E11" i="16"/>
  <c r="C11" i="16"/>
  <c r="Y10" i="16"/>
  <c r="W10" i="16"/>
  <c r="U10" i="16"/>
  <c r="S10" i="16"/>
  <c r="Q10" i="16"/>
  <c r="O10" i="16"/>
  <c r="M10" i="16"/>
  <c r="K10" i="16"/>
  <c r="I10" i="16"/>
  <c r="G10" i="16"/>
  <c r="E10" i="16"/>
  <c r="C10" i="16"/>
  <c r="Z5" i="16"/>
  <c r="W5" i="16"/>
  <c r="S5" i="16"/>
  <c r="O5" i="16"/>
  <c r="K5" i="16"/>
  <c r="G5" i="16"/>
  <c r="X5" i="16"/>
  <c r="V5" i="16"/>
  <c r="T5" i="16"/>
  <c r="R5" i="16"/>
  <c r="P5" i="16"/>
  <c r="N5" i="16"/>
  <c r="L5" i="16"/>
  <c r="J5" i="16"/>
  <c r="H5" i="16"/>
  <c r="F5" i="16"/>
  <c r="D5" i="16"/>
  <c r="D4" i="16"/>
  <c r="C5" i="16" s="1"/>
  <c r="C4" i="16"/>
  <c r="B5" i="16" s="1"/>
  <c r="B4" i="16"/>
  <c r="Y28" i="32"/>
  <c r="W28" i="32"/>
  <c r="U28" i="32"/>
  <c r="S28" i="32"/>
  <c r="Q28" i="32"/>
  <c r="O28" i="32"/>
  <c r="M28" i="32"/>
  <c r="K28" i="32"/>
  <c r="I28" i="32"/>
  <c r="G28" i="32"/>
  <c r="E28" i="32"/>
  <c r="C28" i="32"/>
  <c r="Y27" i="32"/>
  <c r="W27" i="32"/>
  <c r="U27" i="32"/>
  <c r="S27" i="32"/>
  <c r="Q27" i="32"/>
  <c r="O27" i="32"/>
  <c r="M27" i="32"/>
  <c r="K27" i="32"/>
  <c r="I27" i="32"/>
  <c r="G27" i="32"/>
  <c r="E27" i="32"/>
  <c r="C27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Y24" i="32"/>
  <c r="W24" i="32"/>
  <c r="U24" i="32"/>
  <c r="S24" i="32"/>
  <c r="Q24" i="32"/>
  <c r="O24" i="32"/>
  <c r="M24" i="32"/>
  <c r="K24" i="32"/>
  <c r="I24" i="32"/>
  <c r="G24" i="32"/>
  <c r="E24" i="32"/>
  <c r="C24" i="32"/>
  <c r="Y23" i="32"/>
  <c r="W23" i="32"/>
  <c r="U23" i="32"/>
  <c r="S23" i="32"/>
  <c r="Q23" i="32"/>
  <c r="O23" i="32"/>
  <c r="M23" i="32"/>
  <c r="K23" i="32"/>
  <c r="I23" i="32"/>
  <c r="G23" i="32"/>
  <c r="E23" i="32"/>
  <c r="C23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Y19" i="32"/>
  <c r="W19" i="32"/>
  <c r="U19" i="32"/>
  <c r="S19" i="32"/>
  <c r="Q19" i="32"/>
  <c r="O19" i="32"/>
  <c r="M19" i="32"/>
  <c r="K19" i="32"/>
  <c r="I19" i="32"/>
  <c r="G19" i="32"/>
  <c r="E19" i="32"/>
  <c r="C19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Y16" i="32"/>
  <c r="W16" i="32"/>
  <c r="U16" i="32"/>
  <c r="S16" i="32"/>
  <c r="Q16" i="32"/>
  <c r="O16" i="32"/>
  <c r="M16" i="32"/>
  <c r="K16" i="32"/>
  <c r="I16" i="32"/>
  <c r="G16" i="32"/>
  <c r="E16" i="32"/>
  <c r="C16" i="32"/>
  <c r="Y15" i="32"/>
  <c r="W15" i="32"/>
  <c r="U15" i="32"/>
  <c r="S15" i="32"/>
  <c r="Q15" i="32"/>
  <c r="O15" i="32"/>
  <c r="M15" i="32"/>
  <c r="K15" i="32"/>
  <c r="I15" i="32"/>
  <c r="G15" i="32"/>
  <c r="E15" i="32"/>
  <c r="C15" i="32"/>
  <c r="Y14" i="32"/>
  <c r="W14" i="32"/>
  <c r="U14" i="32"/>
  <c r="S14" i="32"/>
  <c r="Q14" i="32"/>
  <c r="O14" i="32"/>
  <c r="M14" i="32"/>
  <c r="K14" i="32"/>
  <c r="I14" i="32"/>
  <c r="G14" i="32"/>
  <c r="E14" i="32"/>
  <c r="C14" i="32"/>
  <c r="Y13" i="32"/>
  <c r="W13" i="32"/>
  <c r="U13" i="32"/>
  <c r="S13" i="32"/>
  <c r="Q13" i="32"/>
  <c r="O13" i="32"/>
  <c r="M13" i="32"/>
  <c r="K13" i="32"/>
  <c r="I13" i="32"/>
  <c r="G13" i="32"/>
  <c r="E13" i="32"/>
  <c r="C13" i="32"/>
  <c r="Y12" i="32"/>
  <c r="W12" i="32"/>
  <c r="U12" i="32"/>
  <c r="S12" i="32"/>
  <c r="Q12" i="32"/>
  <c r="O12" i="32"/>
  <c r="M12" i="32"/>
  <c r="K12" i="32"/>
  <c r="I12" i="32"/>
  <c r="G12" i="32"/>
  <c r="E12" i="32"/>
  <c r="C12" i="32"/>
  <c r="Y11" i="32"/>
  <c r="W11" i="32"/>
  <c r="U11" i="32"/>
  <c r="S11" i="32"/>
  <c r="Q11" i="32"/>
  <c r="O11" i="32"/>
  <c r="M11" i="32"/>
  <c r="K11" i="32"/>
  <c r="I11" i="32"/>
  <c r="G11" i="32"/>
  <c r="E11" i="32"/>
  <c r="C11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Z5" i="32"/>
  <c r="X5" i="32"/>
  <c r="P5" i="32"/>
  <c r="H5" i="32"/>
  <c r="R5" i="32"/>
  <c r="J5" i="32"/>
  <c r="E4" i="32"/>
  <c r="D5" i="32" s="1"/>
  <c r="D4" i="32"/>
  <c r="C5" i="32" s="1"/>
  <c r="C4" i="32"/>
  <c r="B5" i="32" s="1"/>
  <c r="B4" i="32"/>
  <c r="Y28" i="31"/>
  <c r="W28" i="31"/>
  <c r="U28" i="31"/>
  <c r="S28" i="31"/>
  <c r="Q28" i="31"/>
  <c r="O28" i="31"/>
  <c r="M28" i="31"/>
  <c r="K28" i="31"/>
  <c r="I28" i="31"/>
  <c r="G28" i="31"/>
  <c r="E28" i="31"/>
  <c r="C28" i="31"/>
  <c r="Y27" i="31"/>
  <c r="W27" i="31"/>
  <c r="U27" i="31"/>
  <c r="S27" i="31"/>
  <c r="Q27" i="31"/>
  <c r="O27" i="31"/>
  <c r="M27" i="31"/>
  <c r="K27" i="31"/>
  <c r="I27" i="31"/>
  <c r="G27" i="31"/>
  <c r="E27" i="31"/>
  <c r="C27" i="31"/>
  <c r="Y26" i="31"/>
  <c r="W26" i="31"/>
  <c r="U26" i="31"/>
  <c r="S26" i="31"/>
  <c r="Q26" i="31"/>
  <c r="O26" i="31"/>
  <c r="M26" i="31"/>
  <c r="K26" i="31"/>
  <c r="I26" i="31"/>
  <c r="G26" i="31"/>
  <c r="E26" i="31"/>
  <c r="C26" i="31"/>
  <c r="Y25" i="31"/>
  <c r="W25" i="31"/>
  <c r="U25" i="31"/>
  <c r="S25" i="31"/>
  <c r="Q25" i="31"/>
  <c r="O25" i="31"/>
  <c r="M25" i="31"/>
  <c r="K25" i="31"/>
  <c r="I25" i="31"/>
  <c r="G25" i="31"/>
  <c r="E25" i="31"/>
  <c r="C25" i="31"/>
  <c r="Y24" i="31"/>
  <c r="W24" i="31"/>
  <c r="U24" i="31"/>
  <c r="S24" i="31"/>
  <c r="Q24" i="31"/>
  <c r="O24" i="31"/>
  <c r="M24" i="31"/>
  <c r="K24" i="31"/>
  <c r="I24" i="31"/>
  <c r="G24" i="31"/>
  <c r="E24" i="31"/>
  <c r="C24" i="31"/>
  <c r="Y23" i="31"/>
  <c r="W23" i="31"/>
  <c r="U23" i="31"/>
  <c r="S23" i="31"/>
  <c r="Q23" i="31"/>
  <c r="O23" i="31"/>
  <c r="M23" i="31"/>
  <c r="K23" i="31"/>
  <c r="I23" i="31"/>
  <c r="G23" i="31"/>
  <c r="E23" i="31"/>
  <c r="C23" i="31"/>
  <c r="Y22" i="31"/>
  <c r="W22" i="31"/>
  <c r="U22" i="31"/>
  <c r="S22" i="31"/>
  <c r="Q22" i="31"/>
  <c r="O22" i="31"/>
  <c r="M22" i="31"/>
  <c r="K22" i="31"/>
  <c r="I22" i="31"/>
  <c r="G22" i="31"/>
  <c r="E22" i="31"/>
  <c r="C22" i="31"/>
  <c r="Y21" i="31"/>
  <c r="W21" i="31"/>
  <c r="U21" i="31"/>
  <c r="S21" i="31"/>
  <c r="Q21" i="31"/>
  <c r="O21" i="31"/>
  <c r="M21" i="31"/>
  <c r="K21" i="31"/>
  <c r="I21" i="31"/>
  <c r="G21" i="31"/>
  <c r="E21" i="31"/>
  <c r="C21" i="31"/>
  <c r="Y20" i="31"/>
  <c r="W20" i="31"/>
  <c r="U20" i="31"/>
  <c r="S20" i="31"/>
  <c r="Q20" i="31"/>
  <c r="O20" i="31"/>
  <c r="M20" i="31"/>
  <c r="K20" i="31"/>
  <c r="I20" i="31"/>
  <c r="G20" i="31"/>
  <c r="E20" i="31"/>
  <c r="C20" i="31"/>
  <c r="Y19" i="31"/>
  <c r="W19" i="31"/>
  <c r="U19" i="31"/>
  <c r="S19" i="31"/>
  <c r="Q19" i="31"/>
  <c r="O19" i="31"/>
  <c r="M19" i="31"/>
  <c r="K19" i="31"/>
  <c r="I19" i="31"/>
  <c r="G19" i="31"/>
  <c r="E19" i="31"/>
  <c r="C19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Y17" i="31"/>
  <c r="W17" i="31"/>
  <c r="U17" i="31"/>
  <c r="S17" i="31"/>
  <c r="Q17" i="31"/>
  <c r="O17" i="31"/>
  <c r="M17" i="31"/>
  <c r="K17" i="31"/>
  <c r="I17" i="31"/>
  <c r="G17" i="31"/>
  <c r="E17" i="31"/>
  <c r="C17" i="31"/>
  <c r="Y16" i="31"/>
  <c r="W16" i="31"/>
  <c r="U16" i="31"/>
  <c r="S16" i="31"/>
  <c r="Q16" i="31"/>
  <c r="O16" i="31"/>
  <c r="M16" i="31"/>
  <c r="K16" i="31"/>
  <c r="I16" i="31"/>
  <c r="G16" i="31"/>
  <c r="E16" i="31"/>
  <c r="C16" i="31"/>
  <c r="Y15" i="31"/>
  <c r="W15" i="31"/>
  <c r="U15" i="31"/>
  <c r="S15" i="31"/>
  <c r="Q15" i="31"/>
  <c r="O15" i="31"/>
  <c r="M15" i="31"/>
  <c r="K15" i="31"/>
  <c r="I15" i="31"/>
  <c r="G15" i="31"/>
  <c r="E15" i="31"/>
  <c r="C15" i="31"/>
  <c r="Y14" i="31"/>
  <c r="W14" i="31"/>
  <c r="U14" i="31"/>
  <c r="S14" i="31"/>
  <c r="Q14" i="31"/>
  <c r="O14" i="31"/>
  <c r="M14" i="31"/>
  <c r="K14" i="31"/>
  <c r="I14" i="31"/>
  <c r="G14" i="31"/>
  <c r="E14" i="31"/>
  <c r="C14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Y12" i="31"/>
  <c r="W12" i="31"/>
  <c r="U12" i="31"/>
  <c r="S12" i="31"/>
  <c r="Q12" i="31"/>
  <c r="O12" i="31"/>
  <c r="M12" i="31"/>
  <c r="K12" i="31"/>
  <c r="I12" i="31"/>
  <c r="G12" i="31"/>
  <c r="E12" i="31"/>
  <c r="C12" i="31"/>
  <c r="Y11" i="31"/>
  <c r="W11" i="31"/>
  <c r="U11" i="31"/>
  <c r="S11" i="31"/>
  <c r="Q11" i="31"/>
  <c r="O11" i="31"/>
  <c r="M11" i="31"/>
  <c r="K11" i="31"/>
  <c r="I11" i="31"/>
  <c r="G11" i="31"/>
  <c r="E11" i="31"/>
  <c r="C11" i="31"/>
  <c r="Y10" i="31"/>
  <c r="W10" i="31"/>
  <c r="U10" i="31"/>
  <c r="S10" i="31"/>
  <c r="Q10" i="31"/>
  <c r="O10" i="31"/>
  <c r="M10" i="31"/>
  <c r="K10" i="31"/>
  <c r="I10" i="31"/>
  <c r="G10" i="31"/>
  <c r="E10" i="31"/>
  <c r="C10" i="31"/>
  <c r="Z5" i="31"/>
  <c r="T5" i="31"/>
  <c r="L5" i="31"/>
  <c r="H5" i="31"/>
  <c r="D5" i="31"/>
  <c r="B5" i="31"/>
  <c r="V5" i="31"/>
  <c r="N5" i="31"/>
  <c r="F5" i="31"/>
  <c r="D4" i="31"/>
  <c r="C5" i="31" s="1"/>
  <c r="C4" i="31"/>
  <c r="B4" i="31"/>
  <c r="S22" i="56" l="1"/>
  <c r="S21" i="55"/>
  <c r="S22" i="57"/>
  <c r="S22" i="55"/>
  <c r="S21" i="53"/>
  <c r="D28" i="55"/>
  <c r="S19" i="55"/>
  <c r="D28" i="54"/>
  <c r="I59" i="58" s="1"/>
  <c r="S19" i="54"/>
  <c r="S19" i="53"/>
  <c r="D28" i="53"/>
  <c r="F19" i="52"/>
  <c r="F28" i="52" s="1"/>
  <c r="S21" i="57"/>
  <c r="S22" i="53"/>
  <c r="S21" i="56"/>
  <c r="D28" i="56"/>
  <c r="K59" i="58" s="1"/>
  <c r="S19" i="56"/>
  <c r="D28" i="52"/>
  <c r="D28" i="57"/>
  <c r="S19" i="57"/>
  <c r="S21" i="52"/>
  <c r="S22" i="52"/>
  <c r="S22" i="54"/>
  <c r="C67" i="60"/>
  <c r="M59" i="58" l="1"/>
  <c r="E59" i="58"/>
  <c r="S19" i="52"/>
  <c r="D224" i="23"/>
  <c r="E224" i="23" s="1"/>
  <c r="D225" i="23"/>
  <c r="E225" i="23" s="1"/>
  <c r="D228" i="23"/>
  <c r="E228" i="23" s="1"/>
  <c r="D229" i="23"/>
  <c r="E229" i="23" s="1"/>
  <c r="D232" i="23"/>
  <c r="E232" i="23" s="1"/>
  <c r="D233" i="23"/>
  <c r="E233" i="23" s="1"/>
  <c r="D236" i="23"/>
  <c r="E236" i="23" s="1"/>
  <c r="D315" i="23"/>
  <c r="E315" i="23" s="1"/>
  <c r="D316" i="23"/>
  <c r="E316" i="23" s="1"/>
  <c r="D319" i="23"/>
  <c r="E319" i="23" s="1"/>
  <c r="D320" i="23"/>
  <c r="E320" i="23" s="1"/>
  <c r="D323" i="23"/>
  <c r="E323" i="23" s="1"/>
  <c r="D324" i="23"/>
  <c r="E324" i="23" s="1"/>
  <c r="D327" i="23"/>
  <c r="E327" i="23" s="1"/>
  <c r="D328" i="23"/>
  <c r="E328" i="23" s="1"/>
  <c r="D331" i="23"/>
  <c r="E331" i="23" s="1"/>
  <c r="D332" i="23"/>
  <c r="E332" i="23" s="1"/>
  <c r="D337" i="23"/>
  <c r="E337" i="23" s="1"/>
  <c r="D338" i="23"/>
  <c r="E338" i="23" s="1"/>
  <c r="D341" i="23"/>
  <c r="E341" i="23" s="1"/>
  <c r="D342" i="23"/>
  <c r="E342" i="23" s="1"/>
  <c r="D345" i="23"/>
  <c r="E345" i="23" s="1"/>
  <c r="D346" i="23"/>
  <c r="E346" i="23" s="1"/>
  <c r="D349" i="23"/>
  <c r="E349" i="23" s="1"/>
  <c r="D350" i="23"/>
  <c r="E350" i="23" s="1"/>
  <c r="D11" i="23"/>
  <c r="E11" i="23" s="1"/>
  <c r="D12" i="23"/>
  <c r="E12" i="23" s="1"/>
  <c r="D15" i="23"/>
  <c r="E15" i="23" s="1"/>
  <c r="D16" i="23"/>
  <c r="E16" i="23" s="1"/>
  <c r="D19" i="23"/>
  <c r="E19" i="23" s="1"/>
  <c r="D20" i="23"/>
  <c r="E20" i="23" s="1"/>
  <c r="D23" i="23"/>
  <c r="E23" i="23" s="1"/>
  <c r="D24" i="23"/>
  <c r="E24" i="23" s="1"/>
  <c r="D27" i="23"/>
  <c r="E27" i="23" s="1"/>
  <c r="D28" i="23"/>
  <c r="E28" i="23" s="1"/>
  <c r="D31" i="23"/>
  <c r="E31" i="23" s="1"/>
  <c r="D32" i="23"/>
  <c r="E32" i="23" s="1"/>
  <c r="D35" i="23"/>
  <c r="E35" i="23" s="1"/>
  <c r="D36" i="23"/>
  <c r="E36" i="23" s="1"/>
  <c r="D39" i="23"/>
  <c r="E39" i="23" s="1"/>
  <c r="D40" i="23"/>
  <c r="E40" i="23" s="1"/>
  <c r="D43" i="23"/>
  <c r="E43" i="23" s="1"/>
  <c r="D44" i="23"/>
  <c r="E44" i="23" s="1"/>
  <c r="D47" i="23"/>
  <c r="E47" i="23" s="1"/>
  <c r="D48" i="23"/>
  <c r="E48" i="23" s="1"/>
  <c r="D51" i="23"/>
  <c r="E51" i="23" s="1"/>
  <c r="D52" i="23"/>
  <c r="E52" i="23" s="1"/>
  <c r="D54" i="23"/>
  <c r="E54" i="23" s="1"/>
  <c r="D57" i="23"/>
  <c r="E57" i="23" s="1"/>
  <c r="D58" i="23"/>
  <c r="E58" i="23" s="1"/>
  <c r="D61" i="23"/>
  <c r="E61" i="23" s="1"/>
  <c r="D62" i="23"/>
  <c r="E62" i="23" s="1"/>
  <c r="D65" i="23"/>
  <c r="E65" i="23" s="1"/>
  <c r="D66" i="23"/>
  <c r="E66" i="23" s="1"/>
  <c r="D69" i="23"/>
  <c r="E69" i="23" s="1"/>
  <c r="D70" i="23"/>
  <c r="E70" i="23" s="1"/>
  <c r="D73" i="23"/>
  <c r="E73" i="23" s="1"/>
  <c r="D74" i="23"/>
  <c r="E74" i="23" s="1"/>
  <c r="D77" i="23"/>
  <c r="E77" i="23" s="1"/>
  <c r="D78" i="23"/>
  <c r="E78" i="23" s="1"/>
  <c r="D81" i="23"/>
  <c r="E81" i="23" s="1"/>
  <c r="D82" i="23"/>
  <c r="E82" i="23" s="1"/>
  <c r="D85" i="23"/>
  <c r="E85" i="23" s="1"/>
  <c r="D86" i="23"/>
  <c r="E86" i="23" s="1"/>
  <c r="D89" i="23"/>
  <c r="E89" i="23" s="1"/>
  <c r="D90" i="23"/>
  <c r="E90" i="23" s="1"/>
  <c r="D93" i="23"/>
  <c r="E93" i="23" s="1"/>
  <c r="D94" i="23"/>
  <c r="E94" i="23" s="1"/>
  <c r="D96" i="23"/>
  <c r="E96" i="23" s="1"/>
  <c r="D97" i="23"/>
  <c r="E97" i="23" s="1"/>
  <c r="D100" i="23"/>
  <c r="E100" i="23" s="1"/>
  <c r="D101" i="23"/>
  <c r="E101" i="23" s="1"/>
  <c r="D104" i="23"/>
  <c r="E104" i="23" s="1"/>
  <c r="D105" i="23"/>
  <c r="E105" i="23" s="1"/>
  <c r="D108" i="23"/>
  <c r="E108" i="23" s="1"/>
  <c r="D109" i="23"/>
  <c r="E109" i="23" s="1"/>
  <c r="D112" i="23"/>
  <c r="E112" i="23" s="1"/>
  <c r="D113" i="23"/>
  <c r="E113" i="23" s="1"/>
  <c r="D116" i="23"/>
  <c r="E116" i="23" s="1"/>
  <c r="D117" i="23"/>
  <c r="E117" i="23" s="1"/>
  <c r="D120" i="23"/>
  <c r="E120" i="23" s="1"/>
  <c r="D121" i="23"/>
  <c r="E121" i="23" s="1"/>
  <c r="D124" i="23"/>
  <c r="E124" i="23" s="1"/>
  <c r="D125" i="23"/>
  <c r="E125" i="23" s="1"/>
  <c r="D128" i="23"/>
  <c r="E128" i="23" s="1"/>
  <c r="D129" i="23"/>
  <c r="E129" i="23" s="1"/>
  <c r="D132" i="23"/>
  <c r="E132" i="23" s="1"/>
  <c r="D133" i="23"/>
  <c r="E133" i="23" s="1"/>
  <c r="D136" i="23"/>
  <c r="E136" i="23" s="1"/>
  <c r="D137" i="23"/>
  <c r="E137" i="23" s="1"/>
  <c r="D204" i="23"/>
  <c r="E204" i="23" s="1"/>
  <c r="D205" i="23"/>
  <c r="E205" i="23" s="1"/>
  <c r="D9" i="24"/>
  <c r="E9" i="24" s="1"/>
  <c r="F9" i="24" s="1"/>
  <c r="D375" i="24" l="1"/>
  <c r="E375" i="24" s="1"/>
  <c r="F375" i="24" s="1"/>
  <c r="D374" i="24"/>
  <c r="E374" i="24" s="1"/>
  <c r="F374" i="24" s="1"/>
  <c r="D373" i="24"/>
  <c r="E373" i="24" s="1"/>
  <c r="F373" i="24" s="1"/>
  <c r="D372" i="24"/>
  <c r="E372" i="24" s="1"/>
  <c r="F372" i="24" s="1"/>
  <c r="D371" i="24"/>
  <c r="E371" i="24" s="1"/>
  <c r="F371" i="24" s="1"/>
  <c r="D370" i="24"/>
  <c r="E370" i="24" s="1"/>
  <c r="F370" i="24" s="1"/>
  <c r="D369" i="24"/>
  <c r="E369" i="24" s="1"/>
  <c r="F369" i="24" s="1"/>
  <c r="D368" i="24"/>
  <c r="E368" i="24" s="1"/>
  <c r="F368" i="24" s="1"/>
  <c r="D367" i="24"/>
  <c r="E367" i="24" s="1"/>
  <c r="F367" i="24" s="1"/>
  <c r="D366" i="24"/>
  <c r="E366" i="24" s="1"/>
  <c r="F366" i="24" s="1"/>
  <c r="D365" i="24"/>
  <c r="E365" i="24" s="1"/>
  <c r="F365" i="24" s="1"/>
  <c r="D364" i="24"/>
  <c r="E364" i="24" s="1"/>
  <c r="F364" i="24" s="1"/>
  <c r="D363" i="24"/>
  <c r="E363" i="24" s="1"/>
  <c r="F363" i="24" s="1"/>
  <c r="D362" i="24"/>
  <c r="E362" i="24" s="1"/>
  <c r="F362" i="24" s="1"/>
  <c r="D361" i="24"/>
  <c r="E361" i="24" s="1"/>
  <c r="F361" i="24" s="1"/>
  <c r="D360" i="24"/>
  <c r="E360" i="24" s="1"/>
  <c r="F360" i="24" s="1"/>
  <c r="D359" i="24"/>
  <c r="E359" i="24" s="1"/>
  <c r="F359" i="24" s="1"/>
  <c r="D358" i="24"/>
  <c r="E358" i="24" s="1"/>
  <c r="F358" i="24" s="1"/>
  <c r="D357" i="24"/>
  <c r="E357" i="24" s="1"/>
  <c r="F357" i="24" s="1"/>
  <c r="D356" i="24"/>
  <c r="E356" i="24" s="1"/>
  <c r="F356" i="24" s="1"/>
  <c r="D355" i="24"/>
  <c r="E355" i="24" s="1"/>
  <c r="F355" i="24" s="1"/>
  <c r="D354" i="24"/>
  <c r="E354" i="24" s="1"/>
  <c r="F354" i="24" s="1"/>
  <c r="D353" i="24"/>
  <c r="E353" i="24" s="1"/>
  <c r="F353" i="24" s="1"/>
  <c r="D352" i="24"/>
  <c r="E352" i="24" s="1"/>
  <c r="F352" i="24" s="1"/>
  <c r="D351" i="24"/>
  <c r="E351" i="24" s="1"/>
  <c r="F351" i="24" s="1"/>
  <c r="D350" i="24"/>
  <c r="E350" i="24" s="1"/>
  <c r="F350" i="24" s="1"/>
  <c r="D349" i="24"/>
  <c r="E349" i="24" s="1"/>
  <c r="F349" i="24" s="1"/>
  <c r="D348" i="24"/>
  <c r="E348" i="24" s="1"/>
  <c r="F348" i="24" s="1"/>
  <c r="D347" i="24"/>
  <c r="E347" i="24" s="1"/>
  <c r="F347" i="24" s="1"/>
  <c r="D346" i="24"/>
  <c r="E346" i="24" s="1"/>
  <c r="F346" i="24" s="1"/>
  <c r="D345" i="24"/>
  <c r="E345" i="24" s="1"/>
  <c r="F345" i="24" s="1"/>
  <c r="D344" i="24"/>
  <c r="E344" i="24" s="1"/>
  <c r="F344" i="24" s="1"/>
  <c r="D343" i="24"/>
  <c r="E343" i="24" s="1"/>
  <c r="F343" i="24" s="1"/>
  <c r="D342" i="24"/>
  <c r="E342" i="24" s="1"/>
  <c r="F342" i="24" s="1"/>
  <c r="D341" i="24"/>
  <c r="E341" i="24" s="1"/>
  <c r="F341" i="24" s="1"/>
  <c r="D340" i="24"/>
  <c r="E340" i="24" s="1"/>
  <c r="F340" i="24" s="1"/>
  <c r="D339" i="24"/>
  <c r="E339" i="24" s="1"/>
  <c r="F339" i="24" s="1"/>
  <c r="D338" i="24"/>
  <c r="E338" i="24" s="1"/>
  <c r="F338" i="24" s="1"/>
  <c r="D337" i="24"/>
  <c r="E337" i="24" s="1"/>
  <c r="F337" i="24" s="1"/>
  <c r="D336" i="24"/>
  <c r="E336" i="24" s="1"/>
  <c r="F336" i="24" s="1"/>
  <c r="D335" i="24"/>
  <c r="E335" i="24" s="1"/>
  <c r="F335" i="24" s="1"/>
  <c r="D334" i="24"/>
  <c r="E334" i="24" s="1"/>
  <c r="F334" i="24" s="1"/>
  <c r="D333" i="24"/>
  <c r="E333" i="24" s="1"/>
  <c r="F333" i="24" s="1"/>
  <c r="D332" i="24"/>
  <c r="E332" i="24" s="1"/>
  <c r="F332" i="24" s="1"/>
  <c r="D331" i="24"/>
  <c r="E331" i="24" s="1"/>
  <c r="F331" i="24" s="1"/>
  <c r="D330" i="24"/>
  <c r="E330" i="24" s="1"/>
  <c r="F330" i="24" s="1"/>
  <c r="D329" i="24"/>
  <c r="E329" i="24" s="1"/>
  <c r="F329" i="24" s="1"/>
  <c r="D328" i="24"/>
  <c r="E328" i="24" s="1"/>
  <c r="F328" i="24" s="1"/>
  <c r="D327" i="24"/>
  <c r="E327" i="24" s="1"/>
  <c r="F327" i="24" s="1"/>
  <c r="D326" i="24"/>
  <c r="E326" i="24" s="1"/>
  <c r="F326" i="24" s="1"/>
  <c r="D325" i="24"/>
  <c r="E325" i="24" s="1"/>
  <c r="F325" i="24" s="1"/>
  <c r="D324" i="24"/>
  <c r="E324" i="24" s="1"/>
  <c r="F324" i="24" s="1"/>
  <c r="D323" i="24"/>
  <c r="E323" i="24" s="1"/>
  <c r="F323" i="24" s="1"/>
  <c r="D322" i="24"/>
  <c r="E322" i="24" s="1"/>
  <c r="F322" i="24" s="1"/>
  <c r="D321" i="24"/>
  <c r="E321" i="24" s="1"/>
  <c r="F321" i="24" s="1"/>
  <c r="D320" i="24"/>
  <c r="E320" i="24" s="1"/>
  <c r="F320" i="24" s="1"/>
  <c r="D319" i="24"/>
  <c r="E319" i="24" s="1"/>
  <c r="F319" i="24" s="1"/>
  <c r="D318" i="24"/>
  <c r="E318" i="24" s="1"/>
  <c r="F318" i="24" s="1"/>
  <c r="D317" i="24"/>
  <c r="E317" i="24" s="1"/>
  <c r="F317" i="24" s="1"/>
  <c r="D316" i="24"/>
  <c r="E316" i="24" s="1"/>
  <c r="F316" i="24" s="1"/>
  <c r="D315" i="24"/>
  <c r="E315" i="24" s="1"/>
  <c r="F315" i="24" s="1"/>
  <c r="D314" i="24"/>
  <c r="E314" i="24" s="1"/>
  <c r="F314" i="24" s="1"/>
  <c r="D313" i="24"/>
  <c r="E313" i="24" s="1"/>
  <c r="F313" i="24" s="1"/>
  <c r="D312" i="24"/>
  <c r="E312" i="24" s="1"/>
  <c r="F312" i="24" s="1"/>
  <c r="D311" i="24"/>
  <c r="E311" i="24" s="1"/>
  <c r="F311" i="24" s="1"/>
  <c r="D310" i="24"/>
  <c r="E310" i="24" s="1"/>
  <c r="F310" i="24" s="1"/>
  <c r="D309" i="24"/>
  <c r="E309" i="24" s="1"/>
  <c r="F309" i="24" s="1"/>
  <c r="D308" i="24"/>
  <c r="E308" i="24" s="1"/>
  <c r="F308" i="24" s="1"/>
  <c r="D307" i="24"/>
  <c r="E307" i="24" s="1"/>
  <c r="F307" i="24" s="1"/>
  <c r="D306" i="24"/>
  <c r="E306" i="24" s="1"/>
  <c r="F306" i="24" s="1"/>
  <c r="D305" i="24"/>
  <c r="E305" i="24" s="1"/>
  <c r="F305" i="24" s="1"/>
  <c r="D304" i="24"/>
  <c r="E304" i="24" s="1"/>
  <c r="F304" i="24" s="1"/>
  <c r="D303" i="24"/>
  <c r="E303" i="24" s="1"/>
  <c r="F303" i="24" s="1"/>
  <c r="D302" i="24"/>
  <c r="E302" i="24" s="1"/>
  <c r="F302" i="24" s="1"/>
  <c r="D301" i="24"/>
  <c r="E301" i="24" s="1"/>
  <c r="F301" i="24" s="1"/>
  <c r="D300" i="24"/>
  <c r="E300" i="24" s="1"/>
  <c r="F300" i="24" s="1"/>
  <c r="D299" i="24"/>
  <c r="E299" i="24" s="1"/>
  <c r="F299" i="24" s="1"/>
  <c r="D298" i="24"/>
  <c r="E298" i="24" s="1"/>
  <c r="F298" i="24" s="1"/>
  <c r="D297" i="24"/>
  <c r="E297" i="24" s="1"/>
  <c r="F297" i="24" s="1"/>
  <c r="D296" i="24"/>
  <c r="E296" i="24" s="1"/>
  <c r="F296" i="24" s="1"/>
  <c r="D295" i="24"/>
  <c r="E295" i="24" s="1"/>
  <c r="F295" i="24" s="1"/>
  <c r="D294" i="24"/>
  <c r="E294" i="24" s="1"/>
  <c r="F294" i="24" s="1"/>
  <c r="D293" i="24"/>
  <c r="E293" i="24" s="1"/>
  <c r="F293" i="24" s="1"/>
  <c r="D292" i="24"/>
  <c r="E292" i="24" s="1"/>
  <c r="F292" i="24" s="1"/>
  <c r="D291" i="24"/>
  <c r="E291" i="24" s="1"/>
  <c r="F291" i="24" s="1"/>
  <c r="D290" i="24"/>
  <c r="E290" i="24" s="1"/>
  <c r="F290" i="24" s="1"/>
  <c r="D289" i="24"/>
  <c r="E289" i="24" s="1"/>
  <c r="F289" i="24" s="1"/>
  <c r="D288" i="24"/>
  <c r="E288" i="24" s="1"/>
  <c r="F288" i="24" s="1"/>
  <c r="D287" i="24"/>
  <c r="E287" i="24" s="1"/>
  <c r="F287" i="24" s="1"/>
  <c r="D286" i="24"/>
  <c r="E286" i="24" s="1"/>
  <c r="F286" i="24" s="1"/>
  <c r="D285" i="24"/>
  <c r="E285" i="24" s="1"/>
  <c r="F285" i="24" s="1"/>
  <c r="D284" i="24"/>
  <c r="E284" i="24" s="1"/>
  <c r="F284" i="24" s="1"/>
  <c r="D283" i="24"/>
  <c r="E283" i="24" s="1"/>
  <c r="F283" i="24" s="1"/>
  <c r="D282" i="24"/>
  <c r="E282" i="24" s="1"/>
  <c r="F282" i="24" s="1"/>
  <c r="D281" i="24"/>
  <c r="E281" i="24" s="1"/>
  <c r="F281" i="24" s="1"/>
  <c r="D280" i="24"/>
  <c r="E280" i="24" s="1"/>
  <c r="F280" i="24" s="1"/>
  <c r="D279" i="24"/>
  <c r="E279" i="24" s="1"/>
  <c r="F279" i="24" s="1"/>
  <c r="D278" i="24"/>
  <c r="E278" i="24" s="1"/>
  <c r="F278" i="24" s="1"/>
  <c r="D277" i="24"/>
  <c r="E277" i="24" s="1"/>
  <c r="F277" i="24" s="1"/>
  <c r="D276" i="24"/>
  <c r="E276" i="24" s="1"/>
  <c r="F276" i="24" s="1"/>
  <c r="D275" i="24"/>
  <c r="E275" i="24" s="1"/>
  <c r="F275" i="24" s="1"/>
  <c r="D274" i="24"/>
  <c r="E274" i="24" s="1"/>
  <c r="F274" i="24" s="1"/>
  <c r="D273" i="24"/>
  <c r="E273" i="24" s="1"/>
  <c r="F273" i="24" s="1"/>
  <c r="D272" i="24"/>
  <c r="E272" i="24" s="1"/>
  <c r="F272" i="24" s="1"/>
  <c r="D271" i="24"/>
  <c r="E271" i="24" s="1"/>
  <c r="F271" i="24" s="1"/>
  <c r="D270" i="24"/>
  <c r="E270" i="24" s="1"/>
  <c r="F270" i="24" s="1"/>
  <c r="D269" i="24"/>
  <c r="E269" i="24" s="1"/>
  <c r="F269" i="24" s="1"/>
  <c r="D268" i="24"/>
  <c r="E268" i="24" s="1"/>
  <c r="F268" i="24" s="1"/>
  <c r="D267" i="24"/>
  <c r="E267" i="24" s="1"/>
  <c r="F267" i="24" s="1"/>
  <c r="D266" i="24"/>
  <c r="E266" i="24" s="1"/>
  <c r="F266" i="24" s="1"/>
  <c r="D265" i="24"/>
  <c r="E265" i="24" s="1"/>
  <c r="F265" i="24" s="1"/>
  <c r="D264" i="24"/>
  <c r="E264" i="24" s="1"/>
  <c r="F264" i="24" s="1"/>
  <c r="D263" i="24"/>
  <c r="E263" i="24" s="1"/>
  <c r="F263" i="24" s="1"/>
  <c r="D262" i="24"/>
  <c r="E262" i="24" s="1"/>
  <c r="F262" i="24" s="1"/>
  <c r="D261" i="24"/>
  <c r="E261" i="24" s="1"/>
  <c r="F261" i="24" s="1"/>
  <c r="D260" i="24"/>
  <c r="E260" i="24" s="1"/>
  <c r="F260" i="24" s="1"/>
  <c r="D259" i="24"/>
  <c r="E259" i="24" s="1"/>
  <c r="F259" i="24" s="1"/>
  <c r="D258" i="24"/>
  <c r="E258" i="24" s="1"/>
  <c r="F258" i="24" s="1"/>
  <c r="D257" i="24"/>
  <c r="E257" i="24" s="1"/>
  <c r="F257" i="24" s="1"/>
  <c r="D256" i="24"/>
  <c r="E256" i="24" s="1"/>
  <c r="F256" i="24" s="1"/>
  <c r="D255" i="24"/>
  <c r="E255" i="24" s="1"/>
  <c r="F255" i="24" s="1"/>
  <c r="D254" i="24"/>
  <c r="E254" i="24" s="1"/>
  <c r="F254" i="24" s="1"/>
  <c r="D253" i="24"/>
  <c r="E253" i="24" s="1"/>
  <c r="F253" i="24" s="1"/>
  <c r="D252" i="24"/>
  <c r="E252" i="24" s="1"/>
  <c r="F252" i="24" s="1"/>
  <c r="D251" i="24"/>
  <c r="E251" i="24" s="1"/>
  <c r="F251" i="24" s="1"/>
  <c r="D250" i="24"/>
  <c r="E250" i="24" s="1"/>
  <c r="F250" i="24" s="1"/>
  <c r="D249" i="24"/>
  <c r="E249" i="24" s="1"/>
  <c r="F249" i="24" s="1"/>
  <c r="D248" i="24"/>
  <c r="E248" i="24" s="1"/>
  <c r="F248" i="24" s="1"/>
  <c r="D247" i="24"/>
  <c r="E247" i="24" s="1"/>
  <c r="F247" i="24" s="1"/>
  <c r="D246" i="24"/>
  <c r="E246" i="24" s="1"/>
  <c r="F246" i="24" s="1"/>
  <c r="D245" i="24"/>
  <c r="E245" i="24" s="1"/>
  <c r="F245" i="24" s="1"/>
  <c r="D244" i="24"/>
  <c r="E244" i="24" s="1"/>
  <c r="F244" i="24" s="1"/>
  <c r="D243" i="24"/>
  <c r="E243" i="24" s="1"/>
  <c r="F243" i="24" s="1"/>
  <c r="D242" i="24"/>
  <c r="E242" i="24" s="1"/>
  <c r="F242" i="24" s="1"/>
  <c r="D241" i="24"/>
  <c r="E241" i="24" s="1"/>
  <c r="F241" i="24" s="1"/>
  <c r="D240" i="24"/>
  <c r="E240" i="24" s="1"/>
  <c r="F240" i="24" s="1"/>
  <c r="D239" i="24"/>
  <c r="E239" i="24" s="1"/>
  <c r="F239" i="24" s="1"/>
  <c r="D238" i="24"/>
  <c r="E238" i="24" s="1"/>
  <c r="F238" i="24" s="1"/>
  <c r="D237" i="24"/>
  <c r="E237" i="24" s="1"/>
  <c r="F237" i="24" s="1"/>
  <c r="D236" i="24"/>
  <c r="E236" i="24" s="1"/>
  <c r="F236" i="24" s="1"/>
  <c r="D235" i="24"/>
  <c r="E235" i="24" s="1"/>
  <c r="F235" i="24" s="1"/>
  <c r="D234" i="24"/>
  <c r="E234" i="24" s="1"/>
  <c r="F234" i="24" s="1"/>
  <c r="D233" i="24"/>
  <c r="E233" i="24" s="1"/>
  <c r="F233" i="24" s="1"/>
  <c r="D232" i="24"/>
  <c r="E232" i="24" s="1"/>
  <c r="F232" i="24" s="1"/>
  <c r="D231" i="24"/>
  <c r="E231" i="24" s="1"/>
  <c r="F231" i="24" s="1"/>
  <c r="D230" i="24"/>
  <c r="E230" i="24" s="1"/>
  <c r="F230" i="24" s="1"/>
  <c r="D229" i="24"/>
  <c r="E229" i="24" s="1"/>
  <c r="F229" i="24" s="1"/>
  <c r="D228" i="24"/>
  <c r="E228" i="24" s="1"/>
  <c r="F228" i="24" s="1"/>
  <c r="D227" i="24"/>
  <c r="E227" i="24" s="1"/>
  <c r="F227" i="24" s="1"/>
  <c r="D226" i="24"/>
  <c r="E226" i="24" s="1"/>
  <c r="F226" i="24" s="1"/>
  <c r="D225" i="24"/>
  <c r="E225" i="24" s="1"/>
  <c r="F225" i="24" s="1"/>
  <c r="D224" i="24"/>
  <c r="E224" i="24" s="1"/>
  <c r="F224" i="24" s="1"/>
  <c r="D223" i="24"/>
  <c r="E223" i="24" s="1"/>
  <c r="F223" i="24" s="1"/>
  <c r="D222" i="24"/>
  <c r="E222" i="24" s="1"/>
  <c r="F222" i="24" s="1"/>
  <c r="D221" i="24"/>
  <c r="E221" i="24" s="1"/>
  <c r="F221" i="24" s="1"/>
  <c r="D220" i="24"/>
  <c r="E220" i="24" s="1"/>
  <c r="F220" i="24" s="1"/>
  <c r="D219" i="24"/>
  <c r="E219" i="24" s="1"/>
  <c r="F219" i="24" s="1"/>
  <c r="D218" i="24"/>
  <c r="E218" i="24" s="1"/>
  <c r="F218" i="24" s="1"/>
  <c r="D217" i="24"/>
  <c r="E217" i="24" s="1"/>
  <c r="F217" i="24" s="1"/>
  <c r="D216" i="24"/>
  <c r="E216" i="24" s="1"/>
  <c r="F216" i="24" s="1"/>
  <c r="D215" i="24"/>
  <c r="E215" i="24" s="1"/>
  <c r="F215" i="24" s="1"/>
  <c r="D214" i="24"/>
  <c r="E214" i="24" s="1"/>
  <c r="F214" i="24" s="1"/>
  <c r="D213" i="24"/>
  <c r="E213" i="24" s="1"/>
  <c r="F213" i="24" s="1"/>
  <c r="D212" i="24"/>
  <c r="E212" i="24" s="1"/>
  <c r="F212" i="24" s="1"/>
  <c r="D211" i="24"/>
  <c r="E211" i="24" s="1"/>
  <c r="F211" i="24" s="1"/>
  <c r="D210" i="24"/>
  <c r="E210" i="24" s="1"/>
  <c r="F210" i="24" s="1"/>
  <c r="D209" i="24"/>
  <c r="E209" i="24" s="1"/>
  <c r="F209" i="24" s="1"/>
  <c r="D208" i="24"/>
  <c r="E208" i="24" s="1"/>
  <c r="F208" i="24" s="1"/>
  <c r="D207" i="24"/>
  <c r="E207" i="24" s="1"/>
  <c r="F207" i="24" s="1"/>
  <c r="D206" i="24"/>
  <c r="E206" i="24" s="1"/>
  <c r="F206" i="24" s="1"/>
  <c r="D205" i="24"/>
  <c r="E205" i="24" s="1"/>
  <c r="F205" i="24" s="1"/>
  <c r="D204" i="24"/>
  <c r="E204" i="24" s="1"/>
  <c r="F204" i="24" s="1"/>
  <c r="D203" i="24"/>
  <c r="E203" i="24" s="1"/>
  <c r="F203" i="24" s="1"/>
  <c r="D202" i="24"/>
  <c r="E202" i="24" s="1"/>
  <c r="F202" i="24" s="1"/>
  <c r="D201" i="24"/>
  <c r="E201" i="24" s="1"/>
  <c r="F201" i="24" s="1"/>
  <c r="D200" i="24"/>
  <c r="E200" i="24" s="1"/>
  <c r="F200" i="24" s="1"/>
  <c r="D199" i="24"/>
  <c r="E199" i="24" s="1"/>
  <c r="F199" i="24" s="1"/>
  <c r="D198" i="24"/>
  <c r="E198" i="24" s="1"/>
  <c r="F198" i="24" s="1"/>
  <c r="D197" i="24"/>
  <c r="E197" i="24" s="1"/>
  <c r="F197" i="24" s="1"/>
  <c r="D196" i="24"/>
  <c r="E196" i="24" s="1"/>
  <c r="F196" i="24" s="1"/>
  <c r="D195" i="24"/>
  <c r="E195" i="24" s="1"/>
  <c r="F195" i="24" s="1"/>
  <c r="D194" i="24"/>
  <c r="E194" i="24" s="1"/>
  <c r="F194" i="24" s="1"/>
  <c r="D193" i="24"/>
  <c r="E193" i="24" s="1"/>
  <c r="F193" i="24" s="1"/>
  <c r="D192" i="24"/>
  <c r="E192" i="24" s="1"/>
  <c r="F192" i="24" s="1"/>
  <c r="D191" i="24"/>
  <c r="E191" i="24" s="1"/>
  <c r="F191" i="24" s="1"/>
  <c r="D190" i="24"/>
  <c r="E190" i="24" s="1"/>
  <c r="F190" i="24" s="1"/>
  <c r="D189" i="24"/>
  <c r="E189" i="24" s="1"/>
  <c r="F189" i="24" s="1"/>
  <c r="D188" i="24"/>
  <c r="E188" i="24" s="1"/>
  <c r="F188" i="24" s="1"/>
  <c r="D187" i="24"/>
  <c r="E187" i="24" s="1"/>
  <c r="F187" i="24" s="1"/>
  <c r="D186" i="24"/>
  <c r="E186" i="24" s="1"/>
  <c r="F186" i="24" s="1"/>
  <c r="D185" i="24"/>
  <c r="E185" i="24" s="1"/>
  <c r="F185" i="24" s="1"/>
  <c r="D184" i="24"/>
  <c r="E184" i="24" s="1"/>
  <c r="F184" i="24" s="1"/>
  <c r="D183" i="24"/>
  <c r="E183" i="24" s="1"/>
  <c r="F183" i="24" s="1"/>
  <c r="D182" i="24"/>
  <c r="E182" i="24" s="1"/>
  <c r="F182" i="24" s="1"/>
  <c r="D181" i="24"/>
  <c r="E181" i="24" s="1"/>
  <c r="F181" i="24" s="1"/>
  <c r="D180" i="24"/>
  <c r="E180" i="24" s="1"/>
  <c r="F180" i="24" s="1"/>
  <c r="D179" i="24"/>
  <c r="E179" i="24" s="1"/>
  <c r="F179" i="24" s="1"/>
  <c r="D178" i="24"/>
  <c r="E178" i="24" s="1"/>
  <c r="F178" i="24" s="1"/>
  <c r="D177" i="24"/>
  <c r="E177" i="24" s="1"/>
  <c r="F177" i="24" s="1"/>
  <c r="D176" i="24"/>
  <c r="E176" i="24" s="1"/>
  <c r="F176" i="24" s="1"/>
  <c r="D175" i="24"/>
  <c r="E175" i="24" s="1"/>
  <c r="F175" i="24" s="1"/>
  <c r="D174" i="24"/>
  <c r="E174" i="24" s="1"/>
  <c r="F174" i="24" s="1"/>
  <c r="D173" i="24"/>
  <c r="E173" i="24" s="1"/>
  <c r="F173" i="24" s="1"/>
  <c r="D172" i="24"/>
  <c r="E172" i="24" s="1"/>
  <c r="F172" i="24" s="1"/>
  <c r="D171" i="24"/>
  <c r="E171" i="24" s="1"/>
  <c r="F171" i="24" s="1"/>
  <c r="D170" i="24"/>
  <c r="E170" i="24" s="1"/>
  <c r="F170" i="24" s="1"/>
  <c r="D169" i="24"/>
  <c r="E169" i="24" s="1"/>
  <c r="F169" i="24" s="1"/>
  <c r="D168" i="24"/>
  <c r="E168" i="24" s="1"/>
  <c r="F168" i="24" s="1"/>
  <c r="D167" i="24"/>
  <c r="E167" i="24" s="1"/>
  <c r="F167" i="24" s="1"/>
  <c r="D166" i="24"/>
  <c r="E166" i="24" s="1"/>
  <c r="F166" i="24" s="1"/>
  <c r="D165" i="24"/>
  <c r="E165" i="24" s="1"/>
  <c r="F165" i="24" s="1"/>
  <c r="D164" i="24"/>
  <c r="E164" i="24" s="1"/>
  <c r="F164" i="24" s="1"/>
  <c r="D163" i="24"/>
  <c r="E163" i="24" s="1"/>
  <c r="F163" i="24" s="1"/>
  <c r="D162" i="24"/>
  <c r="E162" i="24" s="1"/>
  <c r="F162" i="24" s="1"/>
  <c r="D161" i="24"/>
  <c r="E161" i="24" s="1"/>
  <c r="F161" i="24" s="1"/>
  <c r="D160" i="24"/>
  <c r="E160" i="24" s="1"/>
  <c r="F160" i="24" s="1"/>
  <c r="D159" i="24"/>
  <c r="E159" i="24" s="1"/>
  <c r="F159" i="24" s="1"/>
  <c r="D158" i="24"/>
  <c r="E158" i="24" s="1"/>
  <c r="F158" i="24" s="1"/>
  <c r="D157" i="24"/>
  <c r="E157" i="24" s="1"/>
  <c r="F157" i="24" s="1"/>
  <c r="D156" i="24"/>
  <c r="E156" i="24" s="1"/>
  <c r="F156" i="24" s="1"/>
  <c r="D155" i="24"/>
  <c r="E155" i="24" s="1"/>
  <c r="F155" i="24" s="1"/>
  <c r="D154" i="24"/>
  <c r="E154" i="24" s="1"/>
  <c r="F154" i="24" s="1"/>
  <c r="D153" i="24"/>
  <c r="E153" i="24" s="1"/>
  <c r="F153" i="24" s="1"/>
  <c r="D152" i="24"/>
  <c r="E152" i="24" s="1"/>
  <c r="F152" i="24" s="1"/>
  <c r="D151" i="24"/>
  <c r="E151" i="24" s="1"/>
  <c r="F151" i="24" s="1"/>
  <c r="D150" i="24"/>
  <c r="E150" i="24" s="1"/>
  <c r="F150" i="24" s="1"/>
  <c r="D149" i="24"/>
  <c r="E149" i="24" s="1"/>
  <c r="F149" i="24" s="1"/>
  <c r="D148" i="24"/>
  <c r="E148" i="24" s="1"/>
  <c r="F148" i="24" s="1"/>
  <c r="D147" i="24"/>
  <c r="E147" i="24" s="1"/>
  <c r="F147" i="24" s="1"/>
  <c r="D146" i="24"/>
  <c r="E146" i="24" s="1"/>
  <c r="F146" i="24" s="1"/>
  <c r="D145" i="24"/>
  <c r="E145" i="24" s="1"/>
  <c r="F145" i="24" s="1"/>
  <c r="D144" i="24"/>
  <c r="E144" i="24" s="1"/>
  <c r="F144" i="24" s="1"/>
  <c r="D143" i="24"/>
  <c r="E143" i="24" s="1"/>
  <c r="F143" i="24" s="1"/>
  <c r="D142" i="24"/>
  <c r="E142" i="24" s="1"/>
  <c r="F142" i="24" s="1"/>
  <c r="D141" i="24"/>
  <c r="E141" i="24" s="1"/>
  <c r="F141" i="24" s="1"/>
  <c r="D140" i="24"/>
  <c r="E140" i="24" s="1"/>
  <c r="F140" i="24" s="1"/>
  <c r="D139" i="24"/>
  <c r="E139" i="24" s="1"/>
  <c r="F139" i="24" s="1"/>
  <c r="D138" i="24"/>
  <c r="E138" i="24" s="1"/>
  <c r="F138" i="24" s="1"/>
  <c r="D137" i="24"/>
  <c r="E137" i="24" s="1"/>
  <c r="F137" i="24" s="1"/>
  <c r="D136" i="24"/>
  <c r="E136" i="24" s="1"/>
  <c r="F136" i="24" s="1"/>
  <c r="D135" i="24"/>
  <c r="E135" i="24" s="1"/>
  <c r="F135" i="24" s="1"/>
  <c r="D134" i="24"/>
  <c r="E134" i="24" s="1"/>
  <c r="F134" i="24" s="1"/>
  <c r="D133" i="24"/>
  <c r="E133" i="24" s="1"/>
  <c r="F133" i="24" s="1"/>
  <c r="D132" i="24"/>
  <c r="E132" i="24" s="1"/>
  <c r="F132" i="24" s="1"/>
  <c r="D131" i="24"/>
  <c r="E131" i="24" s="1"/>
  <c r="F131" i="24" s="1"/>
  <c r="D130" i="24"/>
  <c r="E130" i="24" s="1"/>
  <c r="F130" i="24" s="1"/>
  <c r="D129" i="24"/>
  <c r="E129" i="24" s="1"/>
  <c r="F129" i="24" s="1"/>
  <c r="D128" i="24"/>
  <c r="E128" i="24" s="1"/>
  <c r="F128" i="24" s="1"/>
  <c r="D127" i="24"/>
  <c r="E127" i="24" s="1"/>
  <c r="F127" i="24" s="1"/>
  <c r="D126" i="24"/>
  <c r="E126" i="24" s="1"/>
  <c r="F126" i="24" s="1"/>
  <c r="D125" i="24"/>
  <c r="E125" i="24" s="1"/>
  <c r="F125" i="24" s="1"/>
  <c r="D124" i="24"/>
  <c r="E124" i="24" s="1"/>
  <c r="F124" i="24" s="1"/>
  <c r="D123" i="24"/>
  <c r="E123" i="24" s="1"/>
  <c r="F123" i="24" s="1"/>
  <c r="D122" i="24"/>
  <c r="E122" i="24" s="1"/>
  <c r="F122" i="24" s="1"/>
  <c r="D121" i="24"/>
  <c r="E121" i="24" s="1"/>
  <c r="F121" i="24" s="1"/>
  <c r="D120" i="24"/>
  <c r="E120" i="24" s="1"/>
  <c r="F120" i="24" s="1"/>
  <c r="D119" i="24"/>
  <c r="E119" i="24" s="1"/>
  <c r="F119" i="24" s="1"/>
  <c r="D118" i="24"/>
  <c r="E118" i="24" s="1"/>
  <c r="F118" i="24" s="1"/>
  <c r="D117" i="24"/>
  <c r="E117" i="24" s="1"/>
  <c r="F117" i="24" s="1"/>
  <c r="D116" i="24"/>
  <c r="E116" i="24" s="1"/>
  <c r="F116" i="24" s="1"/>
  <c r="D115" i="24"/>
  <c r="E115" i="24" s="1"/>
  <c r="F115" i="24" s="1"/>
  <c r="D114" i="24"/>
  <c r="E114" i="24" s="1"/>
  <c r="F114" i="24" s="1"/>
  <c r="D113" i="24"/>
  <c r="E113" i="24" s="1"/>
  <c r="F113" i="24" s="1"/>
  <c r="D112" i="24"/>
  <c r="E112" i="24" s="1"/>
  <c r="F112" i="24" s="1"/>
  <c r="D111" i="24"/>
  <c r="E111" i="24" s="1"/>
  <c r="F111" i="24" s="1"/>
  <c r="D110" i="24"/>
  <c r="E110" i="24" s="1"/>
  <c r="F110" i="24" s="1"/>
  <c r="D109" i="24"/>
  <c r="E109" i="24" s="1"/>
  <c r="F109" i="24" s="1"/>
  <c r="D108" i="24"/>
  <c r="E108" i="24" s="1"/>
  <c r="F108" i="24" s="1"/>
  <c r="D107" i="24"/>
  <c r="E107" i="24" s="1"/>
  <c r="F107" i="24" s="1"/>
  <c r="D106" i="24"/>
  <c r="E106" i="24" s="1"/>
  <c r="F106" i="24" s="1"/>
  <c r="D105" i="24"/>
  <c r="E105" i="24" s="1"/>
  <c r="F105" i="24" s="1"/>
  <c r="D104" i="24"/>
  <c r="E104" i="24" s="1"/>
  <c r="F104" i="24" s="1"/>
  <c r="D103" i="24"/>
  <c r="E103" i="24" s="1"/>
  <c r="F103" i="24" s="1"/>
  <c r="D102" i="24"/>
  <c r="E102" i="24" s="1"/>
  <c r="F102" i="24" s="1"/>
  <c r="D101" i="24"/>
  <c r="E101" i="24" s="1"/>
  <c r="F101" i="24" s="1"/>
  <c r="D100" i="24"/>
  <c r="E100" i="24" s="1"/>
  <c r="F100" i="24" s="1"/>
  <c r="D99" i="24"/>
  <c r="E99" i="24" s="1"/>
  <c r="F99" i="24" s="1"/>
  <c r="D98" i="24"/>
  <c r="E98" i="24" s="1"/>
  <c r="F98" i="24" s="1"/>
  <c r="D97" i="24"/>
  <c r="E97" i="24" s="1"/>
  <c r="F97" i="24" s="1"/>
  <c r="D96" i="24"/>
  <c r="E96" i="24" s="1"/>
  <c r="F96" i="24" s="1"/>
  <c r="D95" i="24"/>
  <c r="E95" i="24" s="1"/>
  <c r="F95" i="24" s="1"/>
  <c r="D94" i="24"/>
  <c r="E94" i="24" s="1"/>
  <c r="F94" i="24" s="1"/>
  <c r="D93" i="24"/>
  <c r="E93" i="24" s="1"/>
  <c r="F93" i="24" s="1"/>
  <c r="D92" i="24"/>
  <c r="E92" i="24" s="1"/>
  <c r="F92" i="24" s="1"/>
  <c r="D91" i="24"/>
  <c r="E91" i="24" s="1"/>
  <c r="F91" i="24" s="1"/>
  <c r="D90" i="24"/>
  <c r="E90" i="24" s="1"/>
  <c r="F90" i="24" s="1"/>
  <c r="D89" i="24"/>
  <c r="E89" i="24" s="1"/>
  <c r="F89" i="24" s="1"/>
  <c r="D88" i="24"/>
  <c r="E88" i="24" s="1"/>
  <c r="F88" i="24" s="1"/>
  <c r="D87" i="24"/>
  <c r="E87" i="24" s="1"/>
  <c r="F87" i="24" s="1"/>
  <c r="D86" i="24"/>
  <c r="E86" i="24" s="1"/>
  <c r="F86" i="24" s="1"/>
  <c r="D85" i="24"/>
  <c r="E85" i="24" s="1"/>
  <c r="F85" i="24" s="1"/>
  <c r="D84" i="24"/>
  <c r="E84" i="24" s="1"/>
  <c r="F84" i="24" s="1"/>
  <c r="D83" i="24"/>
  <c r="E83" i="24" s="1"/>
  <c r="F83" i="24" s="1"/>
  <c r="D82" i="24"/>
  <c r="E82" i="24" s="1"/>
  <c r="F82" i="24" s="1"/>
  <c r="D81" i="24"/>
  <c r="E81" i="24" s="1"/>
  <c r="F81" i="24" s="1"/>
  <c r="D80" i="24"/>
  <c r="E80" i="24" s="1"/>
  <c r="F80" i="24" s="1"/>
  <c r="D79" i="24"/>
  <c r="E79" i="24" s="1"/>
  <c r="F79" i="24" s="1"/>
  <c r="D78" i="24"/>
  <c r="E78" i="24" s="1"/>
  <c r="F78" i="24" s="1"/>
  <c r="D77" i="24"/>
  <c r="E77" i="24" s="1"/>
  <c r="F77" i="24" s="1"/>
  <c r="D76" i="24"/>
  <c r="E76" i="24" s="1"/>
  <c r="F76" i="24" s="1"/>
  <c r="D75" i="24"/>
  <c r="E75" i="24" s="1"/>
  <c r="F75" i="24" s="1"/>
  <c r="D74" i="24"/>
  <c r="E74" i="24" s="1"/>
  <c r="F74" i="24" s="1"/>
  <c r="D73" i="24"/>
  <c r="E73" i="24" s="1"/>
  <c r="F73" i="24" s="1"/>
  <c r="D72" i="24"/>
  <c r="E72" i="24" s="1"/>
  <c r="F72" i="24" s="1"/>
  <c r="D71" i="24"/>
  <c r="E71" i="24" s="1"/>
  <c r="F71" i="24" s="1"/>
  <c r="D70" i="24"/>
  <c r="E70" i="24" s="1"/>
  <c r="F70" i="24" s="1"/>
  <c r="D69" i="24"/>
  <c r="E69" i="24" s="1"/>
  <c r="F69" i="24" s="1"/>
  <c r="D68" i="24"/>
  <c r="E68" i="24" s="1"/>
  <c r="F68" i="24" s="1"/>
  <c r="D67" i="24"/>
  <c r="E67" i="24" s="1"/>
  <c r="F67" i="24" s="1"/>
  <c r="D66" i="24"/>
  <c r="E66" i="24" s="1"/>
  <c r="F66" i="24" s="1"/>
  <c r="D65" i="24"/>
  <c r="E65" i="24" s="1"/>
  <c r="F65" i="24" s="1"/>
  <c r="D64" i="24"/>
  <c r="E64" i="24" s="1"/>
  <c r="F64" i="24" s="1"/>
  <c r="D63" i="24"/>
  <c r="E63" i="24" s="1"/>
  <c r="F63" i="24" s="1"/>
  <c r="D62" i="24"/>
  <c r="E62" i="24" s="1"/>
  <c r="F62" i="24" s="1"/>
  <c r="D61" i="24"/>
  <c r="E61" i="24" s="1"/>
  <c r="F61" i="24" s="1"/>
  <c r="D60" i="24"/>
  <c r="E60" i="24" s="1"/>
  <c r="F60" i="24" s="1"/>
  <c r="D59" i="24"/>
  <c r="E59" i="24" s="1"/>
  <c r="F59" i="24" s="1"/>
  <c r="D58" i="24"/>
  <c r="E58" i="24" s="1"/>
  <c r="F58" i="24" s="1"/>
  <c r="D57" i="24"/>
  <c r="E57" i="24" s="1"/>
  <c r="F57" i="24" s="1"/>
  <c r="D56" i="24"/>
  <c r="E56" i="24" s="1"/>
  <c r="F56" i="24" s="1"/>
  <c r="D55" i="24"/>
  <c r="E55" i="24" s="1"/>
  <c r="F55" i="24" s="1"/>
  <c r="D54" i="24"/>
  <c r="E54" i="24" s="1"/>
  <c r="F54" i="24" s="1"/>
  <c r="D53" i="24"/>
  <c r="E53" i="24" s="1"/>
  <c r="F53" i="24" s="1"/>
  <c r="D52" i="24"/>
  <c r="E52" i="24" s="1"/>
  <c r="F52" i="24" s="1"/>
  <c r="D51" i="24"/>
  <c r="E51" i="24" s="1"/>
  <c r="F51" i="24" s="1"/>
  <c r="D50" i="24"/>
  <c r="E50" i="24" s="1"/>
  <c r="F50" i="24" s="1"/>
  <c r="D49" i="24"/>
  <c r="E49" i="24" s="1"/>
  <c r="F49" i="24" s="1"/>
  <c r="D48" i="24"/>
  <c r="E48" i="24" s="1"/>
  <c r="F48" i="24" s="1"/>
  <c r="D47" i="24"/>
  <c r="E47" i="24" s="1"/>
  <c r="F47" i="24" s="1"/>
  <c r="D46" i="24"/>
  <c r="E46" i="24" s="1"/>
  <c r="F46" i="24" s="1"/>
  <c r="D45" i="24"/>
  <c r="E45" i="24" s="1"/>
  <c r="F45" i="24" s="1"/>
  <c r="D44" i="24"/>
  <c r="E44" i="24" s="1"/>
  <c r="F44" i="24" s="1"/>
  <c r="D43" i="24"/>
  <c r="E43" i="24" s="1"/>
  <c r="F43" i="24" s="1"/>
  <c r="D42" i="24"/>
  <c r="E42" i="24" s="1"/>
  <c r="F42" i="24" s="1"/>
  <c r="D41" i="24"/>
  <c r="E41" i="24" s="1"/>
  <c r="F41" i="24" s="1"/>
  <c r="D40" i="24"/>
  <c r="E40" i="24" s="1"/>
  <c r="F40" i="24" s="1"/>
  <c r="D39" i="24"/>
  <c r="E39" i="24" s="1"/>
  <c r="F39" i="24" s="1"/>
  <c r="D38" i="24"/>
  <c r="E38" i="24" s="1"/>
  <c r="F38" i="24" s="1"/>
  <c r="D37" i="24"/>
  <c r="E37" i="24" s="1"/>
  <c r="F37" i="24" s="1"/>
  <c r="D36" i="24"/>
  <c r="E36" i="24" s="1"/>
  <c r="F36" i="24" s="1"/>
  <c r="D35" i="24"/>
  <c r="E35" i="24" s="1"/>
  <c r="F35" i="24" s="1"/>
  <c r="D34" i="24"/>
  <c r="E34" i="24" s="1"/>
  <c r="F34" i="24" s="1"/>
  <c r="D33" i="24"/>
  <c r="E33" i="24" s="1"/>
  <c r="F33" i="24" s="1"/>
  <c r="D32" i="24"/>
  <c r="E32" i="24" s="1"/>
  <c r="F32" i="24" s="1"/>
  <c r="D31" i="24"/>
  <c r="E31" i="24" s="1"/>
  <c r="F31" i="24" s="1"/>
  <c r="D30" i="24"/>
  <c r="E30" i="24" s="1"/>
  <c r="F30" i="24" s="1"/>
  <c r="D29" i="24"/>
  <c r="E29" i="24" s="1"/>
  <c r="F29" i="24" s="1"/>
  <c r="D28" i="24"/>
  <c r="E28" i="24" s="1"/>
  <c r="F28" i="24" s="1"/>
  <c r="D27" i="24"/>
  <c r="E27" i="24" s="1"/>
  <c r="F27" i="24" s="1"/>
  <c r="D26" i="24"/>
  <c r="E26" i="24" s="1"/>
  <c r="F26" i="24" s="1"/>
  <c r="D25" i="24"/>
  <c r="E25" i="24" s="1"/>
  <c r="F25" i="24" s="1"/>
  <c r="D24" i="24"/>
  <c r="E24" i="24" s="1"/>
  <c r="F24" i="24" s="1"/>
  <c r="D23" i="24"/>
  <c r="E23" i="24" s="1"/>
  <c r="F23" i="24" s="1"/>
  <c r="D22" i="24"/>
  <c r="E22" i="24" s="1"/>
  <c r="F22" i="24" s="1"/>
  <c r="D21" i="24"/>
  <c r="E21" i="24" s="1"/>
  <c r="F21" i="24" s="1"/>
  <c r="D20" i="24"/>
  <c r="E20" i="24" s="1"/>
  <c r="F20" i="24" s="1"/>
  <c r="D19" i="24"/>
  <c r="E19" i="24" s="1"/>
  <c r="F19" i="24" s="1"/>
  <c r="D18" i="24"/>
  <c r="E18" i="24" s="1"/>
  <c r="F18" i="24" s="1"/>
  <c r="D17" i="24"/>
  <c r="E17" i="24" s="1"/>
  <c r="F17" i="24" s="1"/>
  <c r="D16" i="24"/>
  <c r="E16" i="24" s="1"/>
  <c r="F16" i="24" s="1"/>
  <c r="D15" i="24"/>
  <c r="E15" i="24" s="1"/>
  <c r="F15" i="24" s="1"/>
  <c r="D14" i="24"/>
  <c r="E14" i="24" s="1"/>
  <c r="F14" i="24" s="1"/>
  <c r="D13" i="24"/>
  <c r="E13" i="24" s="1"/>
  <c r="F13" i="24" s="1"/>
  <c r="D12" i="24"/>
  <c r="E12" i="24" s="1"/>
  <c r="F12" i="24" s="1"/>
  <c r="D11" i="24"/>
  <c r="E11" i="24" s="1"/>
  <c r="F11" i="24" s="1"/>
  <c r="D10" i="24"/>
  <c r="E10" i="24" s="1"/>
  <c r="F10" i="24" s="1"/>
  <c r="D221" i="23"/>
  <c r="E221" i="23" s="1"/>
  <c r="D220" i="23"/>
  <c r="E220" i="23" s="1"/>
  <c r="D217" i="23"/>
  <c r="E217" i="23" s="1"/>
  <c r="D216" i="23"/>
  <c r="E216" i="23" s="1"/>
  <c r="D213" i="23"/>
  <c r="E213" i="23" s="1"/>
  <c r="D212" i="23"/>
  <c r="E212" i="23" s="1"/>
  <c r="D209" i="23"/>
  <c r="E209" i="23" s="1"/>
  <c r="D208" i="23"/>
  <c r="E208" i="23" s="1"/>
  <c r="D312" i="23"/>
  <c r="E312" i="23" s="1"/>
  <c r="D311" i="23"/>
  <c r="E311" i="23" s="1"/>
  <c r="D308" i="23"/>
  <c r="E308" i="23" s="1"/>
  <c r="D305" i="23"/>
  <c r="E305" i="23" s="1"/>
  <c r="D304" i="23"/>
  <c r="E304" i="23" s="1"/>
  <c r="D301" i="23"/>
  <c r="E301" i="23" s="1"/>
  <c r="D300" i="23"/>
  <c r="E300" i="23" s="1"/>
  <c r="D297" i="23"/>
  <c r="E297" i="23" s="1"/>
  <c r="D296" i="23"/>
  <c r="E296" i="23" s="1"/>
  <c r="D293" i="23"/>
  <c r="E293" i="23" s="1"/>
  <c r="D292" i="23"/>
  <c r="E292" i="23" s="1"/>
  <c r="D289" i="23"/>
  <c r="E289" i="23" s="1"/>
  <c r="D288" i="23"/>
  <c r="E288" i="23" s="1"/>
  <c r="D285" i="23"/>
  <c r="E285" i="23" s="1"/>
  <c r="D284" i="23"/>
  <c r="E284" i="23" s="1"/>
  <c r="D281" i="23"/>
  <c r="E281" i="23" s="1"/>
  <c r="D280" i="23"/>
  <c r="E280" i="23" s="1"/>
  <c r="D277" i="23"/>
  <c r="E277" i="23" s="1"/>
  <c r="D276" i="23"/>
  <c r="E276" i="23" s="1"/>
  <c r="D273" i="23"/>
  <c r="E273" i="23" s="1"/>
  <c r="D272" i="23"/>
  <c r="E272" i="23" s="1"/>
  <c r="D269" i="23"/>
  <c r="E269" i="23" s="1"/>
  <c r="D268" i="23"/>
  <c r="E268" i="23" s="1"/>
  <c r="D265" i="23"/>
  <c r="E265" i="23" s="1"/>
  <c r="D264" i="23"/>
  <c r="E264" i="23" s="1"/>
  <c r="D261" i="23"/>
  <c r="E261" i="23" s="1"/>
  <c r="D260" i="23"/>
  <c r="E260" i="23" s="1"/>
  <c r="D257" i="23"/>
  <c r="E257" i="23" s="1"/>
  <c r="D256" i="23"/>
  <c r="E256" i="23" s="1"/>
  <c r="D253" i="23"/>
  <c r="E253" i="23" s="1"/>
  <c r="D252" i="23"/>
  <c r="E252" i="23" s="1"/>
  <c r="D249" i="23"/>
  <c r="E249" i="23" s="1"/>
  <c r="D248" i="23"/>
  <c r="E248" i="23" s="1"/>
  <c r="D245" i="23"/>
  <c r="E245" i="23" s="1"/>
  <c r="D244" i="23"/>
  <c r="E244" i="23" s="1"/>
  <c r="D241" i="23"/>
  <c r="E241" i="23" s="1"/>
  <c r="D240" i="23"/>
  <c r="E240" i="23" s="1"/>
  <c r="D237" i="23"/>
  <c r="E237" i="23" s="1"/>
  <c r="D222" i="23"/>
  <c r="E222" i="23" s="1"/>
  <c r="D219" i="23"/>
  <c r="E219" i="23" s="1"/>
  <c r="D218" i="23"/>
  <c r="E218" i="23" s="1"/>
  <c r="D215" i="23"/>
  <c r="E215" i="23" s="1"/>
  <c r="D214" i="23"/>
  <c r="E214" i="23" s="1"/>
  <c r="D211" i="23"/>
  <c r="E211" i="23" s="1"/>
  <c r="D210" i="23"/>
  <c r="E210" i="23" s="1"/>
  <c r="D207" i="23"/>
  <c r="E207" i="23" s="1"/>
  <c r="D206" i="23"/>
  <c r="E206" i="23" s="1"/>
  <c r="D203" i="23"/>
  <c r="E203" i="23" s="1"/>
  <c r="D202" i="23"/>
  <c r="E202" i="23" s="1"/>
  <c r="D201" i="23"/>
  <c r="E201" i="23" s="1"/>
  <c r="D200" i="23"/>
  <c r="E200" i="23" s="1"/>
  <c r="D199" i="23"/>
  <c r="E199" i="23" s="1"/>
  <c r="D198" i="23"/>
  <c r="E198" i="23" s="1"/>
  <c r="D197" i="23"/>
  <c r="E197" i="23" s="1"/>
  <c r="D196" i="23"/>
  <c r="E196" i="23" s="1"/>
  <c r="D195" i="23"/>
  <c r="E195" i="23" s="1"/>
  <c r="D194" i="23"/>
  <c r="E194" i="23" s="1"/>
  <c r="D193" i="23"/>
  <c r="E193" i="23" s="1"/>
  <c r="D192" i="23"/>
  <c r="E192" i="23" s="1"/>
  <c r="D191" i="23"/>
  <c r="E191" i="23" s="1"/>
  <c r="D190" i="23"/>
  <c r="E190" i="23" s="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5" i="23"/>
  <c r="E135" i="23" s="1"/>
  <c r="D134" i="23"/>
  <c r="E134" i="23" s="1"/>
  <c r="D131" i="23"/>
  <c r="E131" i="23" s="1"/>
  <c r="D130" i="23"/>
  <c r="E130" i="23" s="1"/>
  <c r="D127" i="23"/>
  <c r="E127" i="23" s="1"/>
  <c r="D126" i="23"/>
  <c r="E126" i="23" s="1"/>
  <c r="D123" i="23"/>
  <c r="E123" i="23" s="1"/>
  <c r="D122" i="23"/>
  <c r="E122" i="23" s="1"/>
  <c r="D119" i="23"/>
  <c r="E119" i="23" s="1"/>
  <c r="D118" i="23"/>
  <c r="E118" i="23" s="1"/>
  <c r="D115" i="23"/>
  <c r="E115" i="23" s="1"/>
  <c r="D114" i="23"/>
  <c r="E114" i="23" s="1"/>
  <c r="D111" i="23"/>
  <c r="E111" i="23" s="1"/>
  <c r="D110" i="23"/>
  <c r="E110" i="23" s="1"/>
  <c r="D107" i="23"/>
  <c r="E107" i="23" s="1"/>
  <c r="D106" i="23"/>
  <c r="E106" i="23" s="1"/>
  <c r="D103" i="23"/>
  <c r="E103" i="23" s="1"/>
  <c r="D102" i="23"/>
  <c r="E102" i="23" s="1"/>
  <c r="D99" i="23"/>
  <c r="E99" i="23" s="1"/>
  <c r="D98" i="23"/>
  <c r="E98" i="23" s="1"/>
  <c r="D95" i="23"/>
  <c r="E95" i="23" s="1"/>
  <c r="D92" i="23"/>
  <c r="E92" i="23" s="1"/>
  <c r="D91" i="23"/>
  <c r="E91" i="23" s="1"/>
  <c r="D88" i="23"/>
  <c r="E88" i="23" s="1"/>
  <c r="D87" i="23"/>
  <c r="E87" i="23" s="1"/>
  <c r="D84" i="23"/>
  <c r="E84" i="23" s="1"/>
  <c r="D83" i="23"/>
  <c r="E83" i="23" s="1"/>
  <c r="D80" i="23"/>
  <c r="E80" i="23" s="1"/>
  <c r="D79" i="23"/>
  <c r="E79" i="23" s="1"/>
  <c r="D76" i="23"/>
  <c r="E76" i="23" s="1"/>
  <c r="D75" i="23"/>
  <c r="E75" i="23" s="1"/>
  <c r="D72" i="23"/>
  <c r="E72" i="23" s="1"/>
  <c r="D71" i="23"/>
  <c r="E71" i="23" s="1"/>
  <c r="D68" i="23"/>
  <c r="E68" i="23" s="1"/>
  <c r="D67" i="23"/>
  <c r="E67" i="23" s="1"/>
  <c r="D64" i="23"/>
  <c r="E64" i="23" s="1"/>
  <c r="D63" i="23"/>
  <c r="E63" i="23" s="1"/>
  <c r="D60" i="23"/>
  <c r="E60" i="23" s="1"/>
  <c r="D59" i="23"/>
  <c r="E59" i="23" s="1"/>
  <c r="D56" i="23"/>
  <c r="E56" i="23" s="1"/>
  <c r="D55" i="23"/>
  <c r="E55" i="23" s="1"/>
  <c r="D53" i="23"/>
  <c r="E53" i="23" s="1"/>
  <c r="D50" i="23"/>
  <c r="E50" i="23" s="1"/>
  <c r="D49" i="23"/>
  <c r="E49" i="23" s="1"/>
  <c r="D46" i="23"/>
  <c r="E46" i="23" s="1"/>
  <c r="D45" i="23"/>
  <c r="E45" i="23" s="1"/>
  <c r="D42" i="23"/>
  <c r="E42" i="23" s="1"/>
  <c r="D41" i="23"/>
  <c r="E41" i="23" s="1"/>
  <c r="D38" i="23"/>
  <c r="E38" i="23" s="1"/>
  <c r="D37" i="23"/>
  <c r="E37" i="23" s="1"/>
  <c r="D34" i="23"/>
  <c r="E34" i="23" s="1"/>
  <c r="D33" i="23"/>
  <c r="E33" i="23" s="1"/>
  <c r="D30" i="23"/>
  <c r="E30" i="23" s="1"/>
  <c r="D29" i="23"/>
  <c r="E29" i="23" s="1"/>
  <c r="D26" i="23"/>
  <c r="E26" i="23" s="1"/>
  <c r="D25" i="23"/>
  <c r="E25" i="23" s="1"/>
  <c r="D22" i="23"/>
  <c r="E22" i="23" s="1"/>
  <c r="D21" i="23"/>
  <c r="E21" i="23" s="1"/>
  <c r="D18" i="23"/>
  <c r="E18" i="23" s="1"/>
  <c r="D17" i="23"/>
  <c r="E17" i="23" s="1"/>
  <c r="D14" i="23"/>
  <c r="E14" i="23" s="1"/>
  <c r="D13" i="23"/>
  <c r="E13" i="23" s="1"/>
  <c r="D10" i="23"/>
  <c r="E10" i="23" s="1"/>
  <c r="D375" i="23"/>
  <c r="E375" i="23" s="1"/>
  <c r="D374" i="23"/>
  <c r="E374" i="23" s="1"/>
  <c r="D373" i="23"/>
  <c r="E373" i="23" s="1"/>
  <c r="D372" i="23"/>
  <c r="E372" i="23" s="1"/>
  <c r="D371" i="23"/>
  <c r="E371" i="23" s="1"/>
  <c r="D370" i="23"/>
  <c r="E370" i="23" s="1"/>
  <c r="D369" i="23"/>
  <c r="E369" i="23" s="1"/>
  <c r="D368" i="23"/>
  <c r="E368" i="23" s="1"/>
  <c r="D367" i="23"/>
  <c r="E367" i="23" s="1"/>
  <c r="D366" i="23"/>
  <c r="E366" i="23" s="1"/>
  <c r="D365" i="23"/>
  <c r="E365" i="23" s="1"/>
  <c r="D364" i="23"/>
  <c r="E364" i="23" s="1"/>
  <c r="D363" i="23"/>
  <c r="E363" i="23" s="1"/>
  <c r="D362" i="23"/>
  <c r="E362" i="23" s="1"/>
  <c r="D361" i="23"/>
  <c r="E361" i="23" s="1"/>
  <c r="D360" i="23"/>
  <c r="E360" i="23" s="1"/>
  <c r="D359" i="23"/>
  <c r="E359" i="23" s="1"/>
  <c r="D358" i="23"/>
  <c r="E358" i="23" s="1"/>
  <c r="D357" i="23"/>
  <c r="E357" i="23" s="1"/>
  <c r="D356" i="23"/>
  <c r="E356" i="23" s="1"/>
  <c r="D355" i="23"/>
  <c r="E355" i="23" s="1"/>
  <c r="D354" i="23"/>
  <c r="E354" i="23" s="1"/>
  <c r="D353" i="23"/>
  <c r="E353" i="23" s="1"/>
  <c r="D352" i="23"/>
  <c r="E352" i="23" s="1"/>
  <c r="D351" i="23"/>
  <c r="E351" i="23" s="1"/>
  <c r="D348" i="23"/>
  <c r="E348" i="23" s="1"/>
  <c r="D347" i="23"/>
  <c r="E347" i="23" s="1"/>
  <c r="D344" i="23"/>
  <c r="E344" i="23" s="1"/>
  <c r="D343" i="23"/>
  <c r="E343" i="23" s="1"/>
  <c r="D340" i="23"/>
  <c r="E340" i="23" s="1"/>
  <c r="D339" i="23"/>
  <c r="E339" i="23" s="1"/>
  <c r="D336" i="23"/>
  <c r="E336" i="23" s="1"/>
  <c r="D335" i="23"/>
  <c r="E335" i="23" s="1"/>
  <c r="D334" i="23"/>
  <c r="E334" i="23" s="1"/>
  <c r="D333" i="23"/>
  <c r="E333" i="23" s="1"/>
  <c r="D330" i="23"/>
  <c r="E330" i="23" s="1"/>
  <c r="D329" i="23"/>
  <c r="E329" i="23" s="1"/>
  <c r="D326" i="23"/>
  <c r="E326" i="23" s="1"/>
  <c r="D325" i="23"/>
  <c r="E325" i="23" s="1"/>
  <c r="D322" i="23"/>
  <c r="E322" i="23" s="1"/>
  <c r="D321" i="23"/>
  <c r="E321" i="23" s="1"/>
  <c r="D318" i="23"/>
  <c r="E318" i="23" s="1"/>
  <c r="D317" i="23"/>
  <c r="E317" i="23" s="1"/>
  <c r="D314" i="23"/>
  <c r="E314" i="23" s="1"/>
  <c r="D313" i="23"/>
  <c r="E313" i="23" s="1"/>
  <c r="D310" i="23"/>
  <c r="E310" i="23" s="1"/>
  <c r="D309" i="23"/>
  <c r="E309" i="23" s="1"/>
  <c r="D307" i="23"/>
  <c r="E307" i="23" s="1"/>
  <c r="D306" i="23"/>
  <c r="E306" i="23" s="1"/>
  <c r="D303" i="23"/>
  <c r="E303" i="23" s="1"/>
  <c r="D302" i="23"/>
  <c r="E302" i="23" s="1"/>
  <c r="D299" i="23"/>
  <c r="E299" i="23" s="1"/>
  <c r="D298" i="23"/>
  <c r="E298" i="23" s="1"/>
  <c r="D295" i="23"/>
  <c r="E295" i="23" s="1"/>
  <c r="D294" i="23"/>
  <c r="E294" i="23" s="1"/>
  <c r="D291" i="23"/>
  <c r="E291" i="23" s="1"/>
  <c r="D290" i="23"/>
  <c r="E290" i="23" s="1"/>
  <c r="D287" i="23"/>
  <c r="E287" i="23" s="1"/>
  <c r="D286" i="23"/>
  <c r="E286" i="23" s="1"/>
  <c r="D283" i="23"/>
  <c r="E283" i="23" s="1"/>
  <c r="D282" i="23"/>
  <c r="E282" i="23" s="1"/>
  <c r="D279" i="23"/>
  <c r="E279" i="23" s="1"/>
  <c r="D278" i="23"/>
  <c r="E278" i="23" s="1"/>
  <c r="D275" i="23"/>
  <c r="E275" i="23" s="1"/>
  <c r="D274" i="23"/>
  <c r="E274" i="23" s="1"/>
  <c r="D271" i="23"/>
  <c r="E271" i="23" s="1"/>
  <c r="D270" i="23"/>
  <c r="E270" i="23" s="1"/>
  <c r="D267" i="23"/>
  <c r="E267" i="23" s="1"/>
  <c r="D266" i="23"/>
  <c r="E266" i="23" s="1"/>
  <c r="D263" i="23"/>
  <c r="E263" i="23" s="1"/>
  <c r="D262" i="23"/>
  <c r="E262" i="23" s="1"/>
  <c r="D259" i="23"/>
  <c r="E259" i="23" s="1"/>
  <c r="D258" i="23"/>
  <c r="E258" i="23" s="1"/>
  <c r="D255" i="23"/>
  <c r="E255" i="23" s="1"/>
  <c r="D254" i="23"/>
  <c r="E254" i="23" s="1"/>
  <c r="D251" i="23"/>
  <c r="E251" i="23" s="1"/>
  <c r="D250" i="23"/>
  <c r="E250" i="23" s="1"/>
  <c r="D247" i="23"/>
  <c r="E247" i="23" s="1"/>
  <c r="D246" i="23"/>
  <c r="E246" i="23" s="1"/>
  <c r="D243" i="23"/>
  <c r="E243" i="23" s="1"/>
  <c r="D242" i="23"/>
  <c r="E242" i="23" s="1"/>
  <c r="D239" i="23"/>
  <c r="E239" i="23" s="1"/>
  <c r="D238" i="23"/>
  <c r="E238" i="23" s="1"/>
  <c r="D235" i="23"/>
  <c r="E235" i="23" s="1"/>
  <c r="D234" i="23"/>
  <c r="E234" i="23" s="1"/>
  <c r="D231" i="23"/>
  <c r="E231" i="23" s="1"/>
  <c r="D230" i="23"/>
  <c r="E230" i="23" s="1"/>
  <c r="D227" i="23"/>
  <c r="E227" i="23" s="1"/>
  <c r="D226" i="23"/>
  <c r="E226" i="23" s="1"/>
  <c r="D223" i="23"/>
  <c r="E223" i="23" s="1"/>
  <c r="E8" i="70"/>
  <c r="J137" i="26" l="1"/>
  <c r="H137" i="26"/>
  <c r="F137" i="26"/>
  <c r="D137" i="26"/>
  <c r="C137" i="26"/>
  <c r="I137" i="26"/>
  <c r="E137" i="26"/>
  <c r="G137" i="26" l="1"/>
  <c r="O105" i="62" l="1"/>
  <c r="N105" i="62"/>
  <c r="M105" i="62"/>
  <c r="O93" i="62"/>
  <c r="N93" i="62"/>
  <c r="M93" i="62"/>
  <c r="O80" i="62"/>
  <c r="N80" i="62"/>
  <c r="M80" i="62"/>
  <c r="O69" i="62"/>
  <c r="N69" i="62"/>
  <c r="M69" i="62"/>
  <c r="O55" i="62"/>
  <c r="N55" i="62"/>
  <c r="M55" i="62"/>
  <c r="O44" i="62"/>
  <c r="N44" i="62"/>
  <c r="M44" i="62"/>
  <c r="O32" i="62"/>
  <c r="N32" i="62"/>
  <c r="M32" i="62"/>
  <c r="O21" i="62"/>
  <c r="N21" i="62"/>
  <c r="M21" i="62"/>
  <c r="L91" i="62"/>
  <c r="F91" i="62"/>
  <c r="K68" i="62"/>
  <c r="K54" i="62"/>
  <c r="K79" i="62"/>
  <c r="K20" i="62"/>
  <c r="D91" i="62" l="1"/>
  <c r="D103" i="62" s="1"/>
  <c r="J91" i="62"/>
  <c r="J103" i="62" s="1"/>
  <c r="E68" i="62"/>
  <c r="E69" i="62" s="1"/>
  <c r="H91" i="62"/>
  <c r="H103" i="62" s="1"/>
  <c r="I68" i="62"/>
  <c r="I69" i="62" s="1"/>
  <c r="F20" i="62"/>
  <c r="F21" i="62" s="1"/>
  <c r="J20" i="62"/>
  <c r="J21" i="62" s="1"/>
  <c r="F79" i="62"/>
  <c r="F80" i="62" s="1"/>
  <c r="J79" i="62"/>
  <c r="J80" i="62" s="1"/>
  <c r="D54" i="62"/>
  <c r="D55" i="62" s="1"/>
  <c r="H54" i="62"/>
  <c r="H55" i="62" s="1"/>
  <c r="L54" i="62"/>
  <c r="D20" i="62"/>
  <c r="D21" i="62" s="1"/>
  <c r="H20" i="62"/>
  <c r="H21" i="62" s="1"/>
  <c r="L20" i="62"/>
  <c r="L21" i="62" s="1"/>
  <c r="G68" i="62"/>
  <c r="G69" i="62" s="1"/>
  <c r="D79" i="62"/>
  <c r="D80" i="62" s="1"/>
  <c r="H79" i="62"/>
  <c r="H80" i="62" s="1"/>
  <c r="L79" i="62"/>
  <c r="L80" i="62" s="1"/>
  <c r="F54" i="62"/>
  <c r="F55" i="62" s="1"/>
  <c r="J54" i="62"/>
  <c r="J55" i="62" s="1"/>
  <c r="F103" i="62"/>
  <c r="L103" i="62"/>
  <c r="L31" i="62"/>
  <c r="L32" i="62" s="1"/>
  <c r="J31" i="62"/>
  <c r="H31" i="62"/>
  <c r="H32" i="62" s="1"/>
  <c r="F31" i="62"/>
  <c r="D31" i="62"/>
  <c r="D32" i="62" s="1"/>
  <c r="K31" i="62"/>
  <c r="K92" i="62" s="1"/>
  <c r="G31" i="62"/>
  <c r="G32" i="62" s="1"/>
  <c r="I31" i="62"/>
  <c r="I32" i="62" s="1"/>
  <c r="E31" i="62"/>
  <c r="E32" i="62" s="1"/>
  <c r="L68" i="62"/>
  <c r="L69" i="62" s="1"/>
  <c r="J68" i="62"/>
  <c r="J69" i="62" s="1"/>
  <c r="H68" i="62"/>
  <c r="H69" i="62" s="1"/>
  <c r="F68" i="62"/>
  <c r="F69" i="62" s="1"/>
  <c r="D68" i="62"/>
  <c r="D69" i="62" s="1"/>
  <c r="K80" i="62"/>
  <c r="G20" i="62"/>
  <c r="G21" i="62" s="1"/>
  <c r="E79" i="62"/>
  <c r="E80" i="62" s="1"/>
  <c r="G79" i="62"/>
  <c r="G80" i="62" s="1"/>
  <c r="I79" i="62"/>
  <c r="I80" i="62" s="1"/>
  <c r="E54" i="62"/>
  <c r="E55" i="62" s="1"/>
  <c r="G54" i="62"/>
  <c r="G55" i="62" s="1"/>
  <c r="I54" i="62"/>
  <c r="I55" i="62" s="1"/>
  <c r="E91" i="62"/>
  <c r="G91" i="62"/>
  <c r="G103" i="62" s="1"/>
  <c r="I91" i="62"/>
  <c r="K91" i="62"/>
  <c r="K103" i="62" s="1"/>
  <c r="K69" i="62"/>
  <c r="P78" i="62"/>
  <c r="K55" i="62"/>
  <c r="P67" i="62"/>
  <c r="E44" i="62"/>
  <c r="G44" i="62"/>
  <c r="I44" i="62"/>
  <c r="K44" i="62"/>
  <c r="P53" i="62"/>
  <c r="D44" i="62"/>
  <c r="F44" i="62"/>
  <c r="H44" i="62"/>
  <c r="J44" i="62"/>
  <c r="L44" i="62"/>
  <c r="P43" i="62"/>
  <c r="P42" i="62"/>
  <c r="K21" i="62"/>
  <c r="P30" i="62"/>
  <c r="P19" i="62"/>
  <c r="H92" i="62" l="1"/>
  <c r="H104" i="62" s="1"/>
  <c r="H105" i="62" s="1"/>
  <c r="D92" i="62"/>
  <c r="D104" i="62" s="1"/>
  <c r="D105" i="62" s="1"/>
  <c r="P54" i="62"/>
  <c r="F92" i="62"/>
  <c r="F93" i="62" s="1"/>
  <c r="J92" i="62"/>
  <c r="J93" i="62" s="1"/>
  <c r="L92" i="62"/>
  <c r="L104" i="62" s="1"/>
  <c r="L105" i="62" s="1"/>
  <c r="I20" i="62"/>
  <c r="I21" i="62" s="1"/>
  <c r="E20" i="62"/>
  <c r="E92" i="62" s="1"/>
  <c r="E104" i="62" s="1"/>
  <c r="K32" i="62"/>
  <c r="L55" i="62"/>
  <c r="P55" i="62" s="1"/>
  <c r="P68" i="62"/>
  <c r="K104" i="62"/>
  <c r="K105" i="62" s="1"/>
  <c r="P91" i="62"/>
  <c r="P69" i="62"/>
  <c r="P31" i="62"/>
  <c r="J32" i="62"/>
  <c r="F32" i="62"/>
  <c r="P79" i="62"/>
  <c r="K93" i="62"/>
  <c r="G92" i="62"/>
  <c r="G104" i="62" s="1"/>
  <c r="G105" i="62" s="1"/>
  <c r="H93" i="62"/>
  <c r="I103" i="62"/>
  <c r="E103" i="62"/>
  <c r="P80" i="62"/>
  <c r="P44" i="62"/>
  <c r="D93" i="62" l="1"/>
  <c r="L93" i="62"/>
  <c r="F104" i="62"/>
  <c r="F105" i="62" s="1"/>
  <c r="J104" i="62"/>
  <c r="J105" i="62" s="1"/>
  <c r="I92" i="62"/>
  <c r="I104" i="62" s="1"/>
  <c r="I105" i="62" s="1"/>
  <c r="E21" i="62"/>
  <c r="P21" i="62" s="1"/>
  <c r="P20" i="62"/>
  <c r="E93" i="62"/>
  <c r="P32" i="62"/>
  <c r="G93" i="62"/>
  <c r="P92" i="62"/>
  <c r="E105" i="62"/>
  <c r="P103" i="62"/>
  <c r="P104" i="62" l="1"/>
  <c r="I93" i="62"/>
  <c r="P93" i="62" s="1"/>
  <c r="P105" i="62"/>
  <c r="C27" i="4" l="1"/>
  <c r="C26" i="4"/>
  <c r="A6" i="70"/>
  <c r="A7" i="70" s="1"/>
  <c r="A8" i="70" s="1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A58" i="70" s="1"/>
  <c r="A59" i="70" s="1"/>
  <c r="E59" i="70" l="1"/>
  <c r="F3" i="70"/>
  <c r="F59" i="70" l="1"/>
  <c r="E53" i="70"/>
  <c r="E40" i="70"/>
  <c r="E27" i="70"/>
  <c r="E14" i="70"/>
  <c r="G3" i="70"/>
  <c r="G59" i="70" l="1"/>
  <c r="F53" i="70"/>
  <c r="F40" i="70"/>
  <c r="F27" i="70"/>
  <c r="F14" i="70"/>
  <c r="H3" i="70"/>
  <c r="H59" i="70" l="1"/>
  <c r="G53" i="70"/>
  <c r="G40" i="70"/>
  <c r="G27" i="70"/>
  <c r="G14" i="70"/>
  <c r="I3" i="70"/>
  <c r="I59" i="70" l="1"/>
  <c r="H53" i="70"/>
  <c r="H40" i="70"/>
  <c r="H27" i="70"/>
  <c r="H14" i="70"/>
  <c r="J3" i="70"/>
  <c r="J59" i="70" l="1"/>
  <c r="I53" i="70"/>
  <c r="I40" i="70"/>
  <c r="I27" i="70"/>
  <c r="I14" i="70"/>
  <c r="J53" i="70" l="1"/>
  <c r="J40" i="70"/>
  <c r="J27" i="70"/>
  <c r="J14" i="70"/>
  <c r="Q15" i="52" l="1"/>
  <c r="R15" i="52" s="1"/>
  <c r="L6" i="35" l="1"/>
  <c r="M6" i="35" s="1"/>
  <c r="N6" i="35" s="1"/>
  <c r="O6" i="35" s="1"/>
  <c r="P6" i="35" s="1"/>
  <c r="Q6" i="35" s="1"/>
  <c r="R6" i="35" s="1"/>
  <c r="S6" i="35" s="1"/>
  <c r="T6" i="35" s="1"/>
  <c r="B13" i="35"/>
  <c r="B77" i="35" s="1"/>
  <c r="E13" i="35"/>
  <c r="E77" i="35" s="1"/>
  <c r="C14" i="35"/>
  <c r="C18" i="35"/>
  <c r="C23" i="35"/>
  <c r="E28" i="35"/>
  <c r="E92" i="35" s="1"/>
  <c r="C48" i="35"/>
  <c r="C53" i="35"/>
  <c r="B58" i="35"/>
  <c r="B122" i="35" s="1"/>
  <c r="E58" i="35"/>
  <c r="E122" i="35" s="1"/>
  <c r="C59" i="35"/>
  <c r="C63" i="35"/>
  <c r="C68" i="35"/>
  <c r="E68" i="35" l="1"/>
  <c r="E131" i="35" s="1"/>
  <c r="C131" i="35"/>
  <c r="F59" i="35"/>
  <c r="F121" i="35" s="1"/>
  <c r="C121" i="35"/>
  <c r="E48" i="35"/>
  <c r="E112" i="35" s="1"/>
  <c r="C112" i="35"/>
  <c r="E23" i="35"/>
  <c r="E86" i="35" s="1"/>
  <c r="C86" i="35"/>
  <c r="F14" i="35"/>
  <c r="F76" i="35" s="1"/>
  <c r="C76" i="35"/>
  <c r="E63" i="35"/>
  <c r="E127" i="35" s="1"/>
  <c r="C127" i="35"/>
  <c r="E53" i="35"/>
  <c r="E116" i="35" s="1"/>
  <c r="C116" i="35"/>
  <c r="E18" i="35"/>
  <c r="E82" i="35" s="1"/>
  <c r="C82" i="35"/>
  <c r="B63" i="35"/>
  <c r="B127" i="35" s="1"/>
  <c r="B68" i="35"/>
  <c r="B131" i="35" s="1"/>
  <c r="B18" i="35"/>
  <c r="B82" i="35" s="1"/>
  <c r="B23" i="35"/>
  <c r="C64" i="35"/>
  <c r="C126" i="35" s="1"/>
  <c r="B59" i="35"/>
  <c r="B121" i="35" s="1"/>
  <c r="E59" i="35"/>
  <c r="E121" i="35" s="1"/>
  <c r="E43" i="35"/>
  <c r="E107" i="35" s="1"/>
  <c r="C33" i="35"/>
  <c r="C29" i="35"/>
  <c r="C91" i="35" s="1"/>
  <c r="B28" i="35"/>
  <c r="B92" i="35" s="1"/>
  <c r="C24" i="35"/>
  <c r="C19" i="35"/>
  <c r="C81" i="35" s="1"/>
  <c r="E14" i="35"/>
  <c r="E76" i="35" s="1"/>
  <c r="B14" i="35"/>
  <c r="B76" i="35" s="1"/>
  <c r="B43" i="35"/>
  <c r="B107" i="35" s="1"/>
  <c r="C69" i="35"/>
  <c r="C60" i="35"/>
  <c r="C120" i="35" s="1"/>
  <c r="C44" i="35"/>
  <c r="C106" i="35" s="1"/>
  <c r="C38" i="35"/>
  <c r="C15" i="35"/>
  <c r="C75" i="35" s="1"/>
  <c r="E38" i="35" l="1"/>
  <c r="E101" i="35" s="1"/>
  <c r="C101" i="35"/>
  <c r="E24" i="35"/>
  <c r="E85" i="35" s="1"/>
  <c r="C85" i="35"/>
  <c r="B86" i="35"/>
  <c r="E69" i="35"/>
  <c r="E130" i="35" s="1"/>
  <c r="C130" i="35"/>
  <c r="E33" i="35"/>
  <c r="E97" i="35" s="1"/>
  <c r="C97" i="35"/>
  <c r="B33" i="35"/>
  <c r="B97" i="35" s="1"/>
  <c r="B38" i="35"/>
  <c r="B101" i="35" s="1"/>
  <c r="B19" i="35"/>
  <c r="B81" i="35" s="1"/>
  <c r="B24" i="35"/>
  <c r="B69" i="35"/>
  <c r="B130" i="35" s="1"/>
  <c r="B64" i="35"/>
  <c r="B126" i="35" s="1"/>
  <c r="F44" i="35"/>
  <c r="F106" i="35" s="1"/>
  <c r="B44" i="35"/>
  <c r="B106" i="35" s="1"/>
  <c r="C49" i="35"/>
  <c r="C111" i="35" s="1"/>
  <c r="C54" i="35"/>
  <c r="E44" i="35"/>
  <c r="E106" i="35" s="1"/>
  <c r="C45" i="35"/>
  <c r="C105" i="35" s="1"/>
  <c r="B60" i="35"/>
  <c r="B120" i="35" s="1"/>
  <c r="F60" i="35"/>
  <c r="F120" i="35" s="1"/>
  <c r="C65" i="35"/>
  <c r="C125" i="35" s="1"/>
  <c r="E60" i="35"/>
  <c r="E120" i="35" s="1"/>
  <c r="E29" i="35"/>
  <c r="E91" i="35" s="1"/>
  <c r="F29" i="35"/>
  <c r="F91" i="35" s="1"/>
  <c r="C34" i="35"/>
  <c r="C96" i="35" s="1"/>
  <c r="C39" i="35"/>
  <c r="C30" i="35"/>
  <c r="C90" i="35" s="1"/>
  <c r="B29" i="35"/>
  <c r="B91" i="35" s="1"/>
  <c r="B48" i="35"/>
  <c r="B112" i="35" s="1"/>
  <c r="B53" i="35"/>
  <c r="B116" i="35" s="1"/>
  <c r="B15" i="35"/>
  <c r="B75" i="35" s="1"/>
  <c r="E15" i="35"/>
  <c r="E75" i="35" s="1"/>
  <c r="C20" i="35"/>
  <c r="C80" i="35" s="1"/>
  <c r="F15" i="35"/>
  <c r="F75" i="35" s="1"/>
  <c r="E19" i="35"/>
  <c r="E81" i="35" s="1"/>
  <c r="F19" i="35"/>
  <c r="F81" i="35" s="1"/>
  <c r="E64" i="35"/>
  <c r="E126" i="35" s="1"/>
  <c r="F64" i="35"/>
  <c r="F126" i="35" s="1"/>
  <c r="E39" i="35" l="1"/>
  <c r="E100" i="35" s="1"/>
  <c r="C100" i="35"/>
  <c r="E54" i="35"/>
  <c r="E115" i="35" s="1"/>
  <c r="C115" i="35"/>
  <c r="B85" i="35"/>
  <c r="E30" i="35"/>
  <c r="E90" i="35" s="1"/>
  <c r="F30" i="35"/>
  <c r="F90" i="35" s="1"/>
  <c r="B30" i="35"/>
  <c r="C35" i="35"/>
  <c r="C95" i="35" s="1"/>
  <c r="C50" i="35"/>
  <c r="C110" i="35" s="1"/>
  <c r="C55" i="35"/>
  <c r="E55" i="35" s="1"/>
  <c r="E45" i="35"/>
  <c r="E105" i="35" s="1"/>
  <c r="F45" i="35"/>
  <c r="F105" i="35" s="1"/>
  <c r="B45" i="35"/>
  <c r="B105" i="35" s="1"/>
  <c r="B49" i="35"/>
  <c r="B111" i="35" s="1"/>
  <c r="B54" i="35"/>
  <c r="B115" i="35" s="1"/>
  <c r="B34" i="35"/>
  <c r="B96" i="35" s="1"/>
  <c r="B39" i="35"/>
  <c r="B100" i="35" s="1"/>
  <c r="E65" i="35"/>
  <c r="E125" i="35" s="1"/>
  <c r="F65" i="35"/>
  <c r="F125" i="35" s="1"/>
  <c r="B65" i="35"/>
  <c r="B125" i="35" s="1"/>
  <c r="B20" i="35"/>
  <c r="B80" i="35" s="1"/>
  <c r="E20" i="35"/>
  <c r="E80" i="35" s="1"/>
  <c r="F20" i="35"/>
  <c r="F34" i="35"/>
  <c r="F96" i="35" s="1"/>
  <c r="E34" i="35"/>
  <c r="E96" i="35" s="1"/>
  <c r="E49" i="35"/>
  <c r="E111" i="35" s="1"/>
  <c r="F49" i="35"/>
  <c r="F111" i="35" s="1"/>
  <c r="F24" i="35" l="1"/>
  <c r="F85" i="35" s="1"/>
  <c r="F80" i="35"/>
  <c r="B35" i="35"/>
  <c r="B95" i="35" s="1"/>
  <c r="B90" i="35"/>
  <c r="F69" i="35"/>
  <c r="X25" i="35"/>
  <c r="B50" i="35"/>
  <c r="B110" i="35" s="1"/>
  <c r="B55" i="35"/>
  <c r="E35" i="35"/>
  <c r="E95" i="35" s="1"/>
  <c r="F35" i="35"/>
  <c r="E50" i="35"/>
  <c r="E110" i="35" s="1"/>
  <c r="F50" i="35"/>
  <c r="F130" i="35" l="1"/>
  <c r="F55" i="35"/>
  <c r="F110" i="35"/>
  <c r="F39" i="35"/>
  <c r="F95" i="35"/>
  <c r="F54" i="35"/>
  <c r="W27" i="35"/>
  <c r="Y25" i="35"/>
  <c r="Z25" i="35" s="1"/>
  <c r="AA25" i="35" s="1"/>
  <c r="AB25" i="35" s="1"/>
  <c r="AC25" i="35" s="1"/>
  <c r="AD25" i="35" s="1"/>
  <c r="X27" i="35"/>
  <c r="X30" i="35"/>
  <c r="Y30" i="35" s="1"/>
  <c r="Z30" i="35" s="1"/>
  <c r="AA30" i="35" s="1"/>
  <c r="AB30" i="35" s="1"/>
  <c r="AC30" i="35" s="1"/>
  <c r="AD30" i="35" s="1"/>
  <c r="AE30" i="35" s="1"/>
  <c r="AF30" i="35" s="1"/>
  <c r="AG30" i="35" s="1"/>
  <c r="AH30" i="35" s="1"/>
  <c r="AI30" i="35" s="1"/>
  <c r="F115" i="35" l="1"/>
  <c r="F100" i="35"/>
  <c r="W28" i="35"/>
  <c r="W31" i="35" s="1"/>
  <c r="W30" i="35"/>
  <c r="AD34" i="35"/>
  <c r="AD28" i="35"/>
  <c r="AE28" i="35" s="1"/>
  <c r="AF28" i="35" s="1"/>
  <c r="AG28" i="35" s="1"/>
  <c r="AH28" i="35" s="1"/>
  <c r="AI28" i="35" s="1"/>
  <c r="AJ28" i="35" s="1"/>
  <c r="AK28" i="35" s="1"/>
  <c r="AL28" i="35" s="1"/>
  <c r="AM28" i="35" s="1"/>
  <c r="AN28" i="35" s="1"/>
  <c r="AO28" i="35" s="1"/>
  <c r="AE25" i="35"/>
  <c r="AF25" i="35" s="1"/>
  <c r="AG25" i="35" s="1"/>
  <c r="AH25" i="35" s="1"/>
  <c r="AI25" i="35" s="1"/>
  <c r="AJ25" i="35" s="1"/>
  <c r="AD31" i="35"/>
  <c r="AE31" i="35" s="1"/>
  <c r="AF31" i="35" s="1"/>
  <c r="AG31" i="35" s="1"/>
  <c r="AH31" i="35" s="1"/>
  <c r="AI31" i="35" s="1"/>
  <c r="AJ31" i="35" s="1"/>
  <c r="AK31" i="35" s="1"/>
  <c r="AL31" i="35" s="1"/>
  <c r="AM31" i="35" s="1"/>
  <c r="AN31" i="35" s="1"/>
  <c r="AO31" i="35" s="1"/>
  <c r="Y27" i="35"/>
  <c r="X32" i="35"/>
  <c r="AJ30" i="35" l="1"/>
  <c r="AK30" i="35" s="1"/>
  <c r="AL30" i="35" s="1"/>
  <c r="AM30" i="35" s="1"/>
  <c r="AN30" i="35" s="1"/>
  <c r="AO30" i="35" s="1"/>
  <c r="AP30" i="35" s="1"/>
  <c r="AQ30" i="35" s="1"/>
  <c r="AR30" i="35" s="1"/>
  <c r="AS30" i="35" s="1"/>
  <c r="AT30" i="35" s="1"/>
  <c r="AU30" i="35" s="1"/>
  <c r="AK25" i="35"/>
  <c r="AL25" i="35" s="1"/>
  <c r="AM25" i="35" s="1"/>
  <c r="AN25" i="35" s="1"/>
  <c r="AO25" i="35" s="1"/>
  <c r="AP25" i="35" s="1"/>
  <c r="AJ27" i="35"/>
  <c r="AJ34" i="35"/>
  <c r="Z27" i="35"/>
  <c r="Y32" i="35"/>
  <c r="AA27" i="35" l="1"/>
  <c r="Z32" i="35"/>
  <c r="AK27" i="35"/>
  <c r="AJ32" i="35"/>
  <c r="AQ25" i="35"/>
  <c r="AR25" i="35" s="1"/>
  <c r="AS25" i="35" s="1"/>
  <c r="AT25" i="35" s="1"/>
  <c r="AU25" i="35" s="1"/>
  <c r="AL27" i="35" l="1"/>
  <c r="AK32" i="35"/>
  <c r="AA32" i="35"/>
  <c r="AB27" i="35"/>
  <c r="AC27" i="35" l="1"/>
  <c r="AB32" i="35"/>
  <c r="AL32" i="35"/>
  <c r="AM27" i="35"/>
  <c r="AM32" i="35" l="1"/>
  <c r="AN27" i="35"/>
  <c r="AC32" i="35"/>
  <c r="AD27" i="35"/>
  <c r="AE27" i="35" l="1"/>
  <c r="AD32" i="35"/>
  <c r="AO27" i="35"/>
  <c r="AN32" i="35"/>
  <c r="AP27" i="35" l="1"/>
  <c r="AO32" i="35"/>
  <c r="AE32" i="35"/>
  <c r="AF27" i="35"/>
  <c r="AG27" i="35" l="1"/>
  <c r="AF32" i="35"/>
  <c r="AQ27" i="35"/>
  <c r="AR27" i="35" l="1"/>
  <c r="AH27" i="35"/>
  <c r="AG32" i="35"/>
  <c r="AH32" i="35" l="1"/>
  <c r="AI27" i="35"/>
  <c r="AI32" i="35" s="1"/>
  <c r="AS27" i="35"/>
  <c r="AT27" i="35" l="1"/>
  <c r="AU27" i="35" l="1"/>
  <c r="E376" i="24" l="1"/>
  <c r="E4" i="21" l="1"/>
  <c r="F376" i="24"/>
  <c r="E6" i="12" l="1"/>
  <c r="D6" i="12"/>
  <c r="M53" i="58" l="1"/>
  <c r="K53" i="58"/>
  <c r="I53" i="58"/>
  <c r="E53" i="58" l="1"/>
  <c r="E49" i="58"/>
  <c r="E55" i="58" s="1"/>
  <c r="I49" i="58"/>
  <c r="I55" i="58" s="1"/>
  <c r="K55" i="58"/>
  <c r="M55" i="58"/>
  <c r="K49" i="62" l="1"/>
  <c r="I49" i="62"/>
  <c r="H49" i="62"/>
  <c r="G49" i="62"/>
  <c r="F49" i="62"/>
  <c r="E49" i="62"/>
  <c r="L49" i="62"/>
  <c r="J49" i="62"/>
  <c r="D49" i="62"/>
  <c r="K38" i="62"/>
  <c r="I38" i="62"/>
  <c r="H38" i="62"/>
  <c r="G38" i="62"/>
  <c r="F38" i="62"/>
  <c r="E38" i="62"/>
  <c r="L38" i="62"/>
  <c r="J38" i="62"/>
  <c r="D38" i="62"/>
  <c r="K74" i="62"/>
  <c r="I74" i="62"/>
  <c r="H74" i="62"/>
  <c r="G74" i="62"/>
  <c r="F74" i="62"/>
  <c r="E74" i="62"/>
  <c r="L74" i="62"/>
  <c r="J74" i="62"/>
  <c r="D74" i="62"/>
  <c r="L26" i="62"/>
  <c r="K26" i="62"/>
  <c r="J26" i="62"/>
  <c r="I26" i="62"/>
  <c r="H26" i="62"/>
  <c r="G26" i="62"/>
  <c r="F26" i="62"/>
  <c r="E26" i="62"/>
  <c r="D26" i="62"/>
  <c r="J63" i="62"/>
  <c r="D63" i="62"/>
  <c r="L63" i="62"/>
  <c r="K63" i="62"/>
  <c r="I63" i="62"/>
  <c r="H63" i="62"/>
  <c r="G63" i="62"/>
  <c r="F63" i="62"/>
  <c r="E63" i="62"/>
  <c r="J15" i="62" l="1"/>
  <c r="L15" i="62" l="1"/>
  <c r="D15" i="62" l="1"/>
  <c r="K15" i="62"/>
  <c r="I15" i="62"/>
  <c r="H15" i="62"/>
  <c r="G15" i="62"/>
  <c r="F15" i="62"/>
  <c r="E15" i="62"/>
  <c r="L86" i="62" l="1"/>
  <c r="L98" i="62" l="1"/>
  <c r="P14" i="62"/>
  <c r="P25" i="62"/>
  <c r="P37" i="62"/>
  <c r="P48" i="62"/>
  <c r="P62" i="62"/>
  <c r="P73" i="62"/>
  <c r="D86" i="62"/>
  <c r="K86" i="62"/>
  <c r="I86" i="62"/>
  <c r="E86" i="62"/>
  <c r="H86" i="62"/>
  <c r="G86" i="62"/>
  <c r="J86" i="62"/>
  <c r="F86" i="62"/>
  <c r="G98" i="62" l="1"/>
  <c r="K98" i="62"/>
  <c r="I98" i="62"/>
  <c r="D98" i="62"/>
  <c r="H98" i="62"/>
  <c r="E98" i="62"/>
  <c r="F98" i="62"/>
  <c r="J98" i="62"/>
  <c r="O100" i="62" l="1"/>
  <c r="N100" i="62"/>
  <c r="M100" i="62"/>
  <c r="P98" i="62"/>
  <c r="O88" i="62"/>
  <c r="N88" i="62"/>
  <c r="M88" i="62"/>
  <c r="P86" i="62"/>
  <c r="O75" i="62"/>
  <c r="N75" i="62"/>
  <c r="M75" i="62"/>
  <c r="O64" i="62"/>
  <c r="N64" i="62"/>
  <c r="M64" i="62"/>
  <c r="O50" i="62"/>
  <c r="N50" i="62"/>
  <c r="M50" i="62"/>
  <c r="O39" i="62"/>
  <c r="N39" i="62"/>
  <c r="M39" i="62"/>
  <c r="O27" i="62"/>
  <c r="N27" i="62"/>
  <c r="M27" i="62"/>
  <c r="M16" i="62"/>
  <c r="N16" i="62"/>
  <c r="O16" i="62"/>
  <c r="E10" i="62"/>
  <c r="F10" i="62" l="1"/>
  <c r="G10" i="62" l="1"/>
  <c r="H10" i="62" l="1"/>
  <c r="I10" i="62" l="1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J10" i="62" l="1"/>
  <c r="D374" i="60"/>
  <c r="F374" i="60"/>
  <c r="K10" i="62" l="1"/>
  <c r="L10" i="62" l="1"/>
  <c r="M10" i="62" l="1"/>
  <c r="N10" i="62" s="1"/>
  <c r="O10" i="62" s="1"/>
  <c r="C373" i="60"/>
  <c r="C372" i="60"/>
  <c r="C371" i="60"/>
  <c r="C370" i="60"/>
  <c r="C369" i="60"/>
  <c r="C368" i="60"/>
  <c r="C367" i="60"/>
  <c r="C366" i="60"/>
  <c r="C365" i="60"/>
  <c r="C364" i="60"/>
  <c r="C363" i="60"/>
  <c r="C362" i="60"/>
  <c r="C361" i="60"/>
  <c r="C360" i="60"/>
  <c r="C359" i="60"/>
  <c r="C358" i="60"/>
  <c r="C357" i="60"/>
  <c r="C356" i="60"/>
  <c r="C355" i="60"/>
  <c r="C354" i="60"/>
  <c r="C353" i="60"/>
  <c r="C352" i="60"/>
  <c r="C351" i="60"/>
  <c r="C350" i="60"/>
  <c r="C349" i="60"/>
  <c r="C348" i="60"/>
  <c r="C347" i="60"/>
  <c r="C346" i="60"/>
  <c r="C345" i="60"/>
  <c r="C344" i="60"/>
  <c r="C343" i="60"/>
  <c r="C342" i="60"/>
  <c r="C341" i="60"/>
  <c r="C340" i="60"/>
  <c r="C339" i="60"/>
  <c r="C338" i="60"/>
  <c r="C337" i="60"/>
  <c r="C336" i="60"/>
  <c r="C335" i="60"/>
  <c r="C334" i="60"/>
  <c r="C333" i="60"/>
  <c r="C332" i="60"/>
  <c r="C331" i="60"/>
  <c r="C330" i="60"/>
  <c r="C329" i="60"/>
  <c r="C328" i="60"/>
  <c r="C327" i="60"/>
  <c r="C326" i="60"/>
  <c r="C325" i="60"/>
  <c r="C324" i="60"/>
  <c r="C323" i="60"/>
  <c r="C322" i="60"/>
  <c r="C321" i="60"/>
  <c r="C320" i="60"/>
  <c r="C319" i="60"/>
  <c r="C318" i="60"/>
  <c r="C317" i="60"/>
  <c r="C316" i="60"/>
  <c r="C315" i="60"/>
  <c r="C314" i="60"/>
  <c r="C313" i="60"/>
  <c r="C312" i="60"/>
  <c r="C311" i="60"/>
  <c r="C310" i="60"/>
  <c r="C309" i="60"/>
  <c r="C308" i="60"/>
  <c r="C307" i="60"/>
  <c r="C306" i="60"/>
  <c r="C305" i="60"/>
  <c r="C304" i="60"/>
  <c r="C303" i="60"/>
  <c r="C302" i="60"/>
  <c r="C301" i="60"/>
  <c r="C300" i="60"/>
  <c r="C299" i="60"/>
  <c r="C298" i="60"/>
  <c r="C297" i="60"/>
  <c r="C296" i="60"/>
  <c r="C295" i="60"/>
  <c r="C294" i="60"/>
  <c r="C293" i="60"/>
  <c r="C292" i="60"/>
  <c r="C291" i="60"/>
  <c r="C290" i="60"/>
  <c r="C289" i="60"/>
  <c r="C288" i="60"/>
  <c r="C287" i="60"/>
  <c r="C286" i="60"/>
  <c r="C285" i="60"/>
  <c r="C284" i="60"/>
  <c r="C283" i="60"/>
  <c r="C282" i="60"/>
  <c r="C281" i="60"/>
  <c r="C280" i="60"/>
  <c r="C279" i="60"/>
  <c r="C278" i="60"/>
  <c r="C277" i="60"/>
  <c r="C276" i="60"/>
  <c r="C275" i="60"/>
  <c r="C274" i="60"/>
  <c r="C273" i="60"/>
  <c r="C272" i="60"/>
  <c r="C271" i="60"/>
  <c r="C270" i="60"/>
  <c r="C269" i="60"/>
  <c r="C268" i="60"/>
  <c r="C267" i="60"/>
  <c r="C266" i="60"/>
  <c r="C265" i="60"/>
  <c r="C264" i="60"/>
  <c r="C263" i="60"/>
  <c r="C262" i="60"/>
  <c r="C261" i="60"/>
  <c r="C260" i="60"/>
  <c r="C259" i="60"/>
  <c r="C258" i="60"/>
  <c r="C257" i="60"/>
  <c r="C256" i="60"/>
  <c r="C255" i="60"/>
  <c r="C254" i="60"/>
  <c r="C253" i="60"/>
  <c r="C252" i="60"/>
  <c r="C251" i="60"/>
  <c r="C250" i="60"/>
  <c r="C249" i="60"/>
  <c r="C248" i="60"/>
  <c r="C247" i="60"/>
  <c r="C246" i="60"/>
  <c r="C245" i="60"/>
  <c r="C244" i="60"/>
  <c r="C243" i="60"/>
  <c r="C242" i="60"/>
  <c r="C241" i="60"/>
  <c r="C240" i="60"/>
  <c r="C239" i="60"/>
  <c r="C238" i="60"/>
  <c r="C237" i="60"/>
  <c r="C236" i="60"/>
  <c r="C235" i="60"/>
  <c r="C234" i="60"/>
  <c r="C233" i="60"/>
  <c r="C232" i="60"/>
  <c r="C231" i="60"/>
  <c r="C230" i="60"/>
  <c r="C229" i="60"/>
  <c r="C228" i="60"/>
  <c r="C227" i="60"/>
  <c r="C226" i="60"/>
  <c r="C225" i="60"/>
  <c r="C224" i="60"/>
  <c r="C223" i="60"/>
  <c r="C222" i="60"/>
  <c r="C221" i="60"/>
  <c r="C220" i="60"/>
  <c r="C219" i="60"/>
  <c r="C218" i="60"/>
  <c r="C217" i="60"/>
  <c r="C216" i="60"/>
  <c r="C215" i="60"/>
  <c r="C214" i="60"/>
  <c r="C213" i="60"/>
  <c r="C212" i="60"/>
  <c r="C211" i="60"/>
  <c r="C210" i="60"/>
  <c r="C209" i="60"/>
  <c r="C208" i="60"/>
  <c r="C207" i="60"/>
  <c r="C206" i="60"/>
  <c r="C205" i="60"/>
  <c r="C204" i="60"/>
  <c r="C203" i="60"/>
  <c r="C202" i="60"/>
  <c r="C201" i="60"/>
  <c r="C200" i="60"/>
  <c r="C199" i="60"/>
  <c r="C198" i="60"/>
  <c r="C197" i="60"/>
  <c r="C196" i="60"/>
  <c r="C195" i="60"/>
  <c r="C194" i="60"/>
  <c r="C193" i="60"/>
  <c r="C192" i="60"/>
  <c r="C191" i="60"/>
  <c r="C190" i="60"/>
  <c r="C189" i="60"/>
  <c r="C188" i="60"/>
  <c r="C187" i="60"/>
  <c r="C186" i="60"/>
  <c r="C185" i="60"/>
  <c r="C184" i="60"/>
  <c r="C183" i="60"/>
  <c r="C182" i="60"/>
  <c r="C181" i="60"/>
  <c r="C180" i="60"/>
  <c r="C179" i="60"/>
  <c r="C178" i="60"/>
  <c r="C177" i="60"/>
  <c r="C176" i="60"/>
  <c r="C175" i="60"/>
  <c r="C174" i="60"/>
  <c r="C173" i="60"/>
  <c r="C172" i="60"/>
  <c r="C171" i="60"/>
  <c r="C170" i="60"/>
  <c r="C169" i="60"/>
  <c r="C168" i="60"/>
  <c r="C167" i="60"/>
  <c r="C166" i="60"/>
  <c r="C165" i="60"/>
  <c r="C164" i="60"/>
  <c r="C163" i="60"/>
  <c r="C162" i="60"/>
  <c r="C161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8" i="60"/>
  <c r="H36" i="6" l="1"/>
  <c r="H23" i="6"/>
  <c r="H10" i="6"/>
  <c r="H36" i="5"/>
  <c r="H23" i="5"/>
  <c r="H10" i="5"/>
  <c r="H36" i="29"/>
  <c r="H23" i="29"/>
  <c r="H10" i="29"/>
  <c r="H62" i="28"/>
  <c r="H49" i="28"/>
  <c r="H36" i="28"/>
  <c r="H23" i="28"/>
  <c r="H10" i="28"/>
  <c r="H36" i="3"/>
  <c r="H49" i="3"/>
  <c r="H23" i="3"/>
  <c r="H10" i="3"/>
  <c r="C13" i="59"/>
  <c r="H62" i="3" l="1"/>
  <c r="C14" i="59"/>
  <c r="C15" i="59" l="1"/>
  <c r="C16" i="59" s="1"/>
  <c r="C17" i="59" s="1"/>
  <c r="I21" i="25" l="1"/>
  <c r="J21" i="30"/>
  <c r="I21" i="12" l="1"/>
  <c r="J21" i="12"/>
  <c r="J21" i="25"/>
  <c r="I21" i="30"/>
  <c r="M17" i="4" l="1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I64" i="58" s="1"/>
  <c r="G12" i="59"/>
  <c r="F12" i="59"/>
  <c r="E12" i="59"/>
  <c r="H49" i="6" l="1"/>
  <c r="G13" i="59"/>
  <c r="H49" i="29"/>
  <c r="E13" i="59"/>
  <c r="H49" i="5"/>
  <c r="F13" i="59"/>
  <c r="G17" i="4"/>
  <c r="I15" i="3"/>
  <c r="F14" i="59" l="1"/>
  <c r="H62" i="5"/>
  <c r="H62" i="29"/>
  <c r="E14" i="59"/>
  <c r="G14" i="59"/>
  <c r="H62" i="6"/>
  <c r="G15" i="59" l="1"/>
  <c r="G16" i="59" s="1"/>
  <c r="G17" i="59" s="1"/>
  <c r="E15" i="59"/>
  <c r="E16" i="59" s="1"/>
  <c r="E17" i="59" s="1"/>
  <c r="F15" i="59"/>
  <c r="F16" i="59" s="1"/>
  <c r="F17" i="59" s="1"/>
  <c r="A7" i="28"/>
  <c r="A41" i="58" l="1"/>
  <c r="A40" i="58"/>
  <c r="A39" i="58"/>
  <c r="A38" i="58"/>
  <c r="A37" i="58"/>
  <c r="A36" i="58"/>
  <c r="A34" i="58"/>
  <c r="A35" i="58"/>
  <c r="A33" i="58"/>
  <c r="A32" i="58"/>
  <c r="A31" i="58"/>
  <c r="A30" i="58"/>
  <c r="B31" i="58" l="1"/>
  <c r="B10" i="58"/>
  <c r="B11" i="58" s="1"/>
  <c r="B24" i="57"/>
  <c r="B24" i="56"/>
  <c r="B24" i="55"/>
  <c r="B24" i="54"/>
  <c r="B24" i="53"/>
  <c r="B24" i="52"/>
  <c r="B18" i="57" l="1"/>
  <c r="B18" i="56"/>
  <c r="B18" i="55"/>
  <c r="B18" i="54"/>
  <c r="B18" i="52"/>
  <c r="B18" i="53"/>
  <c r="B12" i="58"/>
  <c r="B32" i="58"/>
  <c r="I3" i="57"/>
  <c r="B21" i="57"/>
  <c r="B21" i="56"/>
  <c r="B21" i="55"/>
  <c r="B21" i="54"/>
  <c r="B21" i="53"/>
  <c r="H3" i="52"/>
  <c r="B21" i="52"/>
  <c r="B13" i="58" l="1"/>
  <c r="B33" i="58"/>
  <c r="J3" i="57"/>
  <c r="I3" i="56"/>
  <c r="I3" i="55"/>
  <c r="I3" i="54"/>
  <c r="I3" i="53"/>
  <c r="I3" i="52"/>
  <c r="B34" i="58" l="1"/>
  <c r="B14" i="58"/>
  <c r="K3" i="57"/>
  <c r="J3" i="56"/>
  <c r="J3" i="55"/>
  <c r="J3" i="54"/>
  <c r="J3" i="53"/>
  <c r="J3" i="52"/>
  <c r="B35" i="58" l="1"/>
  <c r="B15" i="58"/>
  <c r="L3" i="57"/>
  <c r="K3" i="56"/>
  <c r="K3" i="55"/>
  <c r="K3" i="54"/>
  <c r="K3" i="53"/>
  <c r="K3" i="52"/>
  <c r="B16" i="58" l="1"/>
  <c r="B36" i="58"/>
  <c r="M3" i="57"/>
  <c r="L3" i="56"/>
  <c r="L3" i="55"/>
  <c r="L3" i="54"/>
  <c r="L3" i="53"/>
  <c r="L3" i="52"/>
  <c r="B37" i="58" l="1"/>
  <c r="B17" i="58"/>
  <c r="N3" i="57"/>
  <c r="M3" i="56"/>
  <c r="M3" i="55"/>
  <c r="M3" i="54"/>
  <c r="M3" i="53"/>
  <c r="M3" i="52"/>
  <c r="B18" i="58" l="1"/>
  <c r="B38" i="58"/>
  <c r="O3" i="57"/>
  <c r="N3" i="56"/>
  <c r="N3" i="55"/>
  <c r="N3" i="54"/>
  <c r="N3" i="53"/>
  <c r="N3" i="52"/>
  <c r="B39" i="58" l="1"/>
  <c r="B19" i="58"/>
  <c r="P3" i="57"/>
  <c r="O3" i="56"/>
  <c r="O3" i="55"/>
  <c r="O3" i="54"/>
  <c r="O3" i="53"/>
  <c r="O3" i="52"/>
  <c r="B40" i="58" l="1"/>
  <c r="B20" i="58"/>
  <c r="Q3" i="57"/>
  <c r="P3" i="56"/>
  <c r="P3" i="55"/>
  <c r="P3" i="54"/>
  <c r="P3" i="53"/>
  <c r="P3" i="52"/>
  <c r="B41" i="58" l="1"/>
  <c r="R3" i="57"/>
  <c r="Q3" i="56"/>
  <c r="Q3" i="55"/>
  <c r="Q3" i="54"/>
  <c r="Q3" i="53"/>
  <c r="Q3" i="52"/>
  <c r="R3" i="56" l="1"/>
  <c r="R3" i="55"/>
  <c r="R3" i="54"/>
  <c r="R3" i="53"/>
  <c r="R3" i="52"/>
  <c r="A9" i="25" l="1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I93" i="26"/>
  <c r="G93" i="26" l="1"/>
  <c r="D93" i="26"/>
  <c r="C93" i="26"/>
  <c r="J93" i="26"/>
  <c r="F93" i="26"/>
  <c r="E93" i="26"/>
  <c r="H93" i="26"/>
  <c r="B9" i="25"/>
  <c r="D9" i="23" l="1"/>
  <c r="E9" i="23" s="1"/>
  <c r="J4" i="21" s="1"/>
  <c r="D6" i="25" l="1"/>
  <c r="E6" i="25"/>
  <c r="D6" i="30"/>
  <c r="E6" i="30"/>
  <c r="G49" i="26" l="1"/>
  <c r="C49" i="26"/>
  <c r="D49" i="26"/>
  <c r="J49" i="26"/>
  <c r="E49" i="26"/>
  <c r="I49" i="26"/>
  <c r="F49" i="26"/>
  <c r="H49" i="26"/>
  <c r="C9" i="25" l="1"/>
  <c r="E9" i="25" l="1"/>
  <c r="D9" i="25"/>
  <c r="B12" i="25"/>
  <c r="C12" i="25"/>
  <c r="F21" i="29"/>
  <c r="E73" i="6"/>
  <c r="E73" i="5"/>
  <c r="E73" i="29"/>
  <c r="E73" i="28"/>
  <c r="J115" i="26"/>
  <c r="J18" i="25" s="1"/>
  <c r="E60" i="6" s="1"/>
  <c r="I115" i="26"/>
  <c r="I18" i="25" s="1"/>
  <c r="E60" i="5" s="1"/>
  <c r="H115" i="26"/>
  <c r="J18" i="30" s="1"/>
  <c r="E60" i="29" s="1"/>
  <c r="G115" i="26"/>
  <c r="I18" i="30" s="1"/>
  <c r="E60" i="28" s="1"/>
  <c r="F115" i="26"/>
  <c r="E115" i="26"/>
  <c r="D115" i="26"/>
  <c r="C115" i="26"/>
  <c r="J15" i="25"/>
  <c r="E47" i="6" s="1"/>
  <c r="I15" i="25"/>
  <c r="E47" i="5" s="1"/>
  <c r="J15" i="30"/>
  <c r="E47" i="29" s="1"/>
  <c r="I15" i="30"/>
  <c r="E47" i="28" s="1"/>
  <c r="J71" i="26"/>
  <c r="J12" i="25" s="1"/>
  <c r="E34" i="6" s="1"/>
  <c r="I71" i="26"/>
  <c r="I12" i="25" s="1"/>
  <c r="E34" i="5" s="1"/>
  <c r="H71" i="26"/>
  <c r="J12" i="30" s="1"/>
  <c r="E34" i="29" s="1"/>
  <c r="G71" i="26"/>
  <c r="I12" i="30" s="1"/>
  <c r="E34" i="28" s="1"/>
  <c r="F71" i="26"/>
  <c r="E71" i="26"/>
  <c r="D71" i="26"/>
  <c r="C71" i="26"/>
  <c r="J9" i="25"/>
  <c r="E21" i="6" s="1"/>
  <c r="I9" i="25"/>
  <c r="E21" i="5" s="1"/>
  <c r="J9" i="30"/>
  <c r="E21" i="29" s="1"/>
  <c r="I9" i="30"/>
  <c r="E21" i="28" s="1"/>
  <c r="J9" i="12"/>
  <c r="E21" i="3" s="1"/>
  <c r="D27" i="26"/>
  <c r="E27" i="26"/>
  <c r="F27" i="26"/>
  <c r="G27" i="26"/>
  <c r="I6" i="30" s="1"/>
  <c r="E8" i="28" s="1"/>
  <c r="H27" i="26"/>
  <c r="J6" i="30" s="1"/>
  <c r="E8" i="29" s="1"/>
  <c r="I27" i="26"/>
  <c r="I6" i="25" s="1"/>
  <c r="E8" i="5" s="1"/>
  <c r="J27" i="26"/>
  <c r="J6" i="25" s="1"/>
  <c r="E8" i="6" s="1"/>
  <c r="C27" i="26"/>
  <c r="A4" i="21"/>
  <c r="B4" i="21"/>
  <c r="C4" i="21"/>
  <c r="D5" i="21"/>
  <c r="E5" i="21" s="1"/>
  <c r="F4" i="21" l="1"/>
  <c r="K4" i="21"/>
  <c r="D12" i="25"/>
  <c r="E12" i="25"/>
  <c r="J5" i="21"/>
  <c r="B5" i="21"/>
  <c r="B15" i="25"/>
  <c r="A5" i="21"/>
  <c r="D6" i="21"/>
  <c r="E6" i="21" s="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F5" i="21" l="1"/>
  <c r="K5" i="21"/>
  <c r="E15" i="25"/>
  <c r="D15" i="25"/>
  <c r="E9" i="30"/>
  <c r="D9" i="30"/>
  <c r="J6" i="21"/>
  <c r="D9" i="12"/>
  <c r="E9" i="12"/>
  <c r="B6" i="21"/>
  <c r="A6" i="21"/>
  <c r="B18" i="25"/>
  <c r="C6" i="21"/>
  <c r="D7" i="21"/>
  <c r="E7" i="21" s="1"/>
  <c r="C18" i="25"/>
  <c r="C12" i="30"/>
  <c r="B12" i="30"/>
  <c r="B12" i="12"/>
  <c r="C12" i="12"/>
  <c r="F6" i="21" l="1"/>
  <c r="K6" i="21"/>
  <c r="D18" i="25"/>
  <c r="E18" i="25"/>
  <c r="E12" i="30"/>
  <c r="D12" i="30"/>
  <c r="E12" i="12"/>
  <c r="J7" i="21"/>
  <c r="D12" i="12"/>
  <c r="B21" i="25"/>
  <c r="C7" i="21"/>
  <c r="D8" i="21"/>
  <c r="E8" i="21" s="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E21" i="25" l="1"/>
  <c r="F7" i="21"/>
  <c r="K7" i="21"/>
  <c r="D21" i="25"/>
  <c r="E15" i="30"/>
  <c r="D15" i="30"/>
  <c r="J8" i="21"/>
  <c r="D15" i="12"/>
  <c r="C8" i="21"/>
  <c r="B8" i="21"/>
  <c r="D9" i="21"/>
  <c r="E9" i="21" s="1"/>
  <c r="A8" i="21"/>
  <c r="A46" i="1"/>
  <c r="B18" i="12"/>
  <c r="B18" i="30"/>
  <c r="C18" i="30"/>
  <c r="A46" i="5"/>
  <c r="A46" i="6"/>
  <c r="A46" i="28"/>
  <c r="C18" i="12"/>
  <c r="A46" i="29"/>
  <c r="K8" i="21" l="1"/>
  <c r="F8" i="21"/>
  <c r="D18" i="30"/>
  <c r="E18" i="30"/>
  <c r="E15" i="12"/>
  <c r="D18" i="12"/>
  <c r="J9" i="21"/>
  <c r="A59" i="1"/>
  <c r="C9" i="21"/>
  <c r="B9" i="21"/>
  <c r="A9" i="21"/>
  <c r="D10" i="21"/>
  <c r="E10" i="21" s="1"/>
  <c r="C21" i="30"/>
  <c r="B21" i="30"/>
  <c r="C21" i="12"/>
  <c r="B21" i="12"/>
  <c r="E21" i="30" l="1"/>
  <c r="E21" i="12"/>
  <c r="F9" i="21"/>
  <c r="K9" i="21"/>
  <c r="D21" i="30"/>
  <c r="D21" i="12"/>
  <c r="E18" i="12"/>
  <c r="J10" i="21"/>
  <c r="A59" i="5"/>
  <c r="A59" i="28"/>
  <c r="A59" i="6"/>
  <c r="A59" i="29"/>
  <c r="B10" i="21"/>
  <c r="A10" i="21"/>
  <c r="C10" i="21"/>
  <c r="D11" i="21"/>
  <c r="E11" i="21" s="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F10" i="21" l="1"/>
  <c r="K10" i="21"/>
  <c r="J11" i="21"/>
  <c r="B11" i="21"/>
  <c r="A11" i="21"/>
  <c r="D12" i="21"/>
  <c r="E12" i="21" s="1"/>
  <c r="C11" i="21"/>
  <c r="F11" i="21" l="1"/>
  <c r="K11" i="21"/>
  <c r="J12" i="21"/>
  <c r="C12" i="21"/>
  <c r="D13" i="21"/>
  <c r="E13" i="21" s="1"/>
  <c r="B12" i="21"/>
  <c r="A12" i="21"/>
  <c r="K12" i="21" l="1"/>
  <c r="F12" i="21"/>
  <c r="J13" i="21"/>
  <c r="E17" i="4"/>
  <c r="B13" i="21"/>
  <c r="A13" i="21"/>
  <c r="D14" i="21"/>
  <c r="E14" i="21" s="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F13" i="21" l="1"/>
  <c r="K13" i="21"/>
  <c r="J14" i="21"/>
  <c r="B14" i="21"/>
  <c r="C14" i="21"/>
  <c r="A14" i="21"/>
  <c r="D15" i="21"/>
  <c r="E15" i="21" s="1"/>
  <c r="F14" i="21" l="1"/>
  <c r="K14" i="21"/>
  <c r="J15" i="21"/>
  <c r="I17" i="4"/>
  <c r="B15" i="21"/>
  <c r="C15" i="21"/>
  <c r="A15" i="21"/>
  <c r="D16" i="21"/>
  <c r="E16" i="21" s="1"/>
  <c r="F15" i="21" l="1"/>
  <c r="K15" i="21"/>
  <c r="J16" i="21"/>
  <c r="B16" i="21"/>
  <c r="C16" i="21"/>
  <c r="A16" i="21"/>
  <c r="D17" i="21"/>
  <c r="E17" i="21" s="1"/>
  <c r="F34" i="29"/>
  <c r="F47" i="29" s="1"/>
  <c r="F60" i="29" s="1"/>
  <c r="F73" i="29" s="1"/>
  <c r="F21" i="28"/>
  <c r="F34" i="28" s="1"/>
  <c r="F47" i="28" s="1"/>
  <c r="F60" i="28" s="1"/>
  <c r="F73" i="28" s="1"/>
  <c r="K16" i="21" l="1"/>
  <c r="F16" i="21"/>
  <c r="J17" i="21"/>
  <c r="B17" i="21"/>
  <c r="D18" i="21"/>
  <c r="E18" i="21" s="1"/>
  <c r="A17" i="21"/>
  <c r="C17" i="21"/>
  <c r="F6" i="30"/>
  <c r="H75" i="29"/>
  <c r="F17" i="21" l="1"/>
  <c r="K17" i="21"/>
  <c r="J18" i="21"/>
  <c r="C18" i="21"/>
  <c r="B18" i="21"/>
  <c r="A18" i="21"/>
  <c r="D19" i="21"/>
  <c r="E19" i="21" s="1"/>
  <c r="F12" i="30"/>
  <c r="F9" i="30"/>
  <c r="F18" i="21" l="1"/>
  <c r="K18" i="21"/>
  <c r="J19" i="21"/>
  <c r="D20" i="21"/>
  <c r="E20" i="21" s="1"/>
  <c r="B19" i="21"/>
  <c r="A19" i="21"/>
  <c r="C19" i="21"/>
  <c r="E10" i="29"/>
  <c r="E10" i="28"/>
  <c r="F15" i="30"/>
  <c r="H75" i="28"/>
  <c r="F19" i="21" l="1"/>
  <c r="K19" i="21"/>
  <c r="J20" i="21"/>
  <c r="B20" i="21"/>
  <c r="A20" i="21"/>
  <c r="C20" i="21"/>
  <c r="D21" i="21"/>
  <c r="E21" i="21" s="1"/>
  <c r="E36" i="29"/>
  <c r="E23" i="29"/>
  <c r="E23" i="28"/>
  <c r="F18" i="30"/>
  <c r="K20" i="21" l="1"/>
  <c r="F20" i="21"/>
  <c r="J21" i="21"/>
  <c r="B21" i="21"/>
  <c r="A21" i="21"/>
  <c r="D22" i="21"/>
  <c r="E22" i="21" s="1"/>
  <c r="C21" i="21"/>
  <c r="E36" i="28"/>
  <c r="F21" i="30"/>
  <c r="E49" i="29"/>
  <c r="E49" i="28"/>
  <c r="F21" i="21" l="1"/>
  <c r="K21" i="21"/>
  <c r="J22" i="21"/>
  <c r="D23" i="21"/>
  <c r="E23" i="21" s="1"/>
  <c r="B22" i="21"/>
  <c r="C22" i="21"/>
  <c r="A22" i="21"/>
  <c r="E75" i="28"/>
  <c r="F22" i="21" l="1"/>
  <c r="K22" i="21"/>
  <c r="J23" i="21"/>
  <c r="C23" i="21"/>
  <c r="B23" i="21"/>
  <c r="A23" i="21"/>
  <c r="D24" i="21"/>
  <c r="E24" i="21" s="1"/>
  <c r="E62" i="29"/>
  <c r="E75" i="29"/>
  <c r="E62" i="28"/>
  <c r="F23" i="21" l="1"/>
  <c r="K23" i="21"/>
  <c r="J24" i="21"/>
  <c r="D25" i="21"/>
  <c r="E25" i="21" s="1"/>
  <c r="C24" i="21"/>
  <c r="B24" i="21"/>
  <c r="A24" i="21"/>
  <c r="K24" i="21" l="1"/>
  <c r="F24" i="21"/>
  <c r="J25" i="21"/>
  <c r="B25" i="21"/>
  <c r="D26" i="21"/>
  <c r="E26" i="21" s="1"/>
  <c r="C25" i="21"/>
  <c r="A25" i="21"/>
  <c r="I28" i="1"/>
  <c r="I41" i="1" s="1"/>
  <c r="I54" i="1" s="1"/>
  <c r="I67" i="1" s="1"/>
  <c r="I80" i="1" s="1"/>
  <c r="I28" i="3"/>
  <c r="I41" i="3" s="1"/>
  <c r="I54" i="3" s="1"/>
  <c r="I67" i="3" s="1"/>
  <c r="I80" i="3" s="1"/>
  <c r="F25" i="21" l="1"/>
  <c r="K25" i="21"/>
  <c r="J26" i="21"/>
  <c r="I28" i="6"/>
  <c r="I41" i="6" s="1"/>
  <c r="I54" i="6" s="1"/>
  <c r="I67" i="6" s="1"/>
  <c r="I80" i="6" s="1"/>
  <c r="I28" i="5"/>
  <c r="I41" i="5" s="1"/>
  <c r="I54" i="5" s="1"/>
  <c r="I67" i="5" s="1"/>
  <c r="I80" i="5" s="1"/>
  <c r="B26" i="21"/>
  <c r="D27" i="21"/>
  <c r="E27" i="21" s="1"/>
  <c r="A26" i="21"/>
  <c r="C26" i="21"/>
  <c r="F26" i="21" l="1"/>
  <c r="K26" i="21"/>
  <c r="J27" i="21"/>
  <c r="B27" i="21"/>
  <c r="D28" i="21"/>
  <c r="E28" i="21" s="1"/>
  <c r="C27" i="21"/>
  <c r="A27" i="21"/>
  <c r="F27" i="21" l="1"/>
  <c r="K27" i="21"/>
  <c r="J28" i="21"/>
  <c r="B28" i="21"/>
  <c r="C28" i="21"/>
  <c r="D29" i="21"/>
  <c r="E29" i="21" s="1"/>
  <c r="A28" i="21"/>
  <c r="K28" i="21" l="1"/>
  <c r="F28" i="21"/>
  <c r="J29" i="21"/>
  <c r="C29" i="21"/>
  <c r="B29" i="21"/>
  <c r="D30" i="21"/>
  <c r="E30" i="21" s="1"/>
  <c r="A29" i="21"/>
  <c r="H23" i="1"/>
  <c r="F29" i="21" l="1"/>
  <c r="K29" i="21"/>
  <c r="J30" i="21"/>
  <c r="B30" i="21"/>
  <c r="D31" i="21"/>
  <c r="E31" i="21" s="1"/>
  <c r="A30" i="21"/>
  <c r="C30" i="21"/>
  <c r="H36" i="1"/>
  <c r="F30" i="21" l="1"/>
  <c r="K30" i="21"/>
  <c r="J31" i="21"/>
  <c r="A31" i="21"/>
  <c r="D32" i="21"/>
  <c r="E32" i="21" s="1"/>
  <c r="C31" i="21"/>
  <c r="B31" i="21"/>
  <c r="H49" i="1"/>
  <c r="F31" i="21" l="1"/>
  <c r="K31" i="21"/>
  <c r="J32" i="21"/>
  <c r="A32" i="21"/>
  <c r="C32" i="21"/>
  <c r="D33" i="21"/>
  <c r="E33" i="21" s="1"/>
  <c r="B32" i="21"/>
  <c r="H75" i="1"/>
  <c r="H62" i="1"/>
  <c r="K32" i="21" l="1"/>
  <c r="F32" i="21"/>
  <c r="J33" i="21"/>
  <c r="C33" i="21"/>
  <c r="B33" i="21"/>
  <c r="A33" i="21"/>
  <c r="D34" i="21"/>
  <c r="E34" i="21" s="1"/>
  <c r="E23" i="5"/>
  <c r="E23" i="6"/>
  <c r="E23" i="3"/>
  <c r="F33" i="21" l="1"/>
  <c r="K33" i="21"/>
  <c r="J34" i="21"/>
  <c r="A34" i="21"/>
  <c r="C34" i="21"/>
  <c r="B34" i="21"/>
  <c r="D35" i="21"/>
  <c r="E35" i="21" s="1"/>
  <c r="E36" i="5"/>
  <c r="E36" i="6"/>
  <c r="E23" i="1"/>
  <c r="E36" i="3"/>
  <c r="F34" i="21" l="1"/>
  <c r="K34" i="21"/>
  <c r="J35" i="21"/>
  <c r="A35" i="21"/>
  <c r="D36" i="21"/>
  <c r="E36" i="21" s="1"/>
  <c r="C35" i="21"/>
  <c r="B35" i="21"/>
  <c r="E49" i="5"/>
  <c r="E49" i="6"/>
  <c r="E36" i="1"/>
  <c r="E49" i="3"/>
  <c r="F6" i="12"/>
  <c r="F35" i="21" l="1"/>
  <c r="K35" i="21"/>
  <c r="J36" i="21"/>
  <c r="B36" i="21"/>
  <c r="A36" i="21"/>
  <c r="D37" i="21"/>
  <c r="E37" i="21" s="1"/>
  <c r="C36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K36" i="21" l="1"/>
  <c r="F36" i="21"/>
  <c r="J37" i="21"/>
  <c r="B37" i="21"/>
  <c r="A37" i="21"/>
  <c r="D38" i="21"/>
  <c r="E38" i="21" s="1"/>
  <c r="C37" i="21"/>
  <c r="E62" i="1"/>
  <c r="E75" i="1"/>
  <c r="F37" i="21" l="1"/>
  <c r="K37" i="21"/>
  <c r="J38" i="21"/>
  <c r="C38" i="21"/>
  <c r="D39" i="21"/>
  <c r="E39" i="21" s="1"/>
  <c r="B38" i="21"/>
  <c r="A38" i="21"/>
  <c r="F9" i="12"/>
  <c r="F38" i="21" l="1"/>
  <c r="K38" i="21"/>
  <c r="J39" i="21"/>
  <c r="B39" i="21"/>
  <c r="A39" i="21"/>
  <c r="D40" i="21"/>
  <c r="E40" i="21" s="1"/>
  <c r="C39" i="21"/>
  <c r="F12" i="12"/>
  <c r="F15" i="12"/>
  <c r="E10" i="1"/>
  <c r="F39" i="21" l="1"/>
  <c r="K39" i="21"/>
  <c r="J40" i="21"/>
  <c r="D41" i="21"/>
  <c r="E41" i="21" s="1"/>
  <c r="C40" i="21"/>
  <c r="B40" i="21"/>
  <c r="A40" i="21"/>
  <c r="H75" i="3"/>
  <c r="F18" i="12"/>
  <c r="E10" i="6"/>
  <c r="E10" i="5"/>
  <c r="K40" i="21" l="1"/>
  <c r="F40" i="21"/>
  <c r="J41" i="21"/>
  <c r="B41" i="21"/>
  <c r="C41" i="21"/>
  <c r="A41" i="21"/>
  <c r="D42" i="21"/>
  <c r="E42" i="21" s="1"/>
  <c r="H75" i="5"/>
  <c r="F21" i="12"/>
  <c r="F41" i="21" l="1"/>
  <c r="K41" i="21"/>
  <c r="J42" i="21"/>
  <c r="B42" i="21"/>
  <c r="A42" i="21"/>
  <c r="C42" i="21"/>
  <c r="D43" i="21"/>
  <c r="E43" i="21" s="1"/>
  <c r="H75" i="6"/>
  <c r="F42" i="21" l="1"/>
  <c r="K42" i="21"/>
  <c r="J43" i="21"/>
  <c r="B43" i="21"/>
  <c r="A43" i="21"/>
  <c r="D44" i="21"/>
  <c r="E44" i="21" s="1"/>
  <c r="C43" i="21"/>
  <c r="F43" i="21" l="1"/>
  <c r="K43" i="21"/>
  <c r="J44" i="21"/>
  <c r="B44" i="21"/>
  <c r="C44" i="21"/>
  <c r="A44" i="21"/>
  <c r="D45" i="21"/>
  <c r="E45" i="21" s="1"/>
  <c r="E10" i="3"/>
  <c r="K44" i="21" l="1"/>
  <c r="F44" i="21"/>
  <c r="J45" i="21"/>
  <c r="B45" i="21"/>
  <c r="D46" i="21"/>
  <c r="E46" i="21" s="1"/>
  <c r="A45" i="21"/>
  <c r="C45" i="21"/>
  <c r="F45" i="21" l="1"/>
  <c r="K45" i="21"/>
  <c r="J46" i="21"/>
  <c r="B46" i="21"/>
  <c r="A46" i="21"/>
  <c r="D47" i="21"/>
  <c r="E47" i="21" s="1"/>
  <c r="C46" i="21"/>
  <c r="F46" i="21" l="1"/>
  <c r="K46" i="21"/>
  <c r="J47" i="21"/>
  <c r="B47" i="21"/>
  <c r="A47" i="21"/>
  <c r="C47" i="21"/>
  <c r="D48" i="21"/>
  <c r="E48" i="21" s="1"/>
  <c r="F47" i="21" l="1"/>
  <c r="K47" i="21"/>
  <c r="J48" i="21"/>
  <c r="B48" i="21"/>
  <c r="A48" i="21"/>
  <c r="C48" i="21"/>
  <c r="D49" i="21"/>
  <c r="E49" i="21" s="1"/>
  <c r="K48" i="21" l="1"/>
  <c r="F48" i="21"/>
  <c r="J49" i="21"/>
  <c r="D50" i="21"/>
  <c r="E50" i="21" s="1"/>
  <c r="C49" i="21"/>
  <c r="B49" i="21"/>
  <c r="A49" i="21"/>
  <c r="F49" i="21" l="1"/>
  <c r="K49" i="21"/>
  <c r="J50" i="21"/>
  <c r="C50" i="21"/>
  <c r="D51" i="21"/>
  <c r="E51" i="21" s="1"/>
  <c r="B50" i="21"/>
  <c r="A50" i="21"/>
  <c r="F50" i="21" l="1"/>
  <c r="K50" i="21"/>
  <c r="J51" i="21"/>
  <c r="D52" i="21"/>
  <c r="E52" i="21" s="1"/>
  <c r="C51" i="21"/>
  <c r="B51" i="21"/>
  <c r="A51" i="21"/>
  <c r="F51" i="21" l="1"/>
  <c r="K51" i="21"/>
  <c r="J52" i="21"/>
  <c r="D53" i="21"/>
  <c r="E53" i="21" s="1"/>
  <c r="C52" i="21"/>
  <c r="B52" i="21"/>
  <c r="A52" i="21"/>
  <c r="K52" i="21" l="1"/>
  <c r="F52" i="21"/>
  <c r="J53" i="21"/>
  <c r="B53" i="21"/>
  <c r="C53" i="21"/>
  <c r="A53" i="21"/>
  <c r="D54" i="21"/>
  <c r="E54" i="21" s="1"/>
  <c r="F53" i="21" l="1"/>
  <c r="K53" i="21"/>
  <c r="J54" i="21"/>
  <c r="C54" i="21"/>
  <c r="D55" i="21"/>
  <c r="E55" i="21" s="1"/>
  <c r="B54" i="21"/>
  <c r="A54" i="21"/>
  <c r="F54" i="21" l="1"/>
  <c r="K54" i="21"/>
  <c r="J55" i="21"/>
  <c r="D56" i="21"/>
  <c r="E56" i="21" s="1"/>
  <c r="C55" i="21"/>
  <c r="B55" i="21"/>
  <c r="A55" i="21"/>
  <c r="F55" i="21" l="1"/>
  <c r="K55" i="21"/>
  <c r="J56" i="21"/>
  <c r="B56" i="21"/>
  <c r="C56" i="21"/>
  <c r="A56" i="21"/>
  <c r="D57" i="21"/>
  <c r="E57" i="21" s="1"/>
  <c r="K56" i="21" l="1"/>
  <c r="F56" i="21"/>
  <c r="J57" i="21"/>
  <c r="B57" i="21"/>
  <c r="C57" i="21"/>
  <c r="A57" i="21"/>
  <c r="D58" i="21"/>
  <c r="E58" i="21" s="1"/>
  <c r="F57" i="21" l="1"/>
  <c r="K57" i="21"/>
  <c r="J58" i="21"/>
  <c r="C58" i="21"/>
  <c r="D59" i="21"/>
  <c r="E59" i="21" s="1"/>
  <c r="B58" i="21"/>
  <c r="A58" i="21"/>
  <c r="F58" i="21" l="1"/>
  <c r="K58" i="21"/>
  <c r="J59" i="21"/>
  <c r="B59" i="21"/>
  <c r="A59" i="21"/>
  <c r="D60" i="21"/>
  <c r="E60" i="21" s="1"/>
  <c r="C59" i="21"/>
  <c r="F59" i="21" l="1"/>
  <c r="K59" i="21"/>
  <c r="J60" i="21"/>
  <c r="B60" i="21"/>
  <c r="C60" i="21"/>
  <c r="A60" i="21"/>
  <c r="D61" i="21"/>
  <c r="E61" i="21" s="1"/>
  <c r="K60" i="21" l="1"/>
  <c r="F60" i="21"/>
  <c r="J61" i="21"/>
  <c r="B61" i="21"/>
  <c r="A61" i="21"/>
  <c r="D62" i="21"/>
  <c r="E62" i="21" s="1"/>
  <c r="C61" i="21"/>
  <c r="F61" i="21" l="1"/>
  <c r="K61" i="21"/>
  <c r="J62" i="21"/>
  <c r="A62" i="21"/>
  <c r="C62" i="21"/>
  <c r="D63" i="21"/>
  <c r="E63" i="21" s="1"/>
  <c r="B62" i="21"/>
  <c r="F62" i="21" l="1"/>
  <c r="K62" i="21"/>
  <c r="J63" i="21"/>
  <c r="B63" i="21"/>
  <c r="A63" i="21"/>
  <c r="D64" i="21"/>
  <c r="E64" i="21" s="1"/>
  <c r="C63" i="21"/>
  <c r="F63" i="21" l="1"/>
  <c r="K63" i="21"/>
  <c r="J64" i="21"/>
  <c r="C64" i="21"/>
  <c r="D65" i="21"/>
  <c r="E65" i="21" s="1"/>
  <c r="B64" i="21"/>
  <c r="A64" i="21"/>
  <c r="F64" i="21" l="1"/>
  <c r="K64" i="21"/>
  <c r="J65" i="21"/>
  <c r="B65" i="21"/>
  <c r="A65" i="21"/>
  <c r="D66" i="21"/>
  <c r="E66" i="21" s="1"/>
  <c r="C65" i="21"/>
  <c r="F65" i="21" l="1"/>
  <c r="K65" i="21"/>
  <c r="J66" i="21"/>
  <c r="B66" i="21"/>
  <c r="A66" i="21"/>
  <c r="D67" i="21"/>
  <c r="E67" i="21" s="1"/>
  <c r="C66" i="21"/>
  <c r="F66" i="21" l="1"/>
  <c r="K66" i="21"/>
  <c r="J67" i="21"/>
  <c r="B67" i="21"/>
  <c r="D68" i="21"/>
  <c r="E68" i="21" s="1"/>
  <c r="A67" i="21"/>
  <c r="C67" i="21"/>
  <c r="F67" i="21" l="1"/>
  <c r="K67" i="21"/>
  <c r="J68" i="21"/>
  <c r="C68" i="21"/>
  <c r="D69" i="21"/>
  <c r="E69" i="21" s="1"/>
  <c r="B68" i="21"/>
  <c r="A68" i="21"/>
  <c r="K68" i="21" l="1"/>
  <c r="F68" i="21"/>
  <c r="J69" i="21"/>
  <c r="D70" i="21"/>
  <c r="E70" i="21" s="1"/>
  <c r="C69" i="21"/>
  <c r="B69" i="21"/>
  <c r="A69" i="21"/>
  <c r="F69" i="21" l="1"/>
  <c r="K69" i="21"/>
  <c r="J70" i="21"/>
  <c r="B70" i="21"/>
  <c r="A70" i="21"/>
  <c r="C70" i="21"/>
  <c r="D71" i="21"/>
  <c r="E71" i="21" s="1"/>
  <c r="F70" i="21" l="1"/>
  <c r="K70" i="21"/>
  <c r="J71" i="21"/>
  <c r="B71" i="21"/>
  <c r="A71" i="21"/>
  <c r="D72" i="21"/>
  <c r="E72" i="21" s="1"/>
  <c r="C71" i="21"/>
  <c r="F71" i="21" l="1"/>
  <c r="K71" i="21"/>
  <c r="J72" i="21"/>
  <c r="B72" i="21"/>
  <c r="C72" i="21"/>
  <c r="A72" i="21"/>
  <c r="D73" i="21"/>
  <c r="E73" i="21" s="1"/>
  <c r="F72" i="21" l="1"/>
  <c r="K72" i="21"/>
  <c r="J73" i="21"/>
  <c r="B73" i="21"/>
  <c r="A73" i="21"/>
  <c r="D74" i="21"/>
  <c r="E74" i="21" s="1"/>
  <c r="C73" i="21"/>
  <c r="F73" i="21" l="1"/>
  <c r="K73" i="21"/>
  <c r="J74" i="21"/>
  <c r="B74" i="21"/>
  <c r="D75" i="21"/>
  <c r="E75" i="21" s="1"/>
  <c r="A74" i="21"/>
  <c r="C74" i="21"/>
  <c r="F74" i="21" l="1"/>
  <c r="K74" i="21"/>
  <c r="J75" i="21"/>
  <c r="A75" i="21"/>
  <c r="D76" i="21"/>
  <c r="E76" i="21" s="1"/>
  <c r="C75" i="21"/>
  <c r="B75" i="21"/>
  <c r="F75" i="21" l="1"/>
  <c r="K75" i="21"/>
  <c r="J76" i="21"/>
  <c r="B76" i="21"/>
  <c r="A76" i="21"/>
  <c r="C76" i="21"/>
  <c r="D77" i="21"/>
  <c r="E77" i="21" s="1"/>
  <c r="K76" i="21" l="1"/>
  <c r="F76" i="21"/>
  <c r="J77" i="21"/>
  <c r="B77" i="21"/>
  <c r="C77" i="21"/>
  <c r="A77" i="21"/>
  <c r="D78" i="21"/>
  <c r="E78" i="21" s="1"/>
  <c r="F77" i="21" l="1"/>
  <c r="K77" i="21"/>
  <c r="J78" i="21"/>
  <c r="A78" i="21"/>
  <c r="C78" i="21"/>
  <c r="D79" i="21"/>
  <c r="E79" i="21" s="1"/>
  <c r="B78" i="21"/>
  <c r="F78" i="21" l="1"/>
  <c r="K78" i="21"/>
  <c r="J79" i="21"/>
  <c r="D80" i="21"/>
  <c r="E80" i="21" s="1"/>
  <c r="B79" i="21"/>
  <c r="A79" i="21"/>
  <c r="C79" i="21"/>
  <c r="F79" i="21" l="1"/>
  <c r="K79" i="21"/>
  <c r="J80" i="21"/>
  <c r="B80" i="21"/>
  <c r="A80" i="21"/>
  <c r="D81" i="21"/>
  <c r="E81" i="21" s="1"/>
  <c r="C80" i="21"/>
  <c r="F80" i="21" l="1"/>
  <c r="K80" i="21"/>
  <c r="J81" i="21"/>
  <c r="B81" i="21"/>
  <c r="C81" i="21"/>
  <c r="A81" i="21"/>
  <c r="D82" i="21"/>
  <c r="E82" i="21" s="1"/>
  <c r="F81" i="21" l="1"/>
  <c r="K81" i="21"/>
  <c r="J82" i="21"/>
  <c r="A82" i="21"/>
  <c r="C82" i="21"/>
  <c r="D83" i="21"/>
  <c r="E83" i="21" s="1"/>
  <c r="B82" i="21"/>
  <c r="F82" i="21" l="1"/>
  <c r="K82" i="21"/>
  <c r="J83" i="21"/>
  <c r="D84" i="21"/>
  <c r="E84" i="21" s="1"/>
  <c r="B83" i="21"/>
  <c r="A83" i="21"/>
  <c r="C83" i="21"/>
  <c r="F83" i="21" l="1"/>
  <c r="K83" i="21"/>
  <c r="J84" i="21"/>
  <c r="B84" i="21"/>
  <c r="A84" i="21"/>
  <c r="D85" i="21"/>
  <c r="E85" i="21" s="1"/>
  <c r="C84" i="21"/>
  <c r="K84" i="21" l="1"/>
  <c r="F84" i="21"/>
  <c r="J85" i="21"/>
  <c r="B85" i="21"/>
  <c r="C85" i="21"/>
  <c r="A85" i="21"/>
  <c r="D86" i="21"/>
  <c r="E86" i="21" s="1"/>
  <c r="F85" i="21" l="1"/>
  <c r="K85" i="21"/>
  <c r="J86" i="21"/>
  <c r="B86" i="21"/>
  <c r="D87" i="21"/>
  <c r="E87" i="21" s="1"/>
  <c r="C86" i="21"/>
  <c r="A86" i="21"/>
  <c r="F86" i="21" l="1"/>
  <c r="K86" i="21"/>
  <c r="J87" i="21"/>
  <c r="D88" i="21"/>
  <c r="E88" i="21" s="1"/>
  <c r="B87" i="21"/>
  <c r="A87" i="21"/>
  <c r="C87" i="21"/>
  <c r="F87" i="21" l="1"/>
  <c r="K87" i="21"/>
  <c r="J88" i="21"/>
  <c r="A88" i="21"/>
  <c r="D89" i="21"/>
  <c r="E89" i="21" s="1"/>
  <c r="C88" i="21"/>
  <c r="B88" i="21"/>
  <c r="F88" i="21" l="1"/>
  <c r="K88" i="21"/>
  <c r="J89" i="21"/>
  <c r="D90" i="21"/>
  <c r="E90" i="21" s="1"/>
  <c r="C89" i="21"/>
  <c r="B89" i="21"/>
  <c r="A89" i="21"/>
  <c r="F89" i="21" l="1"/>
  <c r="K89" i="21"/>
  <c r="J90" i="21"/>
  <c r="A90" i="21"/>
  <c r="D91" i="21"/>
  <c r="E91" i="21" s="1"/>
  <c r="C90" i="21"/>
  <c r="B90" i="21"/>
  <c r="F90" i="21" l="1"/>
  <c r="K90" i="21"/>
  <c r="J91" i="21"/>
  <c r="A91" i="21"/>
  <c r="B91" i="21"/>
  <c r="C91" i="21"/>
  <c r="D92" i="21"/>
  <c r="E92" i="21" s="1"/>
  <c r="F91" i="21" l="1"/>
  <c r="K91" i="21"/>
  <c r="J92" i="21"/>
  <c r="A92" i="21"/>
  <c r="C92" i="21"/>
  <c r="B92" i="21"/>
  <c r="D93" i="21"/>
  <c r="E93" i="21" s="1"/>
  <c r="K92" i="21" l="1"/>
  <c r="F92" i="21"/>
  <c r="J93" i="21"/>
  <c r="A93" i="21"/>
  <c r="C93" i="21"/>
  <c r="B93" i="21"/>
  <c r="D94" i="21"/>
  <c r="E94" i="21" s="1"/>
  <c r="F93" i="21" l="1"/>
  <c r="K93" i="21"/>
  <c r="J94" i="21"/>
  <c r="A94" i="21"/>
  <c r="D95" i="21"/>
  <c r="E95" i="21" s="1"/>
  <c r="C94" i="21"/>
  <c r="B94" i="21"/>
  <c r="F94" i="21" l="1"/>
  <c r="K94" i="21"/>
  <c r="J95" i="21"/>
  <c r="A95" i="21"/>
  <c r="C95" i="21"/>
  <c r="D96" i="21"/>
  <c r="E96" i="21" s="1"/>
  <c r="B95" i="21"/>
  <c r="F95" i="21" l="1"/>
  <c r="K95" i="21"/>
  <c r="J96" i="21"/>
  <c r="D97" i="21"/>
  <c r="E97" i="21" s="1"/>
  <c r="C96" i="21"/>
  <c r="B96" i="21"/>
  <c r="A96" i="21"/>
  <c r="F96" i="21" l="1"/>
  <c r="K96" i="21"/>
  <c r="J97" i="21"/>
  <c r="A97" i="21"/>
  <c r="D98" i="21"/>
  <c r="E98" i="21" s="1"/>
  <c r="C97" i="21"/>
  <c r="B97" i="21"/>
  <c r="F97" i="21" l="1"/>
  <c r="K97" i="21"/>
  <c r="J98" i="21"/>
  <c r="C98" i="21"/>
  <c r="B98" i="21"/>
  <c r="A98" i="21"/>
  <c r="D99" i="21"/>
  <c r="E99" i="21" s="1"/>
  <c r="F98" i="21" l="1"/>
  <c r="K98" i="21"/>
  <c r="J99" i="21"/>
  <c r="A99" i="21"/>
  <c r="B99" i="21"/>
  <c r="C99" i="21"/>
  <c r="D100" i="21"/>
  <c r="E100" i="21" s="1"/>
  <c r="F99" i="21" l="1"/>
  <c r="K99" i="21"/>
  <c r="J100" i="21"/>
  <c r="A100" i="21"/>
  <c r="D101" i="21"/>
  <c r="E101" i="21" s="1"/>
  <c r="C100" i="21"/>
  <c r="B100" i="21"/>
  <c r="K100" i="21" l="1"/>
  <c r="F100" i="21"/>
  <c r="J101" i="21"/>
  <c r="C101" i="21"/>
  <c r="A101" i="21"/>
  <c r="D102" i="21"/>
  <c r="E102" i="21" s="1"/>
  <c r="B101" i="21"/>
  <c r="F101" i="21" l="1"/>
  <c r="K101" i="21"/>
  <c r="J102" i="21"/>
  <c r="A102" i="21"/>
  <c r="C102" i="21"/>
  <c r="B102" i="21"/>
  <c r="D103" i="21"/>
  <c r="E103" i="21" s="1"/>
  <c r="F102" i="21" l="1"/>
  <c r="K102" i="21"/>
  <c r="J103" i="21"/>
  <c r="A103" i="21"/>
  <c r="C103" i="21"/>
  <c r="B103" i="21"/>
  <c r="D104" i="21"/>
  <c r="E104" i="21" s="1"/>
  <c r="F103" i="21" l="1"/>
  <c r="K103" i="21"/>
  <c r="J104" i="21"/>
  <c r="C104" i="21"/>
  <c r="A104" i="21"/>
  <c r="D105" i="21"/>
  <c r="E105" i="21" s="1"/>
  <c r="B104" i="21"/>
  <c r="F104" i="21" l="1"/>
  <c r="K104" i="21"/>
  <c r="J105" i="21"/>
  <c r="A105" i="21"/>
  <c r="D106" i="21"/>
  <c r="E106" i="21" s="1"/>
  <c r="C105" i="21"/>
  <c r="B105" i="21"/>
  <c r="F105" i="21" l="1"/>
  <c r="K105" i="21"/>
  <c r="J106" i="21"/>
  <c r="A106" i="21"/>
  <c r="B106" i="21"/>
  <c r="D107" i="21"/>
  <c r="E107" i="21" s="1"/>
  <c r="C106" i="21"/>
  <c r="F106" i="21" l="1"/>
  <c r="K106" i="21"/>
  <c r="J107" i="21"/>
  <c r="D108" i="21"/>
  <c r="E108" i="21" s="1"/>
  <c r="C107" i="21"/>
  <c r="B107" i="21"/>
  <c r="A107" i="21"/>
  <c r="F107" i="21" l="1"/>
  <c r="K107" i="21"/>
  <c r="J108" i="21"/>
  <c r="C108" i="21"/>
  <c r="A108" i="21"/>
  <c r="D109" i="21"/>
  <c r="E109" i="21" s="1"/>
  <c r="B108" i="21"/>
  <c r="K108" i="21" l="1"/>
  <c r="F108" i="21"/>
  <c r="J109" i="21"/>
  <c r="C109" i="21"/>
  <c r="D110" i="21"/>
  <c r="E110" i="21" s="1"/>
  <c r="B109" i="21"/>
  <c r="A109" i="21"/>
  <c r="F109" i="21" l="1"/>
  <c r="K109" i="21"/>
  <c r="J110" i="21"/>
  <c r="C110" i="21"/>
  <c r="D111" i="21"/>
  <c r="E111" i="21" s="1"/>
  <c r="B110" i="21"/>
  <c r="A110" i="21"/>
  <c r="F110" i="21" l="1"/>
  <c r="K110" i="21"/>
  <c r="J111" i="21"/>
  <c r="C111" i="21"/>
  <c r="D112" i="21"/>
  <c r="E112" i="21" s="1"/>
  <c r="A111" i="21"/>
  <c r="B111" i="21"/>
  <c r="F111" i="21" l="1"/>
  <c r="K111" i="21"/>
  <c r="J112" i="21"/>
  <c r="A112" i="21"/>
  <c r="D113" i="21"/>
  <c r="E113" i="21" s="1"/>
  <c r="B112" i="21"/>
  <c r="C112" i="21"/>
  <c r="F112" i="21" l="1"/>
  <c r="K112" i="21"/>
  <c r="J113" i="21"/>
  <c r="A113" i="21"/>
  <c r="D114" i="21"/>
  <c r="E114" i="21" s="1"/>
  <c r="C113" i="21"/>
  <c r="B113" i="21"/>
  <c r="F113" i="21" l="1"/>
  <c r="K113" i="21"/>
  <c r="J114" i="21"/>
  <c r="C114" i="21"/>
  <c r="A114" i="21"/>
  <c r="D115" i="21"/>
  <c r="E115" i="21" s="1"/>
  <c r="B114" i="21"/>
  <c r="F114" i="21" l="1"/>
  <c r="K114" i="21"/>
  <c r="J115" i="21"/>
  <c r="C115" i="21"/>
  <c r="A115" i="21"/>
  <c r="B115" i="21"/>
  <c r="D116" i="21"/>
  <c r="E116" i="21" s="1"/>
  <c r="F115" i="21" l="1"/>
  <c r="K115" i="21"/>
  <c r="J116" i="21"/>
  <c r="C116" i="21"/>
  <c r="D117" i="21"/>
  <c r="E117" i="21" s="1"/>
  <c r="B116" i="21"/>
  <c r="A116" i="21"/>
  <c r="K116" i="21" l="1"/>
  <c r="F116" i="21"/>
  <c r="J117" i="21"/>
  <c r="C117" i="21"/>
  <c r="D118" i="21"/>
  <c r="E118" i="21" s="1"/>
  <c r="B117" i="21"/>
  <c r="A117" i="21"/>
  <c r="F117" i="21" l="1"/>
  <c r="K117" i="21"/>
  <c r="J118" i="21"/>
  <c r="C118" i="21"/>
  <c r="B118" i="21"/>
  <c r="A118" i="21"/>
  <c r="D119" i="21"/>
  <c r="E119" i="21" s="1"/>
  <c r="F118" i="21" l="1"/>
  <c r="K118" i="21"/>
  <c r="J119" i="21"/>
  <c r="A119" i="21"/>
  <c r="B119" i="21"/>
  <c r="D120" i="21"/>
  <c r="E120" i="21" s="1"/>
  <c r="C119" i="21"/>
  <c r="F119" i="21" l="1"/>
  <c r="K119" i="21"/>
  <c r="J120" i="21"/>
  <c r="D121" i="21"/>
  <c r="E121" i="21" s="1"/>
  <c r="C120" i="21"/>
  <c r="B120" i="21"/>
  <c r="A120" i="21"/>
  <c r="F120" i="21" l="1"/>
  <c r="K120" i="21"/>
  <c r="J121" i="21"/>
  <c r="C121" i="21"/>
  <c r="A121" i="21"/>
  <c r="D122" i="21"/>
  <c r="E122" i="21" s="1"/>
  <c r="B121" i="21"/>
  <c r="F121" i="21" l="1"/>
  <c r="K121" i="21"/>
  <c r="J122" i="21"/>
  <c r="C122" i="21"/>
  <c r="A122" i="21"/>
  <c r="D123" i="21"/>
  <c r="E123" i="21" s="1"/>
  <c r="B122" i="21"/>
  <c r="F122" i="21" l="1"/>
  <c r="K122" i="21"/>
  <c r="J123" i="21"/>
  <c r="B123" i="21"/>
  <c r="D124" i="21"/>
  <c r="E124" i="21" s="1"/>
  <c r="C123" i="21"/>
  <c r="A123" i="21"/>
  <c r="F123" i="21" l="1"/>
  <c r="K123" i="21"/>
  <c r="J124" i="21"/>
  <c r="A124" i="21"/>
  <c r="B124" i="21"/>
  <c r="D125" i="21"/>
  <c r="E125" i="21" s="1"/>
  <c r="C124" i="21"/>
  <c r="K124" i="21" l="1"/>
  <c r="F124" i="21"/>
  <c r="J125" i="21"/>
  <c r="B125" i="21"/>
  <c r="A125" i="21"/>
  <c r="D126" i="21"/>
  <c r="E126" i="21" s="1"/>
  <c r="C125" i="21"/>
  <c r="F125" i="21" l="1"/>
  <c r="K125" i="21"/>
  <c r="J126" i="21"/>
  <c r="C126" i="21"/>
  <c r="A126" i="21"/>
  <c r="D127" i="21"/>
  <c r="E127" i="21" s="1"/>
  <c r="B126" i="21"/>
  <c r="F126" i="21" l="1"/>
  <c r="K126" i="21"/>
  <c r="J127" i="21"/>
  <c r="D128" i="21"/>
  <c r="E128" i="21" s="1"/>
  <c r="B127" i="21"/>
  <c r="C127" i="21"/>
  <c r="A127" i="21"/>
  <c r="F127" i="21" l="1"/>
  <c r="K127" i="21"/>
  <c r="J128" i="21"/>
  <c r="C128" i="21"/>
  <c r="D129" i="21"/>
  <c r="E129" i="21" s="1"/>
  <c r="B128" i="21"/>
  <c r="A128" i="21"/>
  <c r="F128" i="21" l="1"/>
  <c r="K128" i="21"/>
  <c r="J129" i="21"/>
  <c r="C129" i="21"/>
  <c r="B129" i="21"/>
  <c r="A129" i="21"/>
  <c r="D130" i="21"/>
  <c r="E130" i="21" s="1"/>
  <c r="F129" i="21" l="1"/>
  <c r="K129" i="21"/>
  <c r="J130" i="21"/>
  <c r="A130" i="21"/>
  <c r="D131" i="21"/>
  <c r="E131" i="21" s="1"/>
  <c r="C130" i="21"/>
  <c r="B130" i="21"/>
  <c r="F130" i="21" l="1"/>
  <c r="K130" i="21"/>
  <c r="J131" i="21"/>
  <c r="A131" i="21"/>
  <c r="B131" i="21"/>
  <c r="C131" i="21"/>
  <c r="D132" i="21"/>
  <c r="E132" i="21" s="1"/>
  <c r="F131" i="21" l="1"/>
  <c r="K131" i="21"/>
  <c r="J132" i="21"/>
  <c r="C132" i="21"/>
  <c r="A132" i="21"/>
  <c r="D133" i="21"/>
  <c r="E133" i="21" s="1"/>
  <c r="B132" i="21"/>
  <c r="K132" i="21" l="1"/>
  <c r="F132" i="21"/>
  <c r="J133" i="21"/>
  <c r="C133" i="21"/>
  <c r="A133" i="21"/>
  <c r="B133" i="21"/>
  <c r="D134" i="21"/>
  <c r="E134" i="21" s="1"/>
  <c r="F133" i="21" l="1"/>
  <c r="K133" i="21"/>
  <c r="J134" i="21"/>
  <c r="A134" i="21"/>
  <c r="B134" i="21"/>
  <c r="D135" i="21"/>
  <c r="E135" i="21" s="1"/>
  <c r="C134" i="21"/>
  <c r="F134" i="21" l="1"/>
  <c r="K134" i="21"/>
  <c r="J135" i="21"/>
  <c r="D136" i="21"/>
  <c r="E136" i="21" s="1"/>
  <c r="B135" i="21"/>
  <c r="C135" i="21"/>
  <c r="A135" i="21"/>
  <c r="F135" i="21" l="1"/>
  <c r="K135" i="21"/>
  <c r="J136" i="21"/>
  <c r="C136" i="21"/>
  <c r="A136" i="21"/>
  <c r="D137" i="21"/>
  <c r="E137" i="21" s="1"/>
  <c r="B136" i="21"/>
  <c r="F136" i="21" l="1"/>
  <c r="K136" i="21"/>
  <c r="J137" i="21"/>
  <c r="C137" i="21"/>
  <c r="B137" i="21"/>
  <c r="A137" i="21"/>
  <c r="D138" i="21"/>
  <c r="E138" i="21" s="1"/>
  <c r="F137" i="21" l="1"/>
  <c r="K137" i="21"/>
  <c r="J138" i="21"/>
  <c r="A138" i="21"/>
  <c r="B138" i="21"/>
  <c r="D139" i="21"/>
  <c r="E139" i="21" s="1"/>
  <c r="C138" i="21"/>
  <c r="F138" i="21" l="1"/>
  <c r="K138" i="21"/>
  <c r="J139" i="21"/>
  <c r="C139" i="21"/>
  <c r="A139" i="21"/>
  <c r="B139" i="21"/>
  <c r="D140" i="21"/>
  <c r="E140" i="21" s="1"/>
  <c r="F139" i="21" l="1"/>
  <c r="K139" i="21"/>
  <c r="J140" i="21"/>
  <c r="C140" i="21"/>
  <c r="A140" i="21"/>
  <c r="D141" i="21"/>
  <c r="E141" i="21" s="1"/>
  <c r="B140" i="21"/>
  <c r="K140" i="21" l="1"/>
  <c r="F140" i="21"/>
  <c r="J141" i="21"/>
  <c r="C141" i="21"/>
  <c r="D142" i="21"/>
  <c r="E142" i="21" s="1"/>
  <c r="B141" i="21"/>
  <c r="A141" i="21"/>
  <c r="F141" i="21" l="1"/>
  <c r="K141" i="21"/>
  <c r="J142" i="21"/>
  <c r="C142" i="21"/>
  <c r="D143" i="21"/>
  <c r="E143" i="21" s="1"/>
  <c r="B142" i="21"/>
  <c r="A142" i="21"/>
  <c r="F142" i="21" l="1"/>
  <c r="K142" i="21"/>
  <c r="J143" i="21"/>
  <c r="C143" i="21"/>
  <c r="D144" i="21"/>
  <c r="E144" i="21" s="1"/>
  <c r="A143" i="21"/>
  <c r="B143" i="21"/>
  <c r="F143" i="21" l="1"/>
  <c r="K143" i="21"/>
  <c r="J144" i="21"/>
  <c r="A144" i="21"/>
  <c r="D145" i="21"/>
  <c r="E145" i="21" s="1"/>
  <c r="C144" i="21"/>
  <c r="B144" i="21"/>
  <c r="F144" i="21" l="1"/>
  <c r="K144" i="21"/>
  <c r="J145" i="21"/>
  <c r="D146" i="21"/>
  <c r="E146" i="21" s="1"/>
  <c r="C145" i="21"/>
  <c r="B145" i="21"/>
  <c r="A145" i="21"/>
  <c r="F145" i="21" l="1"/>
  <c r="K145" i="21"/>
  <c r="J146" i="21"/>
  <c r="C146" i="21"/>
  <c r="A146" i="21"/>
  <c r="D147" i="21"/>
  <c r="E147" i="21" s="1"/>
  <c r="B146" i="21"/>
  <c r="F146" i="21" l="1"/>
  <c r="K146" i="21"/>
  <c r="J147" i="21"/>
  <c r="C147" i="21"/>
  <c r="D148" i="21"/>
  <c r="E148" i="21" s="1"/>
  <c r="A147" i="21"/>
  <c r="B147" i="21"/>
  <c r="F147" i="21" l="1"/>
  <c r="K147" i="21"/>
  <c r="J148" i="21"/>
  <c r="D149" i="21"/>
  <c r="E149" i="21" s="1"/>
  <c r="C148" i="21"/>
  <c r="B148" i="21"/>
  <c r="A148" i="21"/>
  <c r="K148" i="21" l="1"/>
  <c r="F148" i="21"/>
  <c r="J149" i="21"/>
  <c r="B149" i="21"/>
  <c r="A149" i="21"/>
  <c r="D150" i="21"/>
  <c r="E150" i="21" s="1"/>
  <c r="C149" i="21"/>
  <c r="F149" i="21" l="1"/>
  <c r="K149" i="21"/>
  <c r="J150" i="21"/>
  <c r="C150" i="21"/>
  <c r="B150" i="21"/>
  <c r="A150" i="21"/>
  <c r="D151" i="21"/>
  <c r="E151" i="21" s="1"/>
  <c r="F150" i="21" l="1"/>
  <c r="K150" i="21"/>
  <c r="J151" i="21"/>
  <c r="A151" i="21"/>
  <c r="B151" i="21"/>
  <c r="D152" i="21"/>
  <c r="E152" i="21" s="1"/>
  <c r="C151" i="21"/>
  <c r="F151" i="21" l="1"/>
  <c r="K151" i="21"/>
  <c r="J152" i="21"/>
  <c r="A152" i="21"/>
  <c r="D153" i="21"/>
  <c r="E153" i="21" s="1"/>
  <c r="C152" i="21"/>
  <c r="B152" i="21"/>
  <c r="F152" i="21" l="1"/>
  <c r="K152" i="21"/>
  <c r="J153" i="21"/>
  <c r="C153" i="21"/>
  <c r="B153" i="21"/>
  <c r="A153" i="21"/>
  <c r="D154" i="21"/>
  <c r="E154" i="21" s="1"/>
  <c r="F153" i="21" l="1"/>
  <c r="K153" i="21"/>
  <c r="J154" i="21"/>
  <c r="A154" i="21"/>
  <c r="C154" i="21"/>
  <c r="B154" i="21"/>
  <c r="D155" i="21"/>
  <c r="E155" i="21" s="1"/>
  <c r="F154" i="21" l="1"/>
  <c r="K154" i="21"/>
  <c r="J155" i="21"/>
  <c r="A155" i="21"/>
  <c r="B155" i="21"/>
  <c r="C155" i="21"/>
  <c r="D156" i="21"/>
  <c r="E156" i="21" s="1"/>
  <c r="F155" i="21" l="1"/>
  <c r="K155" i="21"/>
  <c r="J156" i="21"/>
  <c r="C156" i="21"/>
  <c r="A156" i="21"/>
  <c r="B156" i="21"/>
  <c r="D157" i="21"/>
  <c r="E157" i="21" s="1"/>
  <c r="K156" i="21" l="1"/>
  <c r="F156" i="21"/>
  <c r="J157" i="21"/>
  <c r="A157" i="21"/>
  <c r="C157" i="21"/>
  <c r="D158" i="21"/>
  <c r="E158" i="21" s="1"/>
  <c r="B157" i="21"/>
  <c r="F157" i="21" l="1"/>
  <c r="K157" i="21"/>
  <c r="J158" i="21"/>
  <c r="A158" i="21"/>
  <c r="B158" i="21"/>
  <c r="D159" i="21"/>
  <c r="E159" i="21" s="1"/>
  <c r="C158" i="21"/>
  <c r="F158" i="21" l="1"/>
  <c r="K158" i="21"/>
  <c r="J159" i="21"/>
  <c r="C159" i="21"/>
  <c r="A159" i="21"/>
  <c r="B159" i="21"/>
  <c r="D160" i="21"/>
  <c r="E160" i="21" s="1"/>
  <c r="F159" i="21" l="1"/>
  <c r="K159" i="21"/>
  <c r="J160" i="21"/>
  <c r="C160" i="21"/>
  <c r="A160" i="21"/>
  <c r="D161" i="21"/>
  <c r="E161" i="21" s="1"/>
  <c r="B160" i="21"/>
  <c r="F160" i="21" l="1"/>
  <c r="K160" i="21"/>
  <c r="J161" i="21"/>
  <c r="C161" i="21"/>
  <c r="D162" i="21"/>
  <c r="E162" i="21" s="1"/>
  <c r="B161" i="21"/>
  <c r="A161" i="21"/>
  <c r="F161" i="21" l="1"/>
  <c r="K161" i="21"/>
  <c r="J162" i="21"/>
  <c r="C162" i="21"/>
  <c r="B162" i="21"/>
  <c r="A162" i="21"/>
  <c r="D163" i="21"/>
  <c r="E163" i="21" s="1"/>
  <c r="F162" i="21" l="1"/>
  <c r="K162" i="21"/>
  <c r="J163" i="21"/>
  <c r="C163" i="21"/>
  <c r="D164" i="21"/>
  <c r="E164" i="21" s="1"/>
  <c r="A163" i="21"/>
  <c r="B163" i="21"/>
  <c r="F163" i="21" l="1"/>
  <c r="K163" i="21"/>
  <c r="J164" i="21"/>
  <c r="A164" i="21"/>
  <c r="B164" i="21"/>
  <c r="D165" i="21"/>
  <c r="E165" i="21" s="1"/>
  <c r="C164" i="21"/>
  <c r="K164" i="21" l="1"/>
  <c r="F164" i="21"/>
  <c r="J165" i="21"/>
  <c r="A165" i="21"/>
  <c r="D166" i="21"/>
  <c r="E166" i="21" s="1"/>
  <c r="B165" i="21"/>
  <c r="C165" i="21"/>
  <c r="F165" i="21" l="1"/>
  <c r="K165" i="21"/>
  <c r="J166" i="21"/>
  <c r="C166" i="21"/>
  <c r="B166" i="21"/>
  <c r="A166" i="21"/>
  <c r="D167" i="21"/>
  <c r="E167" i="21" s="1"/>
  <c r="F166" i="21" l="1"/>
  <c r="K166" i="21"/>
  <c r="J167" i="21"/>
  <c r="D168" i="21"/>
  <c r="E168" i="21" s="1"/>
  <c r="A167" i="21"/>
  <c r="B167" i="21"/>
  <c r="C167" i="21"/>
  <c r="F167" i="21" l="1"/>
  <c r="K167" i="21"/>
  <c r="J168" i="21"/>
  <c r="C168" i="21"/>
  <c r="B168" i="21"/>
  <c r="A168" i="21"/>
  <c r="D169" i="21"/>
  <c r="E169" i="21" s="1"/>
  <c r="F168" i="21" l="1"/>
  <c r="K168" i="21"/>
  <c r="J169" i="21"/>
  <c r="C169" i="21"/>
  <c r="D170" i="21"/>
  <c r="E170" i="21" s="1"/>
  <c r="B169" i="21"/>
  <c r="A169" i="21"/>
  <c r="F169" i="21" l="1"/>
  <c r="K169" i="21"/>
  <c r="J170" i="21"/>
  <c r="C170" i="21"/>
  <c r="B170" i="21"/>
  <c r="A170" i="21"/>
  <c r="D171" i="21"/>
  <c r="E171" i="21" s="1"/>
  <c r="F170" i="21" l="1"/>
  <c r="K170" i="21"/>
  <c r="J171" i="21"/>
  <c r="B171" i="21"/>
  <c r="C171" i="21"/>
  <c r="A171" i="21"/>
  <c r="D172" i="21"/>
  <c r="E172" i="21" s="1"/>
  <c r="F171" i="21" l="1"/>
  <c r="K171" i="21"/>
  <c r="J172" i="21"/>
  <c r="C172" i="21"/>
  <c r="A172" i="21"/>
  <c r="B172" i="21"/>
  <c r="D173" i="21"/>
  <c r="E173" i="21" s="1"/>
  <c r="K172" i="21" l="1"/>
  <c r="F172" i="21"/>
  <c r="J173" i="21"/>
  <c r="D174" i="21"/>
  <c r="E174" i="21" s="1"/>
  <c r="C173" i="21"/>
  <c r="B173" i="21"/>
  <c r="A173" i="21"/>
  <c r="F173" i="21" l="1"/>
  <c r="K173" i="21"/>
  <c r="J174" i="21"/>
  <c r="D175" i="21"/>
  <c r="E175" i="21" s="1"/>
  <c r="C174" i="21"/>
  <c r="B174" i="21"/>
  <c r="A174" i="21"/>
  <c r="F174" i="21" l="1"/>
  <c r="K174" i="21"/>
  <c r="J175" i="21"/>
  <c r="D176" i="21"/>
  <c r="E176" i="21" s="1"/>
  <c r="B175" i="21"/>
  <c r="A175" i="21"/>
  <c r="C175" i="21"/>
  <c r="F175" i="21" l="1"/>
  <c r="K175" i="21"/>
  <c r="J176" i="21"/>
  <c r="D177" i="21"/>
  <c r="E177" i="21" s="1"/>
  <c r="B176" i="21"/>
  <c r="A176" i="21"/>
  <c r="C176" i="21"/>
  <c r="F176" i="21" l="1"/>
  <c r="K176" i="21"/>
  <c r="J177" i="21"/>
  <c r="D178" i="21"/>
  <c r="E178" i="21" s="1"/>
  <c r="B177" i="21"/>
  <c r="A177" i="21"/>
  <c r="C177" i="21"/>
  <c r="F177" i="21" l="1"/>
  <c r="K177" i="21"/>
  <c r="J178" i="21"/>
  <c r="B178" i="21"/>
  <c r="D179" i="21"/>
  <c r="E179" i="21" s="1"/>
  <c r="C178" i="21"/>
  <c r="A178" i="21"/>
  <c r="F178" i="21" l="1"/>
  <c r="K178" i="21"/>
  <c r="J179" i="21"/>
  <c r="B179" i="21"/>
  <c r="D180" i="21"/>
  <c r="E180" i="21" s="1"/>
  <c r="C179" i="21"/>
  <c r="A179" i="21"/>
  <c r="F179" i="21" l="1"/>
  <c r="K179" i="21"/>
  <c r="J180" i="21"/>
  <c r="B180" i="21"/>
  <c r="A180" i="21"/>
  <c r="D181" i="21"/>
  <c r="E181" i="21" s="1"/>
  <c r="C180" i="21"/>
  <c r="F180" i="21" l="1"/>
  <c r="K180" i="21"/>
  <c r="J181" i="21"/>
  <c r="B181" i="21"/>
  <c r="A181" i="21"/>
  <c r="D182" i="21"/>
  <c r="E182" i="21" s="1"/>
  <c r="C181" i="21"/>
  <c r="F181" i="21" l="1"/>
  <c r="K181" i="21"/>
  <c r="J182" i="21"/>
  <c r="A182" i="21"/>
  <c r="D183" i="21"/>
  <c r="E183" i="21" s="1"/>
  <c r="C182" i="21"/>
  <c r="B182" i="21"/>
  <c r="F182" i="21" l="1"/>
  <c r="K182" i="21"/>
  <c r="J183" i="21"/>
  <c r="B183" i="21"/>
  <c r="A183" i="21"/>
  <c r="D184" i="21"/>
  <c r="E184" i="21" s="1"/>
  <c r="C183" i="21"/>
  <c r="F183" i="21" l="1"/>
  <c r="K183" i="21"/>
  <c r="J184" i="21"/>
  <c r="B184" i="21"/>
  <c r="C184" i="21"/>
  <c r="A184" i="21"/>
  <c r="D185" i="21"/>
  <c r="E185" i="21" s="1"/>
  <c r="F184" i="21" l="1"/>
  <c r="K184" i="21"/>
  <c r="J185" i="21"/>
  <c r="B185" i="21"/>
  <c r="A185" i="21"/>
  <c r="D186" i="21"/>
  <c r="E186" i="21" s="1"/>
  <c r="C185" i="21"/>
  <c r="F185" i="21" l="1"/>
  <c r="K185" i="21"/>
  <c r="J186" i="21"/>
  <c r="A186" i="21"/>
  <c r="B186" i="21"/>
  <c r="D187" i="21"/>
  <c r="E187" i="21" s="1"/>
  <c r="C186" i="21"/>
  <c r="F186" i="21" l="1"/>
  <c r="K186" i="21"/>
  <c r="J187" i="21"/>
  <c r="D188" i="21"/>
  <c r="E188" i="21" s="1"/>
  <c r="C187" i="21"/>
  <c r="B187" i="21"/>
  <c r="A187" i="21"/>
  <c r="F187" i="21" l="1"/>
  <c r="K187" i="21"/>
  <c r="J188" i="21"/>
  <c r="B188" i="21"/>
  <c r="A188" i="21"/>
  <c r="D189" i="21"/>
  <c r="E189" i="21" s="1"/>
  <c r="C188" i="21"/>
  <c r="F188" i="21" l="1"/>
  <c r="K188" i="21"/>
  <c r="J189" i="21"/>
  <c r="D190" i="21"/>
  <c r="E190" i="21" s="1"/>
  <c r="B189" i="21"/>
  <c r="A189" i="21"/>
  <c r="C189" i="21"/>
  <c r="F189" i="21" l="1"/>
  <c r="K189" i="21"/>
  <c r="J190" i="21"/>
  <c r="B190" i="21"/>
  <c r="A190" i="21"/>
  <c r="D191" i="21"/>
  <c r="E191" i="21" s="1"/>
  <c r="C190" i="21"/>
  <c r="F190" i="21" l="1"/>
  <c r="K190" i="21"/>
  <c r="J191" i="21"/>
  <c r="B191" i="21"/>
  <c r="D192" i="21"/>
  <c r="E192" i="21" s="1"/>
  <c r="C191" i="21"/>
  <c r="A191" i="21"/>
  <c r="F191" i="21" l="1"/>
  <c r="K191" i="21"/>
  <c r="J192" i="21"/>
  <c r="A192" i="21"/>
  <c r="D193" i="21"/>
  <c r="E193" i="21" s="1"/>
  <c r="C192" i="21"/>
  <c r="B192" i="21"/>
  <c r="F192" i="21" l="1"/>
  <c r="K192" i="21"/>
  <c r="J193" i="21"/>
  <c r="B193" i="21"/>
  <c r="A193" i="21"/>
  <c r="D194" i="21"/>
  <c r="E194" i="21" s="1"/>
  <c r="C193" i="21"/>
  <c r="F193" i="21" l="1"/>
  <c r="K193" i="21"/>
  <c r="J194" i="21"/>
  <c r="A194" i="21"/>
  <c r="C194" i="21"/>
  <c r="B194" i="21"/>
  <c r="D195" i="21"/>
  <c r="E195" i="21" s="1"/>
  <c r="F194" i="21" l="1"/>
  <c r="K194" i="21"/>
  <c r="J195" i="21"/>
  <c r="B195" i="21"/>
  <c r="A195" i="21"/>
  <c r="D196" i="21"/>
  <c r="E196" i="21" s="1"/>
  <c r="C195" i="21"/>
  <c r="F195" i="21" l="1"/>
  <c r="K195" i="21"/>
  <c r="J196" i="21"/>
  <c r="B196" i="21"/>
  <c r="A196" i="21"/>
  <c r="D197" i="21"/>
  <c r="E197" i="21" s="1"/>
  <c r="C196" i="21"/>
  <c r="F196" i="21" l="1"/>
  <c r="K196" i="21"/>
  <c r="J197" i="21"/>
  <c r="A197" i="21"/>
  <c r="D198" i="21"/>
  <c r="E198" i="21" s="1"/>
  <c r="C197" i="21"/>
  <c r="B197" i="21"/>
  <c r="F197" i="21" l="1"/>
  <c r="K197" i="21"/>
  <c r="J198" i="21"/>
  <c r="A198" i="21"/>
  <c r="D199" i="21"/>
  <c r="E199" i="21" s="1"/>
  <c r="C198" i="21"/>
  <c r="B198" i="21"/>
  <c r="F198" i="21" l="1"/>
  <c r="K198" i="21"/>
  <c r="J199" i="21"/>
  <c r="A199" i="21"/>
  <c r="D200" i="21"/>
  <c r="E200" i="21" s="1"/>
  <c r="C199" i="21"/>
  <c r="B199" i="21"/>
  <c r="F199" i="21" l="1"/>
  <c r="K199" i="21"/>
  <c r="J200" i="21"/>
  <c r="B200" i="21"/>
  <c r="C200" i="21"/>
  <c r="A200" i="21"/>
  <c r="D201" i="21"/>
  <c r="E201" i="21" s="1"/>
  <c r="F200" i="21" l="1"/>
  <c r="K200" i="21"/>
  <c r="J201" i="21"/>
  <c r="B201" i="21"/>
  <c r="C201" i="21"/>
  <c r="A201" i="21"/>
  <c r="D202" i="21"/>
  <c r="E202" i="21" s="1"/>
  <c r="F201" i="21" l="1"/>
  <c r="K201" i="21"/>
  <c r="J202" i="21"/>
  <c r="A202" i="21"/>
  <c r="B202" i="21"/>
  <c r="D203" i="21"/>
  <c r="E203" i="21" s="1"/>
  <c r="C202" i="21"/>
  <c r="F202" i="21" l="1"/>
  <c r="K202" i="21"/>
  <c r="J203" i="21"/>
  <c r="D204" i="21"/>
  <c r="E204" i="21" s="1"/>
  <c r="C203" i="21"/>
  <c r="B203" i="21"/>
  <c r="A203" i="21"/>
  <c r="F203" i="21" l="1"/>
  <c r="K203" i="21"/>
  <c r="J204" i="21"/>
  <c r="D205" i="21"/>
  <c r="E205" i="21" s="1"/>
  <c r="C204" i="21"/>
  <c r="B204" i="21"/>
  <c r="A204" i="21"/>
  <c r="F204" i="21" l="1"/>
  <c r="K204" i="21"/>
  <c r="J205" i="21"/>
  <c r="B205" i="21"/>
  <c r="D206" i="21"/>
  <c r="E206" i="21" s="1"/>
  <c r="C205" i="21"/>
  <c r="A205" i="21"/>
  <c r="F205" i="21" l="1"/>
  <c r="K205" i="21"/>
  <c r="J206" i="21"/>
  <c r="D207" i="21"/>
  <c r="E207" i="21" s="1"/>
  <c r="B206" i="21"/>
  <c r="A206" i="21"/>
  <c r="C206" i="21"/>
  <c r="F206" i="21" l="1"/>
  <c r="K206" i="21"/>
  <c r="J207" i="21"/>
  <c r="D208" i="21"/>
  <c r="E208" i="21" s="1"/>
  <c r="A207" i="21"/>
  <c r="C207" i="21"/>
  <c r="B207" i="21"/>
  <c r="F207" i="21" l="1"/>
  <c r="K207" i="21"/>
  <c r="J208" i="21"/>
  <c r="B208" i="21"/>
  <c r="A208" i="21"/>
  <c r="D209" i="21"/>
  <c r="E209" i="21" s="1"/>
  <c r="C208" i="21"/>
  <c r="F208" i="21" l="1"/>
  <c r="K208" i="21"/>
  <c r="J209" i="21"/>
  <c r="A209" i="21"/>
  <c r="D210" i="21"/>
  <c r="E210" i="21" s="1"/>
  <c r="C209" i="21"/>
  <c r="B209" i="21"/>
  <c r="F209" i="21" l="1"/>
  <c r="K209" i="21"/>
  <c r="J210" i="21"/>
  <c r="D211" i="21"/>
  <c r="E211" i="21" s="1"/>
  <c r="A210" i="21"/>
  <c r="B210" i="21"/>
  <c r="C210" i="21"/>
  <c r="F210" i="21" l="1"/>
  <c r="K210" i="21"/>
  <c r="J211" i="21"/>
  <c r="B211" i="21"/>
  <c r="D212" i="21"/>
  <c r="E212" i="21" s="1"/>
  <c r="A211" i="21"/>
  <c r="C211" i="21"/>
  <c r="F211" i="21" l="1"/>
  <c r="K211" i="21"/>
  <c r="J212" i="21"/>
  <c r="D213" i="21"/>
  <c r="E213" i="21" s="1"/>
  <c r="B212" i="21"/>
  <c r="A212" i="21"/>
  <c r="C212" i="21"/>
  <c r="F212" i="21" l="1"/>
  <c r="K212" i="21"/>
  <c r="J213" i="21"/>
  <c r="B213" i="21"/>
  <c r="C213" i="21"/>
  <c r="A213" i="21"/>
  <c r="D214" i="21"/>
  <c r="E214" i="21" s="1"/>
  <c r="F213" i="21" l="1"/>
  <c r="K213" i="21"/>
  <c r="J214" i="21"/>
  <c r="A214" i="21"/>
  <c r="D215" i="21"/>
  <c r="E215" i="21" s="1"/>
  <c r="C214" i="21"/>
  <c r="B214" i="21"/>
  <c r="F214" i="21" l="1"/>
  <c r="K214" i="21"/>
  <c r="J215" i="21"/>
  <c r="D216" i="21"/>
  <c r="E216" i="21" s="1"/>
  <c r="C215" i="21"/>
  <c r="B215" i="21"/>
  <c r="A215" i="21"/>
  <c r="F215" i="21" l="1"/>
  <c r="K215" i="21"/>
  <c r="J216" i="21"/>
  <c r="D217" i="21"/>
  <c r="E217" i="21" s="1"/>
  <c r="A216" i="21"/>
  <c r="C216" i="21"/>
  <c r="B216" i="21"/>
  <c r="F216" i="21" l="1"/>
  <c r="K216" i="21"/>
  <c r="J217" i="21"/>
  <c r="B217" i="21"/>
  <c r="D218" i="21"/>
  <c r="E218" i="21" s="1"/>
  <c r="A217" i="21"/>
  <c r="C217" i="21"/>
  <c r="F217" i="21" l="1"/>
  <c r="K217" i="21"/>
  <c r="J218" i="21"/>
  <c r="D219" i="21"/>
  <c r="E219" i="21" s="1"/>
  <c r="A218" i="21"/>
  <c r="C218" i="21"/>
  <c r="B218" i="21"/>
  <c r="F218" i="21" l="1"/>
  <c r="K218" i="21"/>
  <c r="J219" i="21"/>
  <c r="B219" i="21"/>
  <c r="C219" i="21"/>
  <c r="A219" i="21"/>
  <c r="D220" i="21"/>
  <c r="E220" i="21" s="1"/>
  <c r="F219" i="21" l="1"/>
  <c r="K219" i="21"/>
  <c r="J220" i="21"/>
  <c r="B220" i="21"/>
  <c r="A220" i="21"/>
  <c r="D221" i="21"/>
  <c r="E221" i="21" s="1"/>
  <c r="C220" i="21"/>
  <c r="F220" i="21" l="1"/>
  <c r="K220" i="21"/>
  <c r="J221" i="21"/>
  <c r="D222" i="21"/>
  <c r="E222" i="21" s="1"/>
  <c r="C221" i="21"/>
  <c r="B221" i="21"/>
  <c r="A221" i="21"/>
  <c r="F221" i="21" l="1"/>
  <c r="K221" i="21"/>
  <c r="J222" i="21"/>
  <c r="D223" i="21"/>
  <c r="E223" i="21" s="1"/>
  <c r="C222" i="21"/>
  <c r="B222" i="21"/>
  <c r="A222" i="21"/>
  <c r="F222" i="21" l="1"/>
  <c r="K222" i="21"/>
  <c r="J223" i="21"/>
  <c r="B223" i="21"/>
  <c r="D224" i="21"/>
  <c r="E224" i="21" s="1"/>
  <c r="C223" i="21"/>
  <c r="A223" i="21"/>
  <c r="F223" i="21" l="1"/>
  <c r="K223" i="21"/>
  <c r="J224" i="21"/>
  <c r="D225" i="21"/>
  <c r="E225" i="21" s="1"/>
  <c r="B224" i="21"/>
  <c r="A224" i="21"/>
  <c r="C224" i="21"/>
  <c r="F224" i="21" l="1"/>
  <c r="K224" i="21"/>
  <c r="J225" i="21"/>
  <c r="D226" i="21"/>
  <c r="E226" i="21" s="1"/>
  <c r="A225" i="21"/>
  <c r="C225" i="21"/>
  <c r="B225" i="21"/>
  <c r="F225" i="21" l="1"/>
  <c r="K225" i="21"/>
  <c r="J226" i="21"/>
  <c r="B226" i="21"/>
  <c r="D227" i="21"/>
  <c r="E227" i="21" s="1"/>
  <c r="C226" i="21"/>
  <c r="A226" i="21"/>
  <c r="F226" i="21" l="1"/>
  <c r="K226" i="21"/>
  <c r="J227" i="21"/>
  <c r="B227" i="21"/>
  <c r="D228" i="21"/>
  <c r="E228" i="21" s="1"/>
  <c r="A227" i="21"/>
  <c r="C227" i="21"/>
  <c r="F227" i="21" l="1"/>
  <c r="K227" i="21"/>
  <c r="J228" i="21"/>
  <c r="D229" i="21"/>
  <c r="E229" i="21" s="1"/>
  <c r="A228" i="21"/>
  <c r="C228" i="21"/>
  <c r="B228" i="21"/>
  <c r="F228" i="21" l="1"/>
  <c r="K228" i="21"/>
  <c r="J229" i="21"/>
  <c r="B229" i="21"/>
  <c r="C229" i="21"/>
  <c r="A229" i="21"/>
  <c r="D230" i="21"/>
  <c r="E230" i="21" s="1"/>
  <c r="F229" i="21" l="1"/>
  <c r="K229" i="21"/>
  <c r="J230" i="21"/>
  <c r="D231" i="21"/>
  <c r="E231" i="21" s="1"/>
  <c r="A230" i="21"/>
  <c r="C230" i="21"/>
  <c r="B230" i="21"/>
  <c r="F230" i="21" l="1"/>
  <c r="K230" i="21"/>
  <c r="J231" i="21"/>
  <c r="D232" i="21"/>
  <c r="E232" i="21" s="1"/>
  <c r="C231" i="21"/>
  <c r="A231" i="21"/>
  <c r="B231" i="21"/>
  <c r="F231" i="21" l="1"/>
  <c r="K231" i="21"/>
  <c r="J232" i="21"/>
  <c r="D233" i="21"/>
  <c r="E233" i="21" s="1"/>
  <c r="B232" i="21"/>
  <c r="A232" i="21"/>
  <c r="C232" i="21"/>
  <c r="F232" i="21" l="1"/>
  <c r="K232" i="21"/>
  <c r="J233" i="21"/>
  <c r="A233" i="21"/>
  <c r="D234" i="21"/>
  <c r="E234" i="21" s="1"/>
  <c r="C233" i="21"/>
  <c r="B233" i="21"/>
  <c r="F233" i="21" l="1"/>
  <c r="K233" i="21"/>
  <c r="J234" i="21"/>
  <c r="A234" i="21"/>
  <c r="D235" i="21"/>
  <c r="E235" i="21" s="1"/>
  <c r="C234" i="21"/>
  <c r="B234" i="21"/>
  <c r="F234" i="21" l="1"/>
  <c r="K234" i="21"/>
  <c r="J235" i="21"/>
  <c r="B235" i="21"/>
  <c r="A235" i="21"/>
  <c r="D236" i="21"/>
  <c r="E236" i="21" s="1"/>
  <c r="C235" i="21"/>
  <c r="F235" i="21" l="1"/>
  <c r="K235" i="21"/>
  <c r="J236" i="21"/>
  <c r="B236" i="21"/>
  <c r="C236" i="21"/>
  <c r="A236" i="21"/>
  <c r="D237" i="21"/>
  <c r="E237" i="21" s="1"/>
  <c r="F236" i="21" l="1"/>
  <c r="K236" i="21"/>
  <c r="J237" i="21"/>
  <c r="B237" i="21"/>
  <c r="A237" i="21"/>
  <c r="D238" i="21"/>
  <c r="E238" i="21" s="1"/>
  <c r="C237" i="21"/>
  <c r="F237" i="21" l="1"/>
  <c r="K237" i="21"/>
  <c r="J238" i="21"/>
  <c r="B238" i="21"/>
  <c r="A238" i="21"/>
  <c r="D239" i="21"/>
  <c r="E239" i="21" s="1"/>
  <c r="C238" i="21"/>
  <c r="F238" i="21" l="1"/>
  <c r="K238" i="21"/>
  <c r="J239" i="21"/>
  <c r="D240" i="21"/>
  <c r="E240" i="21" s="1"/>
  <c r="C239" i="21"/>
  <c r="B239" i="21"/>
  <c r="A239" i="21"/>
  <c r="F239" i="21" l="1"/>
  <c r="K239" i="21"/>
  <c r="J240" i="21"/>
  <c r="B240" i="21"/>
  <c r="A240" i="21"/>
  <c r="D241" i="21"/>
  <c r="E241" i="21" s="1"/>
  <c r="C240" i="21"/>
  <c r="F240" i="21" l="1"/>
  <c r="K240" i="21"/>
  <c r="J241" i="21"/>
  <c r="B241" i="21"/>
  <c r="D242" i="21"/>
  <c r="E242" i="21" s="1"/>
  <c r="A241" i="21"/>
  <c r="C241" i="21"/>
  <c r="F241" i="21" l="1"/>
  <c r="K241" i="21"/>
  <c r="J242" i="21"/>
  <c r="D243" i="21"/>
  <c r="E243" i="21" s="1"/>
  <c r="C242" i="21"/>
  <c r="A242" i="21"/>
  <c r="B242" i="21"/>
  <c r="F242" i="21" l="1"/>
  <c r="K242" i="21"/>
  <c r="J243" i="21"/>
  <c r="A243" i="21"/>
  <c r="D244" i="21"/>
  <c r="E244" i="21" s="1"/>
  <c r="C243" i="21"/>
  <c r="B243" i="21"/>
  <c r="F243" i="21" l="1"/>
  <c r="K243" i="21"/>
  <c r="J244" i="21"/>
  <c r="D245" i="21"/>
  <c r="E245" i="21" s="1"/>
  <c r="B244" i="21"/>
  <c r="A244" i="21"/>
  <c r="C244" i="21"/>
  <c r="F244" i="21" l="1"/>
  <c r="K244" i="21"/>
  <c r="J245" i="21"/>
  <c r="A245" i="21"/>
  <c r="D246" i="21"/>
  <c r="E246" i="21" s="1"/>
  <c r="C245" i="21"/>
  <c r="B245" i="21"/>
  <c r="F245" i="21" l="1"/>
  <c r="K245" i="21"/>
  <c r="J246" i="21"/>
  <c r="B246" i="21"/>
  <c r="D247" i="21"/>
  <c r="A246" i="21"/>
  <c r="C246" i="21"/>
  <c r="F246" i="21" l="1"/>
  <c r="K246" i="21"/>
  <c r="E247" i="21"/>
  <c r="J247" i="21"/>
  <c r="B247" i="21"/>
  <c r="A247" i="21"/>
  <c r="D248" i="21"/>
  <c r="E248" i="21" s="1"/>
  <c r="C247" i="21"/>
  <c r="F247" i="21" l="1"/>
  <c r="K247" i="21"/>
  <c r="J248" i="21"/>
  <c r="D249" i="21"/>
  <c r="E249" i="21" s="1"/>
  <c r="A248" i="21"/>
  <c r="C248" i="21"/>
  <c r="B248" i="21"/>
  <c r="F248" i="21" l="1"/>
  <c r="K248" i="21"/>
  <c r="J249" i="21"/>
  <c r="B249" i="21"/>
  <c r="A249" i="21"/>
  <c r="D250" i="21"/>
  <c r="E250" i="21" s="1"/>
  <c r="C249" i="21"/>
  <c r="F249" i="21" l="1"/>
  <c r="K249" i="21"/>
  <c r="J250" i="21"/>
  <c r="A250" i="21"/>
  <c r="D251" i="21"/>
  <c r="E251" i="21" s="1"/>
  <c r="C250" i="21"/>
  <c r="B250" i="21"/>
  <c r="F250" i="21" l="1"/>
  <c r="K250" i="21"/>
  <c r="J251" i="21"/>
  <c r="D252" i="21"/>
  <c r="E252" i="21" s="1"/>
  <c r="C251" i="21"/>
  <c r="B251" i="21"/>
  <c r="A251" i="21"/>
  <c r="F251" i="21" l="1"/>
  <c r="K251" i="21"/>
  <c r="J252" i="21"/>
  <c r="D253" i="21"/>
  <c r="E253" i="21" s="1"/>
  <c r="C252" i="21"/>
  <c r="B252" i="21"/>
  <c r="A252" i="21"/>
  <c r="F252" i="21" l="1"/>
  <c r="K252" i="21"/>
  <c r="J253" i="21"/>
  <c r="B253" i="21"/>
  <c r="D254" i="21"/>
  <c r="E254" i="21" s="1"/>
  <c r="C253" i="21"/>
  <c r="A253" i="21"/>
  <c r="F253" i="21" l="1"/>
  <c r="K253" i="21"/>
  <c r="J254" i="21"/>
  <c r="D255" i="21"/>
  <c r="E255" i="21" s="1"/>
  <c r="B254" i="21"/>
  <c r="C254" i="21"/>
  <c r="A254" i="21"/>
  <c r="F254" i="21" l="1"/>
  <c r="K254" i="21"/>
  <c r="J255" i="21"/>
  <c r="A255" i="21"/>
  <c r="D256" i="21"/>
  <c r="E256" i="21" s="1"/>
  <c r="C255" i="21"/>
  <c r="B255" i="21"/>
  <c r="F255" i="21" l="1"/>
  <c r="K255" i="21"/>
  <c r="J256" i="21"/>
  <c r="D257" i="21"/>
  <c r="E257" i="21" s="1"/>
  <c r="B256" i="21"/>
  <c r="A256" i="21"/>
  <c r="C256" i="21"/>
  <c r="F256" i="21" l="1"/>
  <c r="K256" i="21"/>
  <c r="J257" i="21"/>
  <c r="D258" i="21"/>
  <c r="E258" i="21" s="1"/>
  <c r="B257" i="21"/>
  <c r="C257" i="21"/>
  <c r="A257" i="21"/>
  <c r="F257" i="21" l="1"/>
  <c r="K257" i="21"/>
  <c r="J258" i="21"/>
  <c r="D259" i="21"/>
  <c r="E259" i="21" s="1"/>
  <c r="A258" i="21"/>
  <c r="C258" i="21"/>
  <c r="B258" i="21"/>
  <c r="F258" i="21" l="1"/>
  <c r="K258" i="21"/>
  <c r="J259" i="21"/>
  <c r="A259" i="21"/>
  <c r="D260" i="21"/>
  <c r="E260" i="21" s="1"/>
  <c r="C259" i="21"/>
  <c r="B259" i="21"/>
  <c r="F259" i="21" l="1"/>
  <c r="K259" i="21"/>
  <c r="J260" i="21"/>
  <c r="D261" i="21"/>
  <c r="E261" i="21" s="1"/>
  <c r="B260" i="21"/>
  <c r="A260" i="21"/>
  <c r="C260" i="21"/>
  <c r="F260" i="21" l="1"/>
  <c r="K260" i="21"/>
  <c r="J261" i="21"/>
  <c r="B261" i="21"/>
  <c r="C261" i="21"/>
  <c r="A261" i="21"/>
  <c r="D262" i="21"/>
  <c r="E262" i="21" s="1"/>
  <c r="F261" i="21" l="1"/>
  <c r="K261" i="21"/>
  <c r="J262" i="21"/>
  <c r="B262" i="21"/>
  <c r="D263" i="21"/>
  <c r="E263" i="21" s="1"/>
  <c r="C262" i="21"/>
  <c r="A262" i="21"/>
  <c r="F262" i="21" l="1"/>
  <c r="K262" i="21"/>
  <c r="J263" i="21"/>
  <c r="B263" i="21"/>
  <c r="A263" i="21"/>
  <c r="D264" i="21"/>
  <c r="E264" i="21" s="1"/>
  <c r="C263" i="21"/>
  <c r="F263" i="21" l="1"/>
  <c r="K263" i="21"/>
  <c r="J264" i="21"/>
  <c r="D265" i="21"/>
  <c r="E265" i="21" s="1"/>
  <c r="A264" i="21"/>
  <c r="C264" i="21"/>
  <c r="B264" i="21"/>
  <c r="F264" i="21" l="1"/>
  <c r="K264" i="21"/>
  <c r="J265" i="21"/>
  <c r="B265" i="21"/>
  <c r="A265" i="21"/>
  <c r="D266" i="21"/>
  <c r="E266" i="21" s="1"/>
  <c r="C265" i="21"/>
  <c r="F265" i="21" l="1"/>
  <c r="K265" i="21"/>
  <c r="J266" i="21"/>
  <c r="A266" i="21"/>
  <c r="D267" i="21"/>
  <c r="E267" i="21" s="1"/>
  <c r="C266" i="21"/>
  <c r="B266" i="21"/>
  <c r="F266" i="21" l="1"/>
  <c r="K266" i="21"/>
  <c r="J267" i="21"/>
  <c r="D268" i="21"/>
  <c r="E268" i="21" s="1"/>
  <c r="C267" i="21"/>
  <c r="B267" i="21"/>
  <c r="A267" i="21"/>
  <c r="F267" i="21" l="1"/>
  <c r="K267" i="21"/>
  <c r="J268" i="21"/>
  <c r="B268" i="21"/>
  <c r="C268" i="21"/>
  <c r="A268" i="21"/>
  <c r="D269" i="21"/>
  <c r="E269" i="21" s="1"/>
  <c r="F268" i="21" l="1"/>
  <c r="K268" i="21"/>
  <c r="J269" i="21"/>
  <c r="B269" i="21"/>
  <c r="D270" i="21"/>
  <c r="E270" i="21" s="1"/>
  <c r="C269" i="21"/>
  <c r="A269" i="21"/>
  <c r="F269" i="21" l="1"/>
  <c r="K269" i="21"/>
  <c r="J270" i="21"/>
  <c r="D271" i="21"/>
  <c r="E271" i="21" s="1"/>
  <c r="C270" i="21"/>
  <c r="A270" i="21"/>
  <c r="B270" i="21"/>
  <c r="F270" i="21" l="1"/>
  <c r="K270" i="21"/>
  <c r="J271" i="21"/>
  <c r="D272" i="21"/>
  <c r="E272" i="21" s="1"/>
  <c r="B271" i="21"/>
  <c r="C271" i="21"/>
  <c r="A271" i="21"/>
  <c r="F271" i="21" l="1"/>
  <c r="K271" i="21"/>
  <c r="J272" i="21"/>
  <c r="B272" i="21"/>
  <c r="A272" i="21"/>
  <c r="D273" i="21"/>
  <c r="E273" i="21" s="1"/>
  <c r="C272" i="21"/>
  <c r="F272" i="21" l="1"/>
  <c r="K272" i="21"/>
  <c r="J273" i="21"/>
  <c r="C273" i="21"/>
  <c r="B273" i="21"/>
  <c r="A273" i="21"/>
  <c r="D274" i="21"/>
  <c r="E274" i="21" s="1"/>
  <c r="F273" i="21" l="1"/>
  <c r="K273" i="21"/>
  <c r="J274" i="21"/>
  <c r="D275" i="21"/>
  <c r="E275" i="21" s="1"/>
  <c r="C274" i="21"/>
  <c r="A274" i="21"/>
  <c r="B274" i="21"/>
  <c r="F274" i="21" l="1"/>
  <c r="K274" i="21"/>
  <c r="J275" i="21"/>
  <c r="B275" i="21"/>
  <c r="A275" i="21"/>
  <c r="D276" i="21"/>
  <c r="E276" i="21" s="1"/>
  <c r="C275" i="21"/>
  <c r="F275" i="21" l="1"/>
  <c r="K275" i="21"/>
  <c r="J276" i="21"/>
  <c r="D277" i="21"/>
  <c r="E277" i="21" s="1"/>
  <c r="B276" i="21"/>
  <c r="A276" i="21"/>
  <c r="C276" i="21"/>
  <c r="F276" i="21" l="1"/>
  <c r="K276" i="21"/>
  <c r="J277" i="21"/>
  <c r="B277" i="21"/>
  <c r="A277" i="21"/>
  <c r="D278" i="21"/>
  <c r="E278" i="21" s="1"/>
  <c r="C277" i="21"/>
  <c r="F277" i="21" l="1"/>
  <c r="K277" i="21"/>
  <c r="J278" i="21"/>
  <c r="B278" i="21"/>
  <c r="D279" i="21"/>
  <c r="E279" i="21" s="1"/>
  <c r="C278" i="21"/>
  <c r="A278" i="21"/>
  <c r="F278" i="21" l="1"/>
  <c r="K278" i="21"/>
  <c r="J279" i="21"/>
  <c r="B279" i="21"/>
  <c r="A279" i="21"/>
  <c r="D280" i="21"/>
  <c r="E280" i="21" s="1"/>
  <c r="C279" i="21"/>
  <c r="F279" i="21" l="1"/>
  <c r="K279" i="21"/>
  <c r="J280" i="21"/>
  <c r="B280" i="21"/>
  <c r="C280" i="21"/>
  <c r="A280" i="21"/>
  <c r="D281" i="21"/>
  <c r="E281" i="21" s="1"/>
  <c r="F280" i="21" l="1"/>
  <c r="K280" i="21"/>
  <c r="J281" i="21"/>
  <c r="B281" i="21"/>
  <c r="A281" i="21"/>
  <c r="D282" i="21"/>
  <c r="E282" i="21" s="1"/>
  <c r="C281" i="21"/>
  <c r="F281" i="21" l="1"/>
  <c r="K281" i="21"/>
  <c r="J282" i="21"/>
  <c r="A282" i="21"/>
  <c r="B282" i="21"/>
  <c r="D283" i="21"/>
  <c r="E283" i="21" s="1"/>
  <c r="C282" i="21"/>
  <c r="F282" i="21" l="1"/>
  <c r="K282" i="21"/>
  <c r="J283" i="21"/>
  <c r="D284" i="21"/>
  <c r="E284" i="21" s="1"/>
  <c r="C283" i="21"/>
  <c r="B283" i="21"/>
  <c r="A283" i="21"/>
  <c r="F283" i="21" l="1"/>
  <c r="K283" i="21"/>
  <c r="J284" i="21"/>
  <c r="B284" i="21"/>
  <c r="A284" i="21"/>
  <c r="D285" i="21"/>
  <c r="E285" i="21" s="1"/>
  <c r="C284" i="21"/>
  <c r="F284" i="21" l="1"/>
  <c r="K284" i="21"/>
  <c r="J285" i="21"/>
  <c r="B285" i="21"/>
  <c r="D286" i="21"/>
  <c r="E286" i="21" s="1"/>
  <c r="C285" i="21"/>
  <c r="A285" i="21"/>
  <c r="F285" i="21" l="1"/>
  <c r="K285" i="21"/>
  <c r="J286" i="21"/>
  <c r="D287" i="21"/>
  <c r="E287" i="21" s="1"/>
  <c r="C286" i="21"/>
  <c r="B286" i="21"/>
  <c r="A286" i="21"/>
  <c r="F286" i="21" l="1"/>
  <c r="K286" i="21"/>
  <c r="J287" i="21"/>
  <c r="B287" i="21"/>
  <c r="A287" i="21"/>
  <c r="D288" i="21"/>
  <c r="E288" i="21" s="1"/>
  <c r="C287" i="21"/>
  <c r="F287" i="21" l="1"/>
  <c r="K287" i="21"/>
  <c r="J288" i="21"/>
  <c r="B288" i="21"/>
  <c r="A288" i="21"/>
  <c r="D289" i="21"/>
  <c r="E289" i="21" s="1"/>
  <c r="C288" i="21"/>
  <c r="F288" i="21" l="1"/>
  <c r="K288" i="21"/>
  <c r="J289" i="21"/>
  <c r="D290" i="21"/>
  <c r="E290" i="21" s="1"/>
  <c r="C289" i="21"/>
  <c r="B289" i="21"/>
  <c r="A289" i="21"/>
  <c r="F289" i="21" l="1"/>
  <c r="K289" i="21"/>
  <c r="J290" i="21"/>
  <c r="B290" i="21"/>
  <c r="D291" i="21"/>
  <c r="E291" i="21" s="1"/>
  <c r="C290" i="21"/>
  <c r="A290" i="21"/>
  <c r="F290" i="21" l="1"/>
  <c r="K290" i="21"/>
  <c r="J291" i="21"/>
  <c r="D292" i="21"/>
  <c r="E292" i="21" s="1"/>
  <c r="B291" i="21"/>
  <c r="A291" i="21"/>
  <c r="C291" i="21"/>
  <c r="F291" i="21" l="1"/>
  <c r="K291" i="21"/>
  <c r="J292" i="21"/>
  <c r="B292" i="21"/>
  <c r="D293" i="21"/>
  <c r="E293" i="21" s="1"/>
  <c r="A292" i="21"/>
  <c r="C292" i="21"/>
  <c r="F292" i="21" l="1"/>
  <c r="K292" i="21"/>
  <c r="J293" i="21"/>
  <c r="D294" i="21"/>
  <c r="E294" i="21" s="1"/>
  <c r="B293" i="21"/>
  <c r="A293" i="21"/>
  <c r="C293" i="21"/>
  <c r="F293" i="21" l="1"/>
  <c r="K293" i="21"/>
  <c r="J294" i="21"/>
  <c r="B294" i="21"/>
  <c r="A294" i="21"/>
  <c r="D295" i="21"/>
  <c r="E295" i="21" s="1"/>
  <c r="C294" i="21"/>
  <c r="F294" i="21" l="1"/>
  <c r="K294" i="21"/>
  <c r="J295" i="21"/>
  <c r="B295" i="21"/>
  <c r="D296" i="21"/>
  <c r="E296" i="21" s="1"/>
  <c r="A295" i="21"/>
  <c r="C295" i="21"/>
  <c r="F295" i="21" l="1"/>
  <c r="K295" i="21"/>
  <c r="J296" i="21"/>
  <c r="B296" i="21"/>
  <c r="C296" i="21"/>
  <c r="A296" i="21"/>
  <c r="D297" i="21"/>
  <c r="E297" i="21" s="1"/>
  <c r="F296" i="21" l="1"/>
  <c r="K296" i="21"/>
  <c r="J297" i="21"/>
  <c r="B297" i="21"/>
  <c r="A297" i="21"/>
  <c r="D298" i="21"/>
  <c r="E298" i="21" s="1"/>
  <c r="C297" i="21"/>
  <c r="F297" i="21" l="1"/>
  <c r="K297" i="21"/>
  <c r="J298" i="21"/>
  <c r="A298" i="21"/>
  <c r="B298" i="21"/>
  <c r="D299" i="21"/>
  <c r="E299" i="21" s="1"/>
  <c r="C298" i="21"/>
  <c r="F298" i="21" l="1"/>
  <c r="K298" i="21"/>
  <c r="J299" i="21"/>
  <c r="B299" i="21"/>
  <c r="C299" i="21"/>
  <c r="D300" i="21"/>
  <c r="E300" i="21" s="1"/>
  <c r="A299" i="21"/>
  <c r="F299" i="21" l="1"/>
  <c r="K299" i="21"/>
  <c r="J300" i="21"/>
  <c r="C300" i="21"/>
  <c r="D301" i="21"/>
  <c r="E301" i="21" s="1"/>
  <c r="B300" i="21"/>
  <c r="A300" i="21"/>
  <c r="F300" i="21" l="1"/>
  <c r="K300" i="21"/>
  <c r="J301" i="21"/>
  <c r="C301" i="21"/>
  <c r="A301" i="21"/>
  <c r="B301" i="21"/>
  <c r="D302" i="21"/>
  <c r="E302" i="21" s="1"/>
  <c r="F301" i="21" l="1"/>
  <c r="K301" i="21"/>
  <c r="J302" i="21"/>
  <c r="A302" i="21"/>
  <c r="D303" i="21"/>
  <c r="E303" i="21" s="1"/>
  <c r="C302" i="21"/>
  <c r="B302" i="21"/>
  <c r="F302" i="21" l="1"/>
  <c r="K302" i="21"/>
  <c r="J303" i="21"/>
  <c r="C303" i="21"/>
  <c r="A303" i="21"/>
  <c r="B303" i="21"/>
  <c r="D304" i="21"/>
  <c r="E304" i="21" s="1"/>
  <c r="F303" i="21" l="1"/>
  <c r="K303" i="21"/>
  <c r="J304" i="21"/>
  <c r="C304" i="21"/>
  <c r="D305" i="21"/>
  <c r="E305" i="21" s="1"/>
  <c r="B304" i="21"/>
  <c r="A304" i="21"/>
  <c r="F304" i="21" l="1"/>
  <c r="K304" i="21"/>
  <c r="J305" i="21"/>
  <c r="C305" i="21"/>
  <c r="D306" i="21"/>
  <c r="E306" i="21" s="1"/>
  <c r="B305" i="21"/>
  <c r="A305" i="21"/>
  <c r="F305" i="21" l="1"/>
  <c r="K305" i="21"/>
  <c r="J306" i="21"/>
  <c r="A306" i="21"/>
  <c r="C306" i="21"/>
  <c r="D307" i="21"/>
  <c r="E307" i="21" s="1"/>
  <c r="B306" i="21"/>
  <c r="F306" i="21" l="1"/>
  <c r="K306" i="21"/>
  <c r="J307" i="21"/>
  <c r="D308" i="21"/>
  <c r="E308" i="21" s="1"/>
  <c r="C307" i="21"/>
  <c r="B307" i="21"/>
  <c r="A307" i="21"/>
  <c r="F307" i="21" l="1"/>
  <c r="K307" i="21"/>
  <c r="J308" i="21"/>
  <c r="C308" i="21"/>
  <c r="B308" i="21"/>
  <c r="A308" i="21"/>
  <c r="D309" i="21"/>
  <c r="E309" i="21" s="1"/>
  <c r="F308" i="21" l="1"/>
  <c r="K308" i="21"/>
  <c r="J309" i="21"/>
  <c r="C309" i="21"/>
  <c r="B309" i="21"/>
  <c r="D310" i="21"/>
  <c r="E310" i="21" s="1"/>
  <c r="A309" i="21"/>
  <c r="F309" i="21" l="1"/>
  <c r="K309" i="21"/>
  <c r="J310" i="21"/>
  <c r="A310" i="21"/>
  <c r="C310" i="21"/>
  <c r="D311" i="21"/>
  <c r="E311" i="21" s="1"/>
  <c r="B310" i="21"/>
  <c r="F310" i="21" l="1"/>
  <c r="K310" i="21"/>
  <c r="J311" i="21"/>
  <c r="C311" i="21"/>
  <c r="B311" i="21"/>
  <c r="A311" i="21"/>
  <c r="D312" i="21"/>
  <c r="E312" i="21" s="1"/>
  <c r="F311" i="21" l="1"/>
  <c r="K311" i="21"/>
  <c r="J312" i="21"/>
  <c r="A312" i="21"/>
  <c r="B312" i="21"/>
  <c r="D313" i="21"/>
  <c r="E313" i="21" s="1"/>
  <c r="C312" i="21"/>
  <c r="F312" i="21" l="1"/>
  <c r="K312" i="21"/>
  <c r="J313" i="21"/>
  <c r="D314" i="21"/>
  <c r="E314" i="21" s="1"/>
  <c r="A313" i="21"/>
  <c r="C313" i="21"/>
  <c r="B313" i="21"/>
  <c r="F313" i="21" l="1"/>
  <c r="K313" i="21"/>
  <c r="J314" i="21"/>
  <c r="C314" i="21"/>
  <c r="B314" i="21"/>
  <c r="A314" i="21"/>
  <c r="D315" i="21"/>
  <c r="E315" i="21" s="1"/>
  <c r="F314" i="21" l="1"/>
  <c r="K314" i="21"/>
  <c r="J315" i="21"/>
  <c r="C315" i="21"/>
  <c r="B315" i="21"/>
  <c r="A315" i="21"/>
  <c r="D316" i="21"/>
  <c r="E316" i="21" s="1"/>
  <c r="F315" i="21" l="1"/>
  <c r="K315" i="21"/>
  <c r="J316" i="21"/>
  <c r="A316" i="21"/>
  <c r="C316" i="21"/>
  <c r="B316" i="21"/>
  <c r="D317" i="21"/>
  <c r="E317" i="21" s="1"/>
  <c r="F316" i="21" l="1"/>
  <c r="K316" i="21"/>
  <c r="J317" i="21"/>
  <c r="C317" i="21"/>
  <c r="A317" i="21"/>
  <c r="D318" i="21"/>
  <c r="E318" i="21" s="1"/>
  <c r="B317" i="21"/>
  <c r="F317" i="21" l="1"/>
  <c r="K317" i="21"/>
  <c r="J318" i="21"/>
  <c r="C318" i="21"/>
  <c r="B318" i="21"/>
  <c r="A318" i="21"/>
  <c r="D319" i="21"/>
  <c r="E319" i="21" s="1"/>
  <c r="F318" i="21" l="1"/>
  <c r="K318" i="21"/>
  <c r="J319" i="21"/>
  <c r="C319" i="21"/>
  <c r="A319" i="21"/>
  <c r="D320" i="21"/>
  <c r="E320" i="21" s="1"/>
  <c r="B319" i="21"/>
  <c r="F319" i="21" l="1"/>
  <c r="K319" i="21"/>
  <c r="J320" i="21"/>
  <c r="A320" i="21"/>
  <c r="D321" i="21"/>
  <c r="E321" i="21" s="1"/>
  <c r="C320" i="21"/>
  <c r="B320" i="21"/>
  <c r="F320" i="21" l="1"/>
  <c r="K320" i="21"/>
  <c r="J321" i="21"/>
  <c r="D322" i="21"/>
  <c r="E322" i="21" s="1"/>
  <c r="C321" i="21"/>
  <c r="B321" i="21"/>
  <c r="A321" i="21"/>
  <c r="F321" i="21" l="1"/>
  <c r="K321" i="21"/>
  <c r="J322" i="21"/>
  <c r="C322" i="21"/>
  <c r="B322" i="21"/>
  <c r="A322" i="21"/>
  <c r="D323" i="21"/>
  <c r="E323" i="21" s="1"/>
  <c r="F322" i="21" l="1"/>
  <c r="K322" i="21"/>
  <c r="J323" i="21"/>
  <c r="C323" i="21"/>
  <c r="B323" i="21"/>
  <c r="A323" i="21"/>
  <c r="D324" i="21"/>
  <c r="E324" i="21" s="1"/>
  <c r="F323" i="21" l="1"/>
  <c r="K323" i="21"/>
  <c r="J324" i="21"/>
  <c r="A324" i="21"/>
  <c r="C324" i="21"/>
  <c r="D325" i="21"/>
  <c r="E325" i="21" s="1"/>
  <c r="B324" i="21"/>
  <c r="F324" i="21" l="1"/>
  <c r="K324" i="21"/>
  <c r="J325" i="21"/>
  <c r="C325" i="21"/>
  <c r="B325" i="21"/>
  <c r="D326" i="21"/>
  <c r="E326" i="21" s="1"/>
  <c r="A325" i="21"/>
  <c r="F325" i="21" l="1"/>
  <c r="K325" i="21"/>
  <c r="J326" i="21"/>
  <c r="A326" i="21"/>
  <c r="C326" i="21"/>
  <c r="D327" i="21"/>
  <c r="E327" i="21" s="1"/>
  <c r="B326" i="21"/>
  <c r="F326" i="21" l="1"/>
  <c r="K326" i="21"/>
  <c r="J327" i="21"/>
  <c r="A327" i="21"/>
  <c r="D328" i="21"/>
  <c r="E328" i="21" s="1"/>
  <c r="C327" i="21"/>
  <c r="B327" i="21"/>
  <c r="F327" i="21" l="1"/>
  <c r="K327" i="21"/>
  <c r="J328" i="21"/>
  <c r="C328" i="21"/>
  <c r="D329" i="21"/>
  <c r="E329" i="21" s="1"/>
  <c r="B328" i="21"/>
  <c r="A328" i="21"/>
  <c r="F328" i="21" l="1"/>
  <c r="K328" i="21"/>
  <c r="J329" i="21"/>
  <c r="D330" i="21"/>
  <c r="E330" i="21" s="1"/>
  <c r="B329" i="21"/>
  <c r="A329" i="21"/>
  <c r="C329" i="21"/>
  <c r="F329" i="21" l="1"/>
  <c r="K329" i="21"/>
  <c r="J330" i="21"/>
  <c r="A330" i="21"/>
  <c r="C330" i="21"/>
  <c r="D331" i="21"/>
  <c r="E331" i="21" s="1"/>
  <c r="B330" i="21"/>
  <c r="F330" i="21" l="1"/>
  <c r="K330" i="21"/>
  <c r="J331" i="21"/>
  <c r="A331" i="21"/>
  <c r="B331" i="21"/>
  <c r="D332" i="21"/>
  <c r="E332" i="21" s="1"/>
  <c r="C331" i="21"/>
  <c r="F331" i="21" l="1"/>
  <c r="K331" i="21"/>
  <c r="J332" i="21"/>
  <c r="A332" i="21"/>
  <c r="B332" i="21"/>
  <c r="D333" i="21"/>
  <c r="E333" i="21" s="1"/>
  <c r="C332" i="21"/>
  <c r="F332" i="21" l="1"/>
  <c r="K332" i="21"/>
  <c r="J333" i="21"/>
  <c r="A333" i="21"/>
  <c r="D334" i="21"/>
  <c r="E334" i="21" s="1"/>
  <c r="C333" i="21"/>
  <c r="B333" i="21"/>
  <c r="F333" i="21" l="1"/>
  <c r="K333" i="21"/>
  <c r="J334" i="21"/>
  <c r="C334" i="21"/>
  <c r="B334" i="21"/>
  <c r="A334" i="21"/>
  <c r="D335" i="21"/>
  <c r="E335" i="21" s="1"/>
  <c r="F334" i="21" l="1"/>
  <c r="K334" i="21"/>
  <c r="J335" i="21"/>
  <c r="C335" i="21"/>
  <c r="B335" i="21"/>
  <c r="A335" i="21"/>
  <c r="D336" i="21"/>
  <c r="E336" i="21" s="1"/>
  <c r="F335" i="21" l="1"/>
  <c r="K335" i="21"/>
  <c r="J336" i="21"/>
  <c r="D337" i="21"/>
  <c r="E337" i="21" s="1"/>
  <c r="A336" i="21"/>
  <c r="C336" i="21"/>
  <c r="B336" i="21"/>
  <c r="F336" i="21" l="1"/>
  <c r="K336" i="21"/>
  <c r="J337" i="21"/>
  <c r="C337" i="21"/>
  <c r="A337" i="21"/>
  <c r="B337" i="21"/>
  <c r="D338" i="21"/>
  <c r="E338" i="21" s="1"/>
  <c r="F337" i="21" l="1"/>
  <c r="K337" i="21"/>
  <c r="J338" i="21"/>
  <c r="C338" i="21"/>
  <c r="B338" i="21"/>
  <c r="A338" i="21"/>
  <c r="D339" i="21"/>
  <c r="E339" i="21" s="1"/>
  <c r="F338" i="21" l="1"/>
  <c r="K338" i="21"/>
  <c r="J339" i="21"/>
  <c r="C339" i="21"/>
  <c r="A339" i="21"/>
  <c r="D340" i="21"/>
  <c r="E340" i="21" s="1"/>
  <c r="B339" i="21"/>
  <c r="F339" i="21" l="1"/>
  <c r="K339" i="21"/>
  <c r="J340" i="21"/>
  <c r="A340" i="21"/>
  <c r="C340" i="21"/>
  <c r="B340" i="21"/>
  <c r="D341" i="21"/>
  <c r="E341" i="21" s="1"/>
  <c r="F340" i="21" l="1"/>
  <c r="K340" i="21"/>
  <c r="J341" i="21"/>
  <c r="D342" i="21"/>
  <c r="E342" i="21" s="1"/>
  <c r="B341" i="21"/>
  <c r="A341" i="21"/>
  <c r="C341" i="21"/>
  <c r="F341" i="21" l="1"/>
  <c r="K341" i="21"/>
  <c r="J342" i="21"/>
  <c r="D343" i="21"/>
  <c r="E343" i="21" s="1"/>
  <c r="A342" i="21"/>
  <c r="C342" i="21"/>
  <c r="B342" i="21"/>
  <c r="F342" i="21" l="1"/>
  <c r="K342" i="21"/>
  <c r="J343" i="21"/>
  <c r="B343" i="21"/>
  <c r="D344" i="21"/>
  <c r="E344" i="21" s="1"/>
  <c r="C343" i="21"/>
  <c r="A343" i="21"/>
  <c r="F343" i="21" l="1"/>
  <c r="K343" i="21"/>
  <c r="J344" i="21"/>
  <c r="B344" i="21"/>
  <c r="A344" i="21"/>
  <c r="D345" i="21"/>
  <c r="E345" i="21" s="1"/>
  <c r="C344" i="21"/>
  <c r="F344" i="21" l="1"/>
  <c r="K344" i="21"/>
  <c r="J345" i="21"/>
  <c r="B345" i="21"/>
  <c r="D346" i="21"/>
  <c r="E346" i="21" s="1"/>
  <c r="A345" i="21"/>
  <c r="C345" i="21"/>
  <c r="F345" i="21" l="1"/>
  <c r="K345" i="21"/>
  <c r="J346" i="21"/>
  <c r="B346" i="21"/>
  <c r="A346" i="21"/>
  <c r="D347" i="21"/>
  <c r="E347" i="21" s="1"/>
  <c r="C346" i="21"/>
  <c r="F346" i="21" l="1"/>
  <c r="K346" i="21"/>
  <c r="J347" i="21"/>
  <c r="B347" i="21"/>
  <c r="D348" i="21"/>
  <c r="E348" i="21" s="1"/>
  <c r="C347" i="21"/>
  <c r="A347" i="21"/>
  <c r="F347" i="21" l="1"/>
  <c r="K347" i="21"/>
  <c r="J348" i="21"/>
  <c r="B348" i="21"/>
  <c r="A348" i="21"/>
  <c r="D349" i="21"/>
  <c r="E349" i="21" s="1"/>
  <c r="C348" i="21"/>
  <c r="F348" i="21" l="1"/>
  <c r="K348" i="21"/>
  <c r="J349" i="21"/>
  <c r="B349" i="21"/>
  <c r="C349" i="21"/>
  <c r="A349" i="21"/>
  <c r="D350" i="21"/>
  <c r="E350" i="21" s="1"/>
  <c r="F349" i="21" l="1"/>
  <c r="K349" i="21"/>
  <c r="J350" i="21"/>
  <c r="B350" i="21"/>
  <c r="A350" i="21"/>
  <c r="D351" i="21"/>
  <c r="E351" i="21" s="1"/>
  <c r="C350" i="21"/>
  <c r="F350" i="21" l="1"/>
  <c r="K350" i="21"/>
  <c r="J351" i="21"/>
  <c r="B351" i="21"/>
  <c r="A351" i="21"/>
  <c r="D352" i="21"/>
  <c r="E352" i="21" s="1"/>
  <c r="C351" i="21"/>
  <c r="F351" i="21" l="1"/>
  <c r="K351" i="21"/>
  <c r="J352" i="21"/>
  <c r="D353" i="21"/>
  <c r="E353" i="21" s="1"/>
  <c r="C352" i="21"/>
  <c r="B352" i="21"/>
  <c r="A352" i="21"/>
  <c r="F352" i="21" l="1"/>
  <c r="K352" i="21"/>
  <c r="J353" i="21"/>
  <c r="B353" i="21"/>
  <c r="A353" i="21"/>
  <c r="D354" i="21"/>
  <c r="E354" i="21" s="1"/>
  <c r="C353" i="21"/>
  <c r="F353" i="21" l="1"/>
  <c r="K353" i="21"/>
  <c r="J354" i="21"/>
  <c r="B354" i="21"/>
  <c r="D355" i="21"/>
  <c r="E355" i="21" s="1"/>
  <c r="C354" i="21"/>
  <c r="A354" i="21"/>
  <c r="F354" i="21" l="1"/>
  <c r="K354" i="21"/>
  <c r="J355" i="21"/>
  <c r="C355" i="21"/>
  <c r="B355" i="21"/>
  <c r="A355" i="21"/>
  <c r="D356" i="21"/>
  <c r="E356" i="21" s="1"/>
  <c r="F355" i="21" l="1"/>
  <c r="K355" i="21"/>
  <c r="J356" i="21"/>
  <c r="B356" i="21"/>
  <c r="C356" i="21"/>
  <c r="A356" i="21"/>
  <c r="D357" i="21"/>
  <c r="E357" i="21" s="1"/>
  <c r="F356" i="21" l="1"/>
  <c r="K356" i="21"/>
  <c r="J357" i="21"/>
  <c r="B357" i="21"/>
  <c r="A357" i="21"/>
  <c r="D358" i="21"/>
  <c r="E358" i="21" s="1"/>
  <c r="C357" i="21"/>
  <c r="F357" i="21" l="1"/>
  <c r="K357" i="21"/>
  <c r="J358" i="21"/>
  <c r="D359" i="21"/>
  <c r="E359" i="21" s="1"/>
  <c r="C358" i="21"/>
  <c r="B358" i="21"/>
  <c r="A358" i="21"/>
  <c r="F358" i="21" l="1"/>
  <c r="K358" i="21"/>
  <c r="J359" i="21"/>
  <c r="D360" i="21"/>
  <c r="E360" i="21" s="1"/>
  <c r="C359" i="21"/>
  <c r="B359" i="21"/>
  <c r="A359" i="21"/>
  <c r="F359" i="21" l="1"/>
  <c r="K359" i="21"/>
  <c r="J360" i="21"/>
  <c r="B360" i="21"/>
  <c r="D361" i="21"/>
  <c r="E361" i="21" s="1"/>
  <c r="C360" i="21"/>
  <c r="A360" i="21"/>
  <c r="F360" i="21" l="1"/>
  <c r="K360" i="21"/>
  <c r="J361" i="21"/>
  <c r="D362" i="21"/>
  <c r="E362" i="21" s="1"/>
  <c r="B361" i="21"/>
  <c r="A361" i="21"/>
  <c r="C361" i="21"/>
  <c r="F361" i="21" l="1"/>
  <c r="K361" i="21"/>
  <c r="J362" i="21"/>
  <c r="D363" i="21"/>
  <c r="E363" i="21" s="1"/>
  <c r="B362" i="21"/>
  <c r="A362" i="21"/>
  <c r="C362" i="21"/>
  <c r="F362" i="21" l="1"/>
  <c r="K362" i="21"/>
  <c r="J363" i="21"/>
  <c r="A363" i="21"/>
  <c r="D364" i="21"/>
  <c r="E364" i="21" s="1"/>
  <c r="C363" i="21"/>
  <c r="B363" i="21"/>
  <c r="F363" i="21" l="1"/>
  <c r="K363" i="21"/>
  <c r="J364" i="21"/>
  <c r="B364" i="21"/>
  <c r="A364" i="21"/>
  <c r="D365" i="21"/>
  <c r="E365" i="21" s="1"/>
  <c r="C364" i="21"/>
  <c r="F364" i="21" l="1"/>
  <c r="K364" i="21"/>
  <c r="J365" i="21"/>
  <c r="C365" i="21"/>
  <c r="B365" i="21"/>
  <c r="A365" i="21"/>
  <c r="D366" i="21"/>
  <c r="E366" i="21" s="1"/>
  <c r="F365" i="21" l="1"/>
  <c r="K365" i="21"/>
  <c r="J366" i="21"/>
  <c r="B366" i="21"/>
  <c r="A366" i="21"/>
  <c r="D367" i="21"/>
  <c r="E367" i="21" s="1"/>
  <c r="C366" i="21"/>
  <c r="F366" i="21" l="1"/>
  <c r="K366" i="21"/>
  <c r="J367" i="21"/>
  <c r="D368" i="21"/>
  <c r="C367" i="21"/>
  <c r="B367" i="21"/>
  <c r="A367" i="21"/>
  <c r="E368" i="21" l="1"/>
  <c r="D369" i="21"/>
  <c r="F367" i="21"/>
  <c r="K367" i="21"/>
  <c r="J368" i="21"/>
  <c r="B368" i="21"/>
  <c r="A368" i="21"/>
  <c r="E369" i="21"/>
  <c r="C368" i="21"/>
  <c r="F368" i="21" l="1"/>
  <c r="K368" i="21"/>
  <c r="J369" i="21"/>
  <c r="B369" i="21"/>
  <c r="A369" i="21"/>
  <c r="C369" i="21"/>
  <c r="F369" i="21" l="1"/>
  <c r="K369" i="21"/>
  <c r="H6" i="30" l="1"/>
  <c r="H21" i="30"/>
  <c r="G6" i="12"/>
  <c r="G9" i="30"/>
  <c r="G15" i="12"/>
  <c r="H18" i="12"/>
  <c r="G15" i="30"/>
  <c r="H6" i="12"/>
  <c r="H9" i="30"/>
  <c r="G18" i="30"/>
  <c r="G6" i="30"/>
  <c r="G12" i="12"/>
  <c r="G18" i="12"/>
  <c r="G21" i="30"/>
  <c r="H15" i="30"/>
  <c r="G12" i="30"/>
  <c r="G9" i="12"/>
  <c r="H12" i="12"/>
  <c r="G21" i="12"/>
  <c r="H12" i="30"/>
  <c r="H18" i="30"/>
  <c r="H9" i="12"/>
  <c r="H15" i="12"/>
  <c r="H21" i="12"/>
  <c r="B47" i="3" l="1"/>
  <c r="B47" i="1"/>
  <c r="B34" i="1"/>
  <c r="B34" i="3"/>
  <c r="B73" i="3"/>
  <c r="B73" i="1"/>
  <c r="C34" i="28"/>
  <c r="C36" i="28" s="1"/>
  <c r="C34" i="29"/>
  <c r="C36" i="29" s="1"/>
  <c r="C8" i="28"/>
  <c r="C10" i="28" s="1"/>
  <c r="C8" i="29"/>
  <c r="C10" i="29" s="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B36" i="3" l="1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B75" i="1"/>
  <c r="D73" i="1"/>
  <c r="D47" i="1"/>
  <c r="B49" i="1"/>
  <c r="B75" i="3"/>
  <c r="D73" i="3"/>
  <c r="B49" i="3"/>
  <c r="D47" i="3"/>
  <c r="G73" i="3" l="1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I36" i="28" l="1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I24" i="4" s="1"/>
  <c r="E15" i="4"/>
  <c r="C8" i="6"/>
  <c r="C10" i="6" s="1"/>
  <c r="C8" i="5"/>
  <c r="C10" i="5" s="1"/>
  <c r="H6" i="25"/>
  <c r="F6" i="25"/>
  <c r="F9" i="25"/>
  <c r="G9" i="25"/>
  <c r="H9" i="25"/>
  <c r="E19" i="4" l="1"/>
  <c r="E24" i="4" s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60" i="6" l="1"/>
  <c r="C62" i="6" s="1"/>
  <c r="C60" i="5"/>
  <c r="C62" i="5" s="1"/>
  <c r="C47" i="5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D8" i="5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G8" i="5"/>
  <c r="I8" i="5" s="1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K24" i="4" s="1"/>
  <c r="I78" i="5"/>
  <c r="I82" i="5" s="1"/>
  <c r="I78" i="6"/>
  <c r="I82" i="6" s="1"/>
  <c r="M13" i="4"/>
  <c r="M15" i="4" s="1"/>
  <c r="M19" i="4" s="1"/>
  <c r="M24" i="4" s="1"/>
  <c r="G28" i="53" l="1"/>
  <c r="G28" i="56"/>
  <c r="G28" i="57"/>
  <c r="M30" i="58" l="1"/>
  <c r="K30" i="58"/>
  <c r="G28" i="54"/>
  <c r="G27" i="52"/>
  <c r="G28" i="55"/>
  <c r="G27" i="53"/>
  <c r="G27" i="57"/>
  <c r="G27" i="56"/>
  <c r="G28" i="52"/>
  <c r="C30" i="58" s="1"/>
  <c r="D30" i="58"/>
  <c r="H28" i="57"/>
  <c r="M31" i="58" s="1"/>
  <c r="H28" i="56"/>
  <c r="K31" i="58" s="1"/>
  <c r="H28" i="54"/>
  <c r="G31" i="58" s="1"/>
  <c r="H27" i="52"/>
  <c r="H28" i="55"/>
  <c r="H31" i="58" s="1"/>
  <c r="H28" i="53"/>
  <c r="D31" i="58" s="1"/>
  <c r="D39" i="62" l="1"/>
  <c r="D16" i="62"/>
  <c r="D50" i="62"/>
  <c r="D64" i="62"/>
  <c r="G27" i="55"/>
  <c r="H28" i="52"/>
  <c r="C31" i="58" s="1"/>
  <c r="E31" i="58" s="1"/>
  <c r="H27" i="56"/>
  <c r="H27" i="57"/>
  <c r="H27" i="53"/>
  <c r="C10" i="58"/>
  <c r="I31" i="58"/>
  <c r="G27" i="54"/>
  <c r="K9" i="58"/>
  <c r="M9" i="58"/>
  <c r="H30" i="58"/>
  <c r="C9" i="58"/>
  <c r="I28" i="53"/>
  <c r="D32" i="58" s="1"/>
  <c r="I28" i="52"/>
  <c r="C32" i="58" s="1"/>
  <c r="I28" i="55"/>
  <c r="H32" i="58" s="1"/>
  <c r="I28" i="54"/>
  <c r="G32" i="58" s="1"/>
  <c r="I28" i="56"/>
  <c r="K32" i="58" s="1"/>
  <c r="I28" i="57"/>
  <c r="M32" i="58" s="1"/>
  <c r="E30" i="58"/>
  <c r="D9" i="58"/>
  <c r="G30" i="58"/>
  <c r="I32" i="58" l="1"/>
  <c r="E32" i="58"/>
  <c r="E39" i="62"/>
  <c r="D27" i="62"/>
  <c r="E64" i="62"/>
  <c r="E50" i="62"/>
  <c r="E16" i="62"/>
  <c r="D75" i="62"/>
  <c r="D87" i="62"/>
  <c r="I27" i="52"/>
  <c r="I27" i="53"/>
  <c r="I27" i="57"/>
  <c r="I27" i="56"/>
  <c r="H27" i="55"/>
  <c r="G9" i="58"/>
  <c r="K10" i="58"/>
  <c r="H9" i="58"/>
  <c r="I30" i="58"/>
  <c r="H27" i="54"/>
  <c r="E9" i="58"/>
  <c r="D10" i="58"/>
  <c r="E10" i="58" s="1"/>
  <c r="M10" i="58"/>
  <c r="D88" i="62" l="1"/>
  <c r="E75" i="62"/>
  <c r="F39" i="62"/>
  <c r="F50" i="62"/>
  <c r="F64" i="62"/>
  <c r="F16" i="62"/>
  <c r="E27" i="62"/>
  <c r="E87" i="62"/>
  <c r="D99" i="62"/>
  <c r="I27" i="55"/>
  <c r="G10" i="58"/>
  <c r="I9" i="58"/>
  <c r="H10" i="58"/>
  <c r="K11" i="58"/>
  <c r="M11" i="58"/>
  <c r="D11" i="58"/>
  <c r="C11" i="58"/>
  <c r="I27" i="54"/>
  <c r="D100" i="62" l="1"/>
  <c r="E88" i="62"/>
  <c r="F27" i="62"/>
  <c r="G16" i="62"/>
  <c r="G50" i="62"/>
  <c r="G39" i="62"/>
  <c r="G64" i="62"/>
  <c r="F75" i="62"/>
  <c r="E99" i="62"/>
  <c r="F87" i="62"/>
  <c r="I10" i="58"/>
  <c r="G11" i="58"/>
  <c r="H11" i="58"/>
  <c r="E11" i="58"/>
  <c r="E100" i="62" l="1"/>
  <c r="F88" i="62"/>
  <c r="G75" i="62"/>
  <c r="H39" i="62"/>
  <c r="H50" i="62"/>
  <c r="H64" i="62"/>
  <c r="H16" i="62"/>
  <c r="G27" i="62"/>
  <c r="G87" i="62"/>
  <c r="F99" i="62"/>
  <c r="I11" i="58"/>
  <c r="M28" i="52"/>
  <c r="C36" i="58" s="1"/>
  <c r="M28" i="55"/>
  <c r="H36" i="58" s="1"/>
  <c r="M28" i="54"/>
  <c r="G36" i="58" s="1"/>
  <c r="M28" i="56"/>
  <c r="K36" i="58" s="1"/>
  <c r="M28" i="57"/>
  <c r="M36" i="58" s="1"/>
  <c r="I36" i="58" l="1"/>
  <c r="G88" i="62"/>
  <c r="F100" i="62"/>
  <c r="H27" i="62"/>
  <c r="I16" i="62"/>
  <c r="I50" i="62"/>
  <c r="I39" i="62"/>
  <c r="H75" i="62"/>
  <c r="I64" i="62"/>
  <c r="G99" i="62"/>
  <c r="H87" i="62"/>
  <c r="J16" i="62"/>
  <c r="M27" i="52"/>
  <c r="J64" i="62"/>
  <c r="M27" i="53"/>
  <c r="J50" i="62"/>
  <c r="M27" i="57"/>
  <c r="M27" i="56"/>
  <c r="J39" i="62"/>
  <c r="M28" i="53"/>
  <c r="D36" i="58" s="1"/>
  <c r="E36" i="58" s="1"/>
  <c r="N28" i="57"/>
  <c r="M37" i="58" s="1"/>
  <c r="N28" i="54"/>
  <c r="G37" i="58" s="1"/>
  <c r="N28" i="55"/>
  <c r="H37" i="58" s="1"/>
  <c r="N28" i="52"/>
  <c r="C37" i="58" s="1"/>
  <c r="N28" i="53"/>
  <c r="D37" i="58" s="1"/>
  <c r="H88" i="62" l="1"/>
  <c r="G100" i="62"/>
  <c r="I75" i="62"/>
  <c r="I27" i="62"/>
  <c r="I87" i="62"/>
  <c r="H99" i="62"/>
  <c r="M27" i="54"/>
  <c r="J27" i="62"/>
  <c r="J75" i="62"/>
  <c r="M27" i="55"/>
  <c r="E37" i="58"/>
  <c r="K39" i="62"/>
  <c r="N27" i="56"/>
  <c r="K50" i="62"/>
  <c r="N27" i="57"/>
  <c r="K64" i="62"/>
  <c r="N27" i="53"/>
  <c r="K16" i="62"/>
  <c r="N27" i="52"/>
  <c r="I37" i="58"/>
  <c r="N28" i="56"/>
  <c r="K37" i="58" s="1"/>
  <c r="M15" i="58"/>
  <c r="D15" i="58"/>
  <c r="O28" i="53"/>
  <c r="D38" i="58" s="1"/>
  <c r="O28" i="56"/>
  <c r="K38" i="58" s="1"/>
  <c r="O28" i="57"/>
  <c r="M38" i="58" s="1"/>
  <c r="K15" i="58"/>
  <c r="C15" i="58"/>
  <c r="E15" i="58" l="1"/>
  <c r="H100" i="62"/>
  <c r="I88" i="62"/>
  <c r="I99" i="62"/>
  <c r="J87" i="62"/>
  <c r="J88" i="62" s="1"/>
  <c r="P25" i="52"/>
  <c r="C16" i="58"/>
  <c r="D16" i="58"/>
  <c r="M16" i="58"/>
  <c r="K16" i="58"/>
  <c r="G15" i="58"/>
  <c r="O28" i="54"/>
  <c r="O27" i="52"/>
  <c r="O28" i="55"/>
  <c r="H38" i="58" s="1"/>
  <c r="O27" i="53"/>
  <c r="O27" i="57"/>
  <c r="O27" i="56"/>
  <c r="O28" i="52"/>
  <c r="C38" i="58" s="1"/>
  <c r="E38" i="58" s="1"/>
  <c r="K75" i="62"/>
  <c r="N27" i="55"/>
  <c r="N27" i="54"/>
  <c r="K27" i="62"/>
  <c r="H15" i="58"/>
  <c r="E16" i="58" l="1"/>
  <c r="I100" i="62"/>
  <c r="L39" i="62"/>
  <c r="P39" i="62" s="1"/>
  <c r="P38" i="62"/>
  <c r="L64" i="62"/>
  <c r="P64" i="62" s="1"/>
  <c r="P63" i="62"/>
  <c r="L16" i="62"/>
  <c r="P16" i="62" s="1"/>
  <c r="P15" i="62"/>
  <c r="L50" i="62"/>
  <c r="P50" i="62" s="1"/>
  <c r="P49" i="62"/>
  <c r="K87" i="62"/>
  <c r="K88" i="62" s="1"/>
  <c r="J99" i="62"/>
  <c r="J100" i="62" s="1"/>
  <c r="I15" i="58"/>
  <c r="H16" i="58"/>
  <c r="M17" i="58"/>
  <c r="R25" i="52"/>
  <c r="R28" i="52" s="1"/>
  <c r="C41" i="58" s="1"/>
  <c r="Q25" i="52"/>
  <c r="Q28" i="52" s="1"/>
  <c r="C40" i="58" s="1"/>
  <c r="G16" i="58"/>
  <c r="K17" i="58"/>
  <c r="D17" i="58"/>
  <c r="C17" i="58"/>
  <c r="G38" i="58"/>
  <c r="O27" i="54"/>
  <c r="O27" i="55"/>
  <c r="P28" i="52"/>
  <c r="C39" i="58" s="1"/>
  <c r="S25" i="52" l="1"/>
  <c r="S28" i="52" s="1"/>
  <c r="I16" i="58"/>
  <c r="L75" i="62"/>
  <c r="P75" i="62" s="1"/>
  <c r="P74" i="62"/>
  <c r="L27" i="62"/>
  <c r="P27" i="62" s="1"/>
  <c r="P26" i="62"/>
  <c r="K99" i="62"/>
  <c r="K100" i="62" s="1"/>
  <c r="L87" i="62"/>
  <c r="L88" i="62" s="1"/>
  <c r="G17" i="58"/>
  <c r="H17" i="58"/>
  <c r="I38" i="58"/>
  <c r="E17" i="58"/>
  <c r="P88" i="62" l="1"/>
  <c r="P87" i="62"/>
  <c r="L99" i="62"/>
  <c r="L100" i="62" s="1"/>
  <c r="I17" i="58"/>
  <c r="P100" i="62" l="1"/>
  <c r="P99" i="62"/>
  <c r="E28" i="58" l="1"/>
  <c r="I28" i="58"/>
  <c r="K20" i="70" l="1"/>
  <c r="E21" i="70"/>
  <c r="K46" i="70"/>
  <c r="E47" i="70"/>
  <c r="K33" i="70"/>
  <c r="E34" i="70"/>
  <c r="K7" i="70"/>
  <c r="L27" i="57" l="1"/>
  <c r="M14" i="58" s="1"/>
  <c r="K27" i="57"/>
  <c r="M13" i="58" s="1"/>
  <c r="L27" i="56"/>
  <c r="K14" i="58" s="1"/>
  <c r="K27" i="56"/>
  <c r="K13" i="58" s="1"/>
  <c r="J27" i="57"/>
  <c r="J27" i="56"/>
  <c r="J27" i="52" l="1"/>
  <c r="C12" i="58" s="1"/>
  <c r="K12" i="58"/>
  <c r="J27" i="54"/>
  <c r="M12" i="58"/>
  <c r="L27" i="53"/>
  <c r="D14" i="58" s="1"/>
  <c r="K27" i="53"/>
  <c r="D13" i="58" s="1"/>
  <c r="J27" i="55"/>
  <c r="L27" i="52"/>
  <c r="C14" i="58" s="1"/>
  <c r="K27" i="52"/>
  <c r="C13" i="58" s="1"/>
  <c r="L27" i="54"/>
  <c r="G14" i="58" s="1"/>
  <c r="K27" i="54"/>
  <c r="G13" i="58" s="1"/>
  <c r="J27" i="53"/>
  <c r="L27" i="55"/>
  <c r="H14" i="58" s="1"/>
  <c r="K27" i="55"/>
  <c r="H13" i="58" s="1"/>
  <c r="I14" i="58" l="1"/>
  <c r="E14" i="58"/>
  <c r="I13" i="58"/>
  <c r="E13" i="58"/>
  <c r="D12" i="58"/>
  <c r="E12" i="58" s="1"/>
  <c r="H12" i="58"/>
  <c r="G12" i="58"/>
  <c r="I12" i="58" l="1"/>
  <c r="P24" i="54" l="1"/>
  <c r="Q14" i="54"/>
  <c r="Q15" i="53"/>
  <c r="P25" i="53"/>
  <c r="P24" i="56"/>
  <c r="Q14" i="56"/>
  <c r="P24" i="57"/>
  <c r="Q14" i="57"/>
  <c r="K28" i="52"/>
  <c r="C34" i="58" s="1"/>
  <c r="L28" i="52"/>
  <c r="C35" i="58" s="1"/>
  <c r="P25" i="56"/>
  <c r="Q15" i="56"/>
  <c r="P25" i="57"/>
  <c r="Q15" i="57"/>
  <c r="J28" i="57" l="1"/>
  <c r="Q25" i="57"/>
  <c r="Q28" i="57" s="1"/>
  <c r="M40" i="58" s="1"/>
  <c r="R15" i="57"/>
  <c r="R25" i="57" s="1"/>
  <c r="R28" i="57" s="1"/>
  <c r="Q25" i="56"/>
  <c r="Q28" i="56" s="1"/>
  <c r="K40" i="58" s="1"/>
  <c r="R15" i="56"/>
  <c r="R25" i="56" s="1"/>
  <c r="R28" i="56" s="1"/>
  <c r="K41" i="58" s="1"/>
  <c r="P25" i="54"/>
  <c r="Q15" i="54"/>
  <c r="P24" i="52"/>
  <c r="Q14" i="52"/>
  <c r="L28" i="56"/>
  <c r="K35" i="58" s="1"/>
  <c r="K28" i="56"/>
  <c r="K34" i="58" s="1"/>
  <c r="P27" i="57"/>
  <c r="P27" i="56"/>
  <c r="Q25" i="53"/>
  <c r="Q28" i="53" s="1"/>
  <c r="D40" i="58" s="1"/>
  <c r="E40" i="58" s="1"/>
  <c r="R15" i="53"/>
  <c r="R25" i="53" s="1"/>
  <c r="R28" i="53" s="1"/>
  <c r="D41" i="58" s="1"/>
  <c r="P27" i="54"/>
  <c r="P24" i="55"/>
  <c r="Q14" i="55"/>
  <c r="L28" i="57"/>
  <c r="M35" i="58" s="1"/>
  <c r="K28" i="57"/>
  <c r="M34" i="58" s="1"/>
  <c r="P28" i="57"/>
  <c r="M39" i="58" s="1"/>
  <c r="P28" i="56"/>
  <c r="K39" i="58" s="1"/>
  <c r="P25" i="55"/>
  <c r="Q15" i="55"/>
  <c r="P24" i="53"/>
  <c r="Q14" i="53"/>
  <c r="J28" i="56"/>
  <c r="J28" i="52"/>
  <c r="C33" i="58" s="1"/>
  <c r="Q24" i="57"/>
  <c r="Q27" i="57" s="1"/>
  <c r="M19" i="58" s="1"/>
  <c r="R14" i="57"/>
  <c r="R24" i="57" s="1"/>
  <c r="R27" i="57" s="1"/>
  <c r="Q24" i="56"/>
  <c r="Q27" i="56" s="1"/>
  <c r="K19" i="58" s="1"/>
  <c r="R14" i="56"/>
  <c r="R24" i="56" s="1"/>
  <c r="R27" i="56" s="1"/>
  <c r="K20" i="58" s="1"/>
  <c r="P28" i="53"/>
  <c r="D39" i="58" s="1"/>
  <c r="E39" i="58" s="1"/>
  <c r="R14" i="54"/>
  <c r="R24" i="54" s="1"/>
  <c r="R27" i="54" s="1"/>
  <c r="Q24" i="54"/>
  <c r="Q27" i="54" s="1"/>
  <c r="G19" i="58" s="1"/>
  <c r="M41" i="58" l="1"/>
  <c r="S24" i="57"/>
  <c r="S27" i="57" s="1"/>
  <c r="S25" i="57"/>
  <c r="S28" i="57" s="1"/>
  <c r="M20" i="58"/>
  <c r="S24" i="56"/>
  <c r="S27" i="56" s="1"/>
  <c r="S25" i="56"/>
  <c r="S28" i="56" s="1"/>
  <c r="S25" i="53"/>
  <c r="S28" i="53" s="1"/>
  <c r="G20" i="58"/>
  <c r="S24" i="54"/>
  <c r="S27" i="54" s="1"/>
  <c r="P27" i="53"/>
  <c r="P28" i="55"/>
  <c r="H39" i="58" s="1"/>
  <c r="L28" i="55"/>
  <c r="H35" i="58" s="1"/>
  <c r="K28" i="55"/>
  <c r="H34" i="58" s="1"/>
  <c r="P27" i="55"/>
  <c r="G18" i="58"/>
  <c r="K18" i="58"/>
  <c r="K22" i="58" s="1"/>
  <c r="M18" i="58"/>
  <c r="L28" i="53"/>
  <c r="D35" i="58" s="1"/>
  <c r="E35" i="58" s="1"/>
  <c r="K28" i="53"/>
  <c r="D34" i="58" s="1"/>
  <c r="E34" i="58" s="1"/>
  <c r="P27" i="52"/>
  <c r="C18" i="58" s="1"/>
  <c r="P28" i="54"/>
  <c r="G39" i="58" s="1"/>
  <c r="L28" i="54"/>
  <c r="G35" i="58" s="1"/>
  <c r="K28" i="54"/>
  <c r="G34" i="58" s="1"/>
  <c r="C43" i="58"/>
  <c r="C45" i="58" s="1"/>
  <c r="K33" i="58"/>
  <c r="K43" i="58" s="1"/>
  <c r="K45" i="58" s="1"/>
  <c r="Q24" i="53"/>
  <c r="Q27" i="53" s="1"/>
  <c r="D19" i="58" s="1"/>
  <c r="R14" i="53"/>
  <c r="R24" i="53" s="1"/>
  <c r="R27" i="53" s="1"/>
  <c r="D20" i="58" s="1"/>
  <c r="Q25" i="55"/>
  <c r="Q28" i="55" s="1"/>
  <c r="H40" i="58" s="1"/>
  <c r="R15" i="55"/>
  <c r="R25" i="55" s="1"/>
  <c r="R28" i="55" s="1"/>
  <c r="H41" i="58" s="1"/>
  <c r="J28" i="55"/>
  <c r="R14" i="55"/>
  <c r="R24" i="55" s="1"/>
  <c r="R27" i="55" s="1"/>
  <c r="H20" i="58" s="1"/>
  <c r="Q24" i="55"/>
  <c r="Q27" i="55" s="1"/>
  <c r="H19" i="58" s="1"/>
  <c r="I19" i="58" s="1"/>
  <c r="E41" i="58"/>
  <c r="J28" i="53"/>
  <c r="Q24" i="52"/>
  <c r="Q27" i="52" s="1"/>
  <c r="C19" i="58" s="1"/>
  <c r="R14" i="52"/>
  <c r="R24" i="52" s="1"/>
  <c r="R27" i="52" s="1"/>
  <c r="C20" i="58" s="1"/>
  <c r="Q25" i="54"/>
  <c r="Q28" i="54" s="1"/>
  <c r="G40" i="58" s="1"/>
  <c r="R15" i="54"/>
  <c r="R25" i="54" s="1"/>
  <c r="R28" i="54" s="1"/>
  <c r="G41" i="58" s="1"/>
  <c r="J28" i="54"/>
  <c r="M33" i="58"/>
  <c r="M43" i="58" s="1"/>
  <c r="M45" i="58" s="1"/>
  <c r="M22" i="58" l="1"/>
  <c r="S25" i="55"/>
  <c r="S28" i="55" s="1"/>
  <c r="S24" i="52"/>
  <c r="S27" i="52" s="1"/>
  <c r="S24" i="55"/>
  <c r="S27" i="55" s="1"/>
  <c r="S24" i="53"/>
  <c r="S27" i="53" s="1"/>
  <c r="I20" i="58"/>
  <c r="S25" i="54"/>
  <c r="S28" i="54" s="1"/>
  <c r="M47" i="58"/>
  <c r="M57" i="58" s="1"/>
  <c r="M62" i="58" s="1"/>
  <c r="M66" i="58" s="1"/>
  <c r="K47" i="58"/>
  <c r="K57" i="58" s="1"/>
  <c r="K62" i="58" s="1"/>
  <c r="K66" i="58" s="1"/>
  <c r="I34" i="58"/>
  <c r="I39" i="58"/>
  <c r="I40" i="58"/>
  <c r="E19" i="58"/>
  <c r="I35" i="58"/>
  <c r="H33" i="58"/>
  <c r="H43" i="58" s="1"/>
  <c r="H45" i="58" s="1"/>
  <c r="G33" i="58"/>
  <c r="I41" i="58"/>
  <c r="E20" i="58"/>
  <c r="D33" i="58"/>
  <c r="C22" i="58"/>
  <c r="C47" i="58" s="1"/>
  <c r="G22" i="58"/>
  <c r="H18" i="58"/>
  <c r="H22" i="58" s="1"/>
  <c r="D18" i="58"/>
  <c r="D22" i="58" s="1"/>
  <c r="H47" i="58" l="1"/>
  <c r="I18" i="58"/>
  <c r="I22" i="58" s="1"/>
  <c r="E18" i="58"/>
  <c r="E22" i="58" s="1"/>
  <c r="E33" i="58"/>
  <c r="E43" i="58" s="1"/>
  <c r="D43" i="58"/>
  <c r="D45" i="58" s="1"/>
  <c r="E45" i="58" s="1"/>
  <c r="I33" i="58"/>
  <c r="I43" i="58" s="1"/>
  <c r="G43" i="58"/>
  <c r="G45" i="58" s="1"/>
  <c r="I45" i="58" s="1"/>
  <c r="E47" i="58" l="1"/>
  <c r="E57" i="58" s="1"/>
  <c r="E62" i="58" s="1"/>
  <c r="E66" i="58" s="1"/>
  <c r="D47" i="58"/>
  <c r="I47" i="58"/>
  <c r="I57" i="58" s="1"/>
  <c r="I62" i="58" s="1"/>
  <c r="I66" i="58" s="1"/>
  <c r="G47" i="58"/>
  <c r="M25" i="58" l="1"/>
  <c r="K25" i="58"/>
  <c r="H25" i="58"/>
  <c r="D25" i="58"/>
  <c r="E7" i="58" l="1"/>
  <c r="C25" i="58"/>
  <c r="K26" i="4"/>
  <c r="K28" i="4" s="1"/>
  <c r="K32" i="4" s="1"/>
  <c r="K34" i="4" s="1"/>
  <c r="O16" i="35"/>
  <c r="F33" i="35"/>
  <c r="I7" i="58"/>
  <c r="G25" i="58"/>
  <c r="F63" i="35"/>
  <c r="T16" i="35"/>
  <c r="M26" i="4"/>
  <c r="M28" i="4" s="1"/>
  <c r="M32" i="4" s="1"/>
  <c r="M34" i="4" s="1"/>
  <c r="T19" i="35" l="1"/>
  <c r="F127" i="35"/>
  <c r="O19" i="35"/>
  <c r="F97" i="35"/>
  <c r="O20" i="35"/>
  <c r="M20" i="4"/>
  <c r="M21" i="4" s="1"/>
  <c r="M36" i="4"/>
  <c r="E48" i="70" s="1"/>
  <c r="E25" i="58"/>
  <c r="T20" i="35"/>
  <c r="I25" i="58"/>
  <c r="K20" i="4"/>
  <c r="K21" i="4" s="1"/>
  <c r="K36" i="4"/>
  <c r="E35" i="70" s="1"/>
  <c r="F28" i="35" l="1"/>
  <c r="F92" i="35" s="1"/>
  <c r="N16" i="35"/>
  <c r="E49" i="70"/>
  <c r="E51" i="70" s="1"/>
  <c r="E54" i="70" s="1"/>
  <c r="E55" i="70" s="1"/>
  <c r="F47" i="70" s="1"/>
  <c r="F49" i="70" s="1"/>
  <c r="F51" i="70" s="1"/>
  <c r="F54" i="70" s="1"/>
  <c r="F55" i="70" s="1"/>
  <c r="G47" i="70" s="1"/>
  <c r="G49" i="70" s="1"/>
  <c r="G51" i="70" s="1"/>
  <c r="G54" i="70" s="1"/>
  <c r="G55" i="70" s="1"/>
  <c r="H47" i="70" s="1"/>
  <c r="H49" i="70" s="1"/>
  <c r="H51" i="70" s="1"/>
  <c r="H54" i="70" s="1"/>
  <c r="H55" i="70" s="1"/>
  <c r="I47" i="70" s="1"/>
  <c r="I49" i="70" s="1"/>
  <c r="I51" i="70" s="1"/>
  <c r="I54" i="70" s="1"/>
  <c r="I55" i="70" s="1"/>
  <c r="J47" i="70" s="1"/>
  <c r="J49" i="70" s="1"/>
  <c r="K48" i="70"/>
  <c r="E36" i="70"/>
  <c r="E38" i="70" s="1"/>
  <c r="E41" i="70" s="1"/>
  <c r="E42" i="70" s="1"/>
  <c r="F34" i="70" s="1"/>
  <c r="F36" i="70" s="1"/>
  <c r="F38" i="70" s="1"/>
  <c r="F41" i="70" s="1"/>
  <c r="F42" i="70" s="1"/>
  <c r="G34" i="70" s="1"/>
  <c r="G36" i="70" s="1"/>
  <c r="G38" i="70" s="1"/>
  <c r="G41" i="70" s="1"/>
  <c r="G42" i="70" s="1"/>
  <c r="H34" i="70" s="1"/>
  <c r="H36" i="70" s="1"/>
  <c r="H38" i="70" s="1"/>
  <c r="H41" i="70" s="1"/>
  <c r="H42" i="70" s="1"/>
  <c r="I34" i="70" s="1"/>
  <c r="I36" i="70" s="1"/>
  <c r="I38" i="70" s="1"/>
  <c r="I41" i="70" s="1"/>
  <c r="I42" i="70" s="1"/>
  <c r="J34" i="70" s="1"/>
  <c r="J36" i="70" s="1"/>
  <c r="K35" i="70"/>
  <c r="F58" i="35"/>
  <c r="F122" i="35" s="1"/>
  <c r="S16" i="35"/>
  <c r="F68" i="35" l="1"/>
  <c r="F131" i="35" s="1"/>
  <c r="S19" i="35"/>
  <c r="S20" i="35" s="1"/>
  <c r="J38" i="70"/>
  <c r="J41" i="70" s="1"/>
  <c r="K41" i="70" s="1"/>
  <c r="K42" i="70" s="1"/>
  <c r="K61" i="58" s="1"/>
  <c r="J51" i="70"/>
  <c r="J54" i="70" s="1"/>
  <c r="K54" i="70" s="1"/>
  <c r="K55" i="70" s="1"/>
  <c r="M61" i="58" s="1"/>
  <c r="N19" i="35"/>
  <c r="N20" i="35" s="1"/>
  <c r="F38" i="35"/>
  <c r="F101" i="35" s="1"/>
  <c r="J42" i="70" l="1"/>
  <c r="J55" i="70"/>
  <c r="AP31" i="35"/>
  <c r="AQ31" i="35" s="1"/>
  <c r="AR31" i="35" s="1"/>
  <c r="AS31" i="35" s="1"/>
  <c r="AT31" i="35" s="1"/>
  <c r="AU31" i="35" s="1"/>
  <c r="AP32" i="35" l="1"/>
  <c r="AP34" i="35" l="1"/>
  <c r="AQ32" i="35"/>
  <c r="AR32" i="35" l="1"/>
  <c r="AS32" i="35" l="1"/>
  <c r="AT32" i="35" l="1"/>
  <c r="AU32" i="35" l="1"/>
  <c r="AP28" i="35"/>
  <c r="AQ28" i="35" s="1"/>
  <c r="AR28" i="35" s="1"/>
  <c r="AS28" i="35" s="1"/>
  <c r="AT28" i="35" s="1"/>
  <c r="AU28" i="35" s="1"/>
  <c r="M16" i="35"/>
  <c r="F18" i="35"/>
  <c r="M19" i="35" s="1"/>
  <c r="E26" i="4"/>
  <c r="E28" i="4" s="1"/>
  <c r="E32" i="4" s="1"/>
  <c r="E34" i="4" s="1"/>
  <c r="F82" i="35" l="1"/>
  <c r="M20" i="35"/>
  <c r="E20" i="4"/>
  <c r="E21" i="4" s="1"/>
  <c r="E36" i="4"/>
  <c r="E9" i="70" s="1"/>
  <c r="E10" i="70" l="1"/>
  <c r="K9" i="70"/>
  <c r="L16" i="35"/>
  <c r="F13" i="35"/>
  <c r="F77" i="35" l="1"/>
  <c r="L19" i="35"/>
  <c r="F23" i="35"/>
  <c r="F86" i="35" s="1"/>
  <c r="L20" i="35"/>
  <c r="E12" i="70"/>
  <c r="E15" i="70" s="1"/>
  <c r="E16" i="70" l="1"/>
  <c r="F8" i="70" s="1"/>
  <c r="F10" i="70" l="1"/>
  <c r="F12" i="70" s="1"/>
  <c r="F15" i="70" s="1"/>
  <c r="F16" i="70" l="1"/>
  <c r="G8" i="70" s="1"/>
  <c r="G10" i="70" l="1"/>
  <c r="G12" i="70" s="1"/>
  <c r="G15" i="70" s="1"/>
  <c r="G16" i="70" l="1"/>
  <c r="H8" i="70" s="1"/>
  <c r="H10" i="70" l="1"/>
  <c r="H12" i="70" s="1"/>
  <c r="H15" i="70" s="1"/>
  <c r="H16" i="70" l="1"/>
  <c r="I8" i="70" s="1"/>
  <c r="I10" i="70" l="1"/>
  <c r="I12" i="70" s="1"/>
  <c r="I15" i="70" s="1"/>
  <c r="I16" i="70" l="1"/>
  <c r="J8" i="70" s="1"/>
  <c r="J10" i="70" l="1"/>
  <c r="J12" i="70" s="1"/>
  <c r="J15" i="70" s="1"/>
  <c r="K15" i="70" s="1"/>
  <c r="K16" i="70" s="1"/>
  <c r="E70" i="58" l="1"/>
  <c r="E61" i="58"/>
  <c r="J16" i="70"/>
  <c r="R16" i="35"/>
  <c r="I26" i="4"/>
  <c r="I28" i="4" s="1"/>
  <c r="I32" i="4" s="1"/>
  <c r="I34" i="4" s="1"/>
  <c r="F48" i="35"/>
  <c r="R19" i="35" s="1"/>
  <c r="F112" i="35" l="1"/>
  <c r="R20" i="35"/>
  <c r="I20" i="4"/>
  <c r="I21" i="4" s="1"/>
  <c r="I36" i="4"/>
  <c r="E22" i="70" s="1"/>
  <c r="E23" i="70" l="1"/>
  <c r="K22" i="70"/>
  <c r="Q16" i="35"/>
  <c r="F43" i="35"/>
  <c r="F53" i="35" l="1"/>
  <c r="F116" i="35" s="1"/>
  <c r="Q19" i="35"/>
  <c r="F107" i="35"/>
  <c r="Q20" i="35"/>
  <c r="E25" i="70"/>
  <c r="E28" i="70" s="1"/>
  <c r="E29" i="70" l="1"/>
  <c r="F21" i="70" s="1"/>
  <c r="F23" i="70" l="1"/>
  <c r="F25" i="70" l="1"/>
  <c r="F28" i="70" s="1"/>
  <c r="F29" i="70" l="1"/>
  <c r="G21" i="70" s="1"/>
  <c r="G23" i="70" l="1"/>
  <c r="G25" i="70" l="1"/>
  <c r="G28" i="70" s="1"/>
  <c r="G29" i="70" l="1"/>
  <c r="H21" i="70" s="1"/>
  <c r="H23" i="70" l="1"/>
  <c r="H25" i="70" l="1"/>
  <c r="H28" i="70" s="1"/>
  <c r="H29" i="70" s="1"/>
  <c r="I21" i="70" s="1"/>
  <c r="I23" i="70" l="1"/>
  <c r="I25" i="70" s="1"/>
  <c r="I28" i="70" s="1"/>
  <c r="I29" i="70" l="1"/>
  <c r="J21" i="70" s="1"/>
  <c r="J23" i="70" l="1"/>
  <c r="J25" i="70" s="1"/>
  <c r="J28" i="70" s="1"/>
  <c r="K28" i="70" s="1"/>
  <c r="K29" i="70" s="1"/>
  <c r="I61" i="58" s="1"/>
  <c r="J29" i="7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WEMO" corresponding month.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WEMO" corresponding month.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SEMO" corresponding month.</t>
        </r>
      </text>
    </comment>
    <comment ref="M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C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58519582-0179-4E79-A36A-62ED77F112E7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E154D2CE-EB9F-4E7F-A556-0B2F56398BB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79CDEF2B-E09B-4810-AEBB-EF722A20366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9CB282A8-E2FE-48EB-9E54-422D9F917538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2D845230-4C60-4226-BBD7-65EBA2915E6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0438AA01-0566-4987-96CB-8697D727445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E40037CD-931E-4ADA-AA67-2BD925226EC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3F36695B-1377-45DD-9626-17FC2D17D589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D8F6D47C-8E0B-44DF-9FF9-6EAC1DBD194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91AE2D76-6B3C-4B9B-AB68-0E8367393EB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1B4B2D6C-373F-49DA-BBD2-2D82AC86A28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8AE1C065-8E55-4FB7-812F-E4DF3DFD321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E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"Actual_Kirk_HDD" based on date.</t>
        </r>
      </text>
    </comment>
    <comment ref="J4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"Actual_CGI_HDD" based on date.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 corresponding month.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"Tariff Factors
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9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9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30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30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30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30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30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sharedStrings.xml><?xml version="1.0" encoding="utf-8"?>
<sst xmlns="http://schemas.openxmlformats.org/spreadsheetml/2006/main" count="1351" uniqueCount="302">
  <si>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</si>
  <si>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</si>
  <si>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</si>
  <si>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</si>
  <si>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</si>
  <si>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</si>
  <si>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</si>
  <si>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</si>
  <si>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</si>
  <si>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</si>
  <si>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</si>
  <si>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</si>
  <si>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</si>
  <si>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</si>
  <si>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</si>
  <si>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</si>
  <si>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</si>
  <si>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Total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</si>
  <si>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</si>
  <si>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</si>
  <si>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</si>
  <si>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</si>
  <si>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</si>
  <si>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</si>
  <si>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</si>
  <si>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</si>
  <si>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</si>
  <si>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</si>
  <si>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</si>
  <si>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</si>
  <si>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</si>
  <si>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</si>
  <si>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</si>
  <si>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</si>
  <si>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</si>
  <si>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</si>
  <si>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</si>
  <si>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</si>
  <si>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</si>
  <si>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</si>
  <si>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</si>
  <si>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</si>
  <si>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</si>
  <si>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Liberty Utilities</t>
  </si>
  <si>
    <t xml:space="preserve"> </t>
  </si>
  <si>
    <t>CYCLE</t>
  </si>
  <si>
    <t>JAN</t>
  </si>
  <si>
    <t>FEB</t>
  </si>
  <si>
    <t>MAR</t>
  </si>
  <si>
    <t>APR</t>
  </si>
  <si>
    <t>MAY</t>
  </si>
  <si>
    <t>AUG</t>
  </si>
  <si>
    <t>OCT</t>
  </si>
  <si>
    <t>NOV</t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</si>
  <si>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</si>
  <si>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</si>
  <si>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</si>
  <si>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</si>
  <si>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</si>
  <si>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</si>
  <si>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</si>
  <si>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</si>
  <si>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</si>
  <si>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># of Bills</t>
  </si>
  <si>
    <t>SGS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</si>
  <si>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</si>
  <si>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</si>
  <si>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</si>
  <si>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</si>
  <si>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</si>
  <si>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</si>
  <si>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</si>
  <si>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</si>
  <si>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</si>
  <si>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</si>
  <si>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</si>
  <si>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</si>
  <si>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</si>
  <si>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</si>
  <si>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</si>
  <si>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</si>
  <si>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</si>
  <si>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</si>
  <si>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</si>
  <si>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</si>
  <si>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</si>
  <si>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</si>
  <si>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</si>
  <si>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</si>
  <si>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</si>
  <si>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</si>
  <si>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</si>
  <si>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NEMO Residential</t>
  </si>
  <si>
    <t>WEMO Residential</t>
  </si>
  <si>
    <t>SEMO Residential</t>
  </si>
  <si>
    <t>NEMO Commercial Small Firm</t>
  </si>
  <si>
    <t>WEMO Commercial Small Firm</t>
  </si>
  <si>
    <t>SEMO Commercial Small Firm</t>
  </si>
  <si>
    <t>Normal</t>
  </si>
  <si>
    <t>Actual</t>
  </si>
  <si>
    <t>HDD</t>
  </si>
  <si>
    <t>Year</t>
  </si>
  <si>
    <t>year</t>
  </si>
  <si>
    <t>SEMO - Cape Girardeau</t>
  </si>
  <si>
    <t>NEMO</t>
  </si>
  <si>
    <t>WEMO</t>
  </si>
  <si>
    <t>Small GS</t>
  </si>
  <si>
    <t>b</t>
  </si>
  <si>
    <t>SRR</t>
  </si>
  <si>
    <t>NDDij</t>
  </si>
  <si>
    <t>ADDij</t>
  </si>
  <si>
    <t>(NNDij - ADDij)</t>
  </si>
  <si>
    <t>Cij</t>
  </si>
  <si>
    <t>CWNA Table:</t>
  </si>
  <si>
    <t>Period</t>
  </si>
  <si>
    <t>Rate First</t>
  </si>
  <si>
    <t>Effective</t>
  </si>
  <si>
    <t>Months</t>
  </si>
  <si>
    <t>Rate Ending</t>
  </si>
  <si>
    <t>(Semiannual)</t>
  </si>
  <si>
    <t>SRR Table:</t>
  </si>
  <si>
    <t>WNA Rider Rate:</t>
  </si>
  <si>
    <t>Weather Normalization Adjustment Rider</t>
  </si>
  <si>
    <t>Semiannual Adjustment Filing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</si>
  <si>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</si>
  <si>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</si>
  <si>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</si>
  <si>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CWNA</t>
  </si>
  <si>
    <t>NEMO &amp; WEMO</t>
  </si>
  <si>
    <t>Historical WNA Rider Rate Table</t>
  </si>
  <si>
    <t>From CSWNA Summary</t>
  </si>
  <si>
    <t>From SRR Summary</t>
  </si>
  <si>
    <t>Sum CWNA &amp; SRR Effective during period.</t>
  </si>
  <si>
    <t>Customer</t>
  </si>
  <si>
    <t>https://mrcc.illinois.edu/CLIMATE/Station/Daily/StnDyBTD.jsp</t>
  </si>
  <si>
    <t>Sales (Ccf)</t>
  </si>
  <si>
    <t>Each filing period, copy &amp; paste value the last 4 rows the Historical WNA Ride Rate Table to the first 4 rows.  The 5th row will be automatically populated as filing schedules are update for the current filing.</t>
  </si>
  <si>
    <t>&lt;&lt;Used for index lookups.</t>
  </si>
  <si>
    <t>Tariff Rates</t>
  </si>
  <si>
    <t>Sheets 67.2 through 67.5</t>
  </si>
  <si>
    <t>Notes/Source</t>
  </si>
  <si>
    <t>SGS Rates for Northeast and West District (Sheet No. 67.4)</t>
  </si>
  <si>
    <t>Consumption</t>
  </si>
  <si>
    <t>Liberty Utilities (Midstreams Natural Gas) Corp.</t>
  </si>
  <si>
    <t>1-19</t>
  </si>
  <si>
    <t>Current Period Adjustment</t>
  </si>
  <si>
    <t>These values are for test purposes only and should be set to zero for initial production.</t>
  </si>
  <si>
    <t>Residential Rates for Southeast District (Sheet No. 67.3)</t>
  </si>
  <si>
    <t>SGS Rates for Southeast District (Sheet No. 67.5)</t>
  </si>
  <si>
    <t>Residential Rates for Northeast and West District (Sheet No. 67.2)</t>
  </si>
  <si>
    <t>Balance Forward</t>
  </si>
  <si>
    <t>Ending Balance</t>
  </si>
  <si>
    <t>CSWA</t>
  </si>
  <si>
    <t>Semiannual Adjustment</t>
  </si>
  <si>
    <t>Average Balance</t>
  </si>
  <si>
    <t>Carrying Cost</t>
  </si>
  <si>
    <t>Balance After Interest</t>
  </si>
  <si>
    <t>WNAR Rates Effective</t>
  </si>
  <si>
    <t>Estimates</t>
  </si>
  <si>
    <t>WNAR Billings - Rates Effective</t>
  </si>
  <si>
    <t>True-Up</t>
  </si>
  <si>
    <t>SRR Residential SEMO</t>
  </si>
  <si>
    <t>SRR SGS SEMO</t>
  </si>
  <si>
    <t>SRR Residential NEMO</t>
  </si>
  <si>
    <t>Adjusted Beginning Balance</t>
  </si>
  <si>
    <t>SRR Residential WEMO</t>
  </si>
  <si>
    <t>SRR SGS NEMO</t>
  </si>
  <si>
    <t>SRR SGS WEMO</t>
  </si>
  <si>
    <t>SRR Summary</t>
  </si>
  <si>
    <t>Reconciling Period Adjustment</t>
  </si>
  <si>
    <t>CSWNA Billing Summary</t>
  </si>
  <si>
    <t>Total Billings</t>
  </si>
  <si>
    <t>SRR Billing Summary</t>
  </si>
  <si>
    <t>From Historical WNA Rider Rate Table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</si>
  <si>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</si>
  <si>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</si>
  <si>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</si>
  <si>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</si>
  <si>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</si>
  <si>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</si>
  <si>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</si>
  <si>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</si>
  <si>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</si>
  <si>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</si>
  <si>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</si>
  <si>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Index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</si>
  <si>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</si>
  <si>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</si>
  <si>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</si>
  <si>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</si>
  <si>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Staff's Normailized Heating Degree Days ("HDD)"</t>
  </si>
  <si>
    <t>https://www.efis.psc.mo.gov/mpsc/commoncomponents</t>
  </si>
  <si>
    <t>/[kirk_YYYYMM_RN.xlsx]365da_avg_adw</t>
  </si>
  <si>
    <t>/[cgi_YYYYMM_RN.xlsx]365da_avg_adw</t>
  </si>
  <si>
    <t>NEMO/WEMO</t>
  </si>
  <si>
    <t>Day</t>
  </si>
  <si>
    <t>Look-up</t>
  </si>
  <si>
    <t>Total NEMO &amp; WEMO</t>
  </si>
  <si>
    <t>Annual</t>
  </si>
  <si>
    <t>X-Check</t>
  </si>
  <si>
    <t>Variance</t>
  </si>
  <si>
    <t>Revenue</t>
  </si>
  <si>
    <t>Estimated Period</t>
  </si>
  <si>
    <t>TOTAL</t>
  </si>
  <si>
    <t xml:space="preserve">Lookup </t>
  </si>
  <si>
    <t>Book to Filing WNA Rider Recovery Reconciliation</t>
  </si>
  <si>
    <t>Per Books</t>
  </si>
  <si>
    <t>Per Filing</t>
  </si>
  <si>
    <t>Filing Check</t>
  </si>
  <si>
    <t>Check</t>
  </si>
  <si>
    <t>WNA</t>
  </si>
  <si>
    <t>WNA Rider</t>
  </si>
  <si>
    <t>NEMO Res</t>
  </si>
  <si>
    <t>WNA Recovery</t>
  </si>
  <si>
    <t>WNA Amount to be Recovered</t>
  </si>
  <si>
    <t>Effective Rates</t>
  </si>
  <si>
    <t>JUNE</t>
  </si>
  <si>
    <t>JULY</t>
  </si>
  <si>
    <t>Aug</t>
  </si>
  <si>
    <t>Chillicothe</t>
  </si>
  <si>
    <t>Factors</t>
  </si>
  <si>
    <t>Adj HDDs</t>
  </si>
  <si>
    <t>Jan</t>
  </si>
  <si>
    <t>Feb</t>
  </si>
  <si>
    <t>Mar</t>
  </si>
  <si>
    <t>Apr</t>
  </si>
  <si>
    <t>Jun</t>
  </si>
  <si>
    <t>Jul</t>
  </si>
  <si>
    <t>Sep</t>
  </si>
  <si>
    <t>Oct</t>
  </si>
  <si>
    <t>Nov</t>
  </si>
  <si>
    <t>Dec</t>
  </si>
  <si>
    <t>Liberty Utilities (Midstates Natural Gas) Corp.</t>
  </si>
  <si>
    <t>WNA Excess Amount</t>
  </si>
  <si>
    <t>CSWNA Unadjusted</t>
  </si>
  <si>
    <t>WNA Limit Adjustment</t>
  </si>
  <si>
    <t>CSWNA Adjusted</t>
  </si>
  <si>
    <t xml:space="preserve">Proposed WNA </t>
  </si>
  <si>
    <t>WNA Change Form Prior Period</t>
  </si>
  <si>
    <t>WNA Change Limit</t>
  </si>
  <si>
    <t>NEMO &amp; WEMO Residential</t>
  </si>
  <si>
    <t>NEMO &amp; WEMO Small GS</t>
  </si>
  <si>
    <t>WNA Excess Limit Carrying Cost</t>
  </si>
  <si>
    <t>Excess Limit Amount</t>
  </si>
  <si>
    <t xml:space="preserve">Computed </t>
  </si>
  <si>
    <t xml:space="preserve">Kirksville </t>
  </si>
  <si>
    <t>Input</t>
  </si>
  <si>
    <t>WSJ Prime Lending Rate 1/</t>
  </si>
  <si>
    <t>1/ WSJ prime lending rate effective 1st business day of the month.</t>
  </si>
  <si>
    <t>Tariff Rate Adjustment  2/</t>
  </si>
  <si>
    <t>*Monthly Interest Rate</t>
  </si>
  <si>
    <t>Monthly Interest Rate *</t>
  </si>
  <si>
    <t>Line No.</t>
  </si>
  <si>
    <t>Ln 2 + Ln 3</t>
  </si>
  <si>
    <t>Ln 4 + Ln 5</t>
  </si>
  <si>
    <t>Avg Ln 4, Ln 6</t>
  </si>
  <si>
    <t>Ln 8 x Ln 10</t>
  </si>
  <si>
    <t>Ln 6 + Ln 11</t>
  </si>
  <si>
    <t>Ln 15 + Ln 16</t>
  </si>
  <si>
    <t>Ln 17 + Ln 18</t>
  </si>
  <si>
    <t>Avg Ln 17, Ln 19</t>
  </si>
  <si>
    <t>Ln 28 + Ln 29</t>
  </si>
  <si>
    <t>Ln 30 + Ln 31</t>
  </si>
  <si>
    <t>Avg Ln 30, Ln 32</t>
  </si>
  <si>
    <t>Ln 41 + Ln 42</t>
  </si>
  <si>
    <t>Ln 43 + Ln 44</t>
  </si>
  <si>
    <t>Avg Ln 43, Ln 45</t>
  </si>
  <si>
    <t>NEMO/WEMO - Chillicothe Adj.</t>
  </si>
  <si>
    <t>SEMO Small GS</t>
  </si>
  <si>
    <t>All data</t>
  </si>
  <si>
    <t>From:</t>
  </si>
  <si>
    <t>Input "Cust Data" tab</t>
  </si>
  <si>
    <t>CSWNA Reconciliation Summary</t>
  </si>
  <si>
    <t>1/ Negative amount = Due Customer, Positive amount = Due Company</t>
  </si>
  <si>
    <t>Net Recovery 1/</t>
  </si>
  <si>
    <t>SRR Adjustment 1/</t>
  </si>
  <si>
    <t>WNA Deferred Balance 1/</t>
  </si>
  <si>
    <t>Var</t>
  </si>
  <si>
    <t>Tariff</t>
  </si>
  <si>
    <t>SEPT</t>
  </si>
  <si>
    <t>DEC</t>
  </si>
  <si>
    <t>CSWNA Net Recovery 1/</t>
  </si>
  <si>
    <t>SRR Net Recovery 1/</t>
  </si>
  <si>
    <t>Rates In Tariff Order</t>
  </si>
  <si>
    <t>True-Up of CSWNA S1</t>
  </si>
  <si>
    <t>2021 S1 WNA Proposed</t>
  </si>
  <si>
    <t>2020 S2 WNA</t>
  </si>
  <si>
    <t>July 2020</t>
  </si>
  <si>
    <t>August 2020</t>
  </si>
  <si>
    <t>September 2020</t>
  </si>
  <si>
    <t>October 2020</t>
  </si>
  <si>
    <t>November 2020</t>
  </si>
  <si>
    <t>December 2020</t>
  </si>
  <si>
    <t>2/ Reflects a 2% point reduction from the prime lending rate.</t>
  </si>
  <si>
    <t>April 2020</t>
  </si>
  <si>
    <t>May 2020</t>
  </si>
  <si>
    <t>June 2020</t>
  </si>
  <si>
    <t>January 2021</t>
  </si>
  <si>
    <t>February 2021</t>
  </si>
  <si>
    <t>March 2021</t>
  </si>
  <si>
    <t>9-Months Ending December 2020</t>
  </si>
  <si>
    <t>umTariffID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</si>
</sst>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1" formatCode="m/d/yyyy;@"/>
    <numFmt numFmtId="172" formatCode="#,##0.00000_);\(#,##0.00000\)"/>
    <numFmt numFmtId="173" formatCode="_(&quot;$&quot;* #,##0.000000000_);_(&quot;$&quot;* \(#,##0.000000000\);_(&quot;$&quot;* &quot;-&quot;??_);_(@_)"/>
    <numFmt numFmtId="174" formatCode="[$-409]mmmm\ d\,\ yyyy;@"/>
    <numFmt numFmtId="175" formatCode="[$-409]mmm\-yy;@"/>
    <numFmt numFmtId="176" formatCode="&quot;$&quot;#,##0.00000_);\(&quot;$&quot;#,##0.00000\)"/>
    <numFmt numFmtId="177" formatCode="0.0000%"/>
    <numFmt numFmtId="179" formatCode="_(* #,##0.00000_);_(* \(#,##0.00000\);_(* &quot;-&quot;??_);_(@_)"/>
    <numFmt numFmtId="181" formatCode="0.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D8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19" borderId="0" applyNumberFormat="0" applyBorder="0" applyAlignment="0" applyProtection="0"/>
    <xf numFmtId="0" fontId="45" fillId="20" borderId="0" applyNumberFormat="0" applyBorder="0" applyAlignment="0" applyProtection="0"/>
    <xf numFmtId="0" fontId="46" fillId="22" borderId="19" applyNumberFormat="0" applyAlignment="0" applyProtection="0"/>
    <xf numFmtId="0" fontId="47" fillId="23" borderId="20" applyNumberFormat="0" applyAlignment="0" applyProtection="0"/>
    <xf numFmtId="0" fontId="48" fillId="23" borderId="19" applyNumberFormat="0" applyAlignment="0" applyProtection="0"/>
    <xf numFmtId="0" fontId="49" fillId="0" borderId="21" applyNumberFormat="0" applyFill="0" applyAlignment="0" applyProtection="0"/>
    <xf numFmtId="0" fontId="2" fillId="24" borderId="22" applyNumberFormat="0" applyAlignment="0" applyProtection="0"/>
    <xf numFmtId="0" fontId="50" fillId="0" borderId="0" applyNumberFormat="0" applyFill="0" applyBorder="0" applyAlignment="0" applyProtection="0"/>
    <xf numFmtId="0" fontId="1" fillId="25" borderId="23" applyNumberFormat="0" applyFont="0" applyAlignment="0" applyProtection="0"/>
    <xf numFmtId="0" fontId="51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2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2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2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52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</cellStyleXfs>
  <cellXfs count="412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0" borderId="1" xfId="4" applyFont="1" applyBorder="1"/>
    <xf numFmtId="168" fontId="13" fillId="0" borderId="1" xfId="4" applyFont="1" applyBorder="1"/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0" xfId="0" applyFill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right"/>
    </xf>
    <xf numFmtId="0" fontId="2" fillId="8" borderId="5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9" borderId="7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166" fontId="2" fillId="9" borderId="3" xfId="1" applyNumberFormat="1" applyFont="1" applyFill="1" applyBorder="1" applyAlignment="1">
      <alignment horizontal="right"/>
    </xf>
    <xf numFmtId="166" fontId="2" fillId="9" borderId="4" xfId="1" applyNumberFormat="1" applyFont="1" applyFill="1" applyBorder="1" applyAlignment="1">
      <alignment horizontal="right"/>
    </xf>
    <xf numFmtId="166" fontId="2" fillId="9" borderId="8" xfId="1" applyNumberFormat="1" applyFont="1" applyFill="1" applyBorder="1" applyAlignment="1">
      <alignment horizontal="right"/>
    </xf>
    <xf numFmtId="166" fontId="2" fillId="9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171" fontId="0" fillId="0" borderId="0" xfId="0" applyNumberFormat="1"/>
    <xf numFmtId="172" fontId="0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7" fillId="3" borderId="0" xfId="0" applyFont="1" applyFill="1" applyBorder="1" applyAlignment="1">
      <alignment horizontal="center"/>
    </xf>
    <xf numFmtId="173" fontId="0" fillId="0" borderId="0" xfId="0" applyNumberFormat="1"/>
    <xf numFmtId="0" fontId="0" fillId="0" borderId="0" xfId="0" applyBorder="1"/>
    <xf numFmtId="0" fontId="2" fillId="9" borderId="5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0" fillId="6" borderId="0" xfId="0" applyFill="1" applyBorder="1"/>
    <xf numFmtId="166" fontId="27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172" fontId="0" fillId="0" borderId="0" xfId="1" applyNumberFormat="1" applyFont="1" applyFill="1"/>
    <xf numFmtId="0" fontId="0" fillId="0" borderId="0" xfId="0" applyAlignment="1">
      <alignment horizontal="center" wrapText="1"/>
    </xf>
    <xf numFmtId="0" fontId="0" fillId="0" borderId="8" xfId="0" applyBorder="1"/>
    <xf numFmtId="0" fontId="29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30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6" fontId="31" fillId="0" borderId="0" xfId="1" applyNumberFormat="1" applyFont="1"/>
    <xf numFmtId="166" fontId="0" fillId="0" borderId="0" xfId="1" applyNumberFormat="1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21" fillId="0" borderId="0" xfId="0" applyFont="1" applyBorder="1"/>
    <xf numFmtId="0" fontId="21" fillId="0" borderId="5" xfId="0" applyFont="1" applyBorder="1"/>
    <xf numFmtId="0" fontId="26" fillId="0" borderId="0" xfId="0" applyFont="1"/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169" fontId="0" fillId="0" borderId="0" xfId="2" applyNumberFormat="1" applyFont="1" applyBorder="1"/>
    <xf numFmtId="0" fontId="2" fillId="11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2" fillId="12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6" fontId="0" fillId="0" borderId="0" xfId="0" applyNumberFormat="1" applyBorder="1"/>
    <xf numFmtId="172" fontId="28" fillId="6" borderId="0" xfId="1" applyNumberFormat="1" applyFont="1" applyFill="1" applyBorder="1"/>
    <xf numFmtId="0" fontId="28" fillId="6" borderId="0" xfId="0" applyFont="1" applyFill="1" applyBorder="1"/>
    <xf numFmtId="172" fontId="28" fillId="6" borderId="6" xfId="1" applyNumberFormat="1" applyFont="1" applyFill="1" applyBorder="1"/>
    <xf numFmtId="14" fontId="3" fillId="0" borderId="5" xfId="0" applyNumberFormat="1" applyFont="1" applyFill="1" applyBorder="1"/>
    <xf numFmtId="172" fontId="3" fillId="0" borderId="0" xfId="1" applyNumberFormat="1" applyFont="1" applyFill="1" applyBorder="1"/>
    <xf numFmtId="0" fontId="3" fillId="0" borderId="0" xfId="0" applyFont="1" applyFill="1" applyBorder="1"/>
    <xf numFmtId="172" fontId="3" fillId="0" borderId="6" xfId="1" applyNumberFormat="1" applyFont="1" applyFill="1" applyBorder="1"/>
    <xf numFmtId="0" fontId="4" fillId="2" borderId="0" xfId="0" quotePrefix="1" applyFont="1" applyFill="1" applyBorder="1" applyAlignment="1">
      <alignment horizontal="right" vertic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1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69" fontId="0" fillId="0" borderId="0" xfId="2" applyNumberFormat="1" applyFont="1" applyAlignment="1">
      <alignment horizontal="right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 vertical="center"/>
    </xf>
    <xf numFmtId="177" fontId="0" fillId="0" borderId="0" xfId="19" applyNumberFormat="1" applyFont="1" applyAlignment="1">
      <alignment horizontal="center"/>
    </xf>
    <xf numFmtId="174" fontId="0" fillId="0" borderId="0" xfId="0" applyNumberFormat="1" applyAlignment="1">
      <alignment horizontal="center"/>
    </xf>
    <xf numFmtId="0" fontId="2" fillId="13" borderId="0" xfId="0" applyFont="1" applyFill="1" applyAlignment="1">
      <alignment horizontal="right"/>
    </xf>
    <xf numFmtId="0" fontId="0" fillId="13" borderId="0" xfId="0" applyFill="1"/>
    <xf numFmtId="0" fontId="32" fillId="13" borderId="0" xfId="0" applyFont="1" applyFill="1"/>
    <xf numFmtId="0" fontId="32" fillId="13" borderId="0" xfId="0" applyFont="1" applyFill="1" applyAlignment="1">
      <alignment horizontal="center"/>
    </xf>
    <xf numFmtId="175" fontId="34" fillId="13" borderId="0" xfId="0" applyNumberFormat="1" applyFont="1" applyFill="1" applyAlignment="1">
      <alignment horizontal="center"/>
    </xf>
    <xf numFmtId="0" fontId="2" fillId="13" borderId="0" xfId="0" applyFont="1" applyFill="1"/>
    <xf numFmtId="0" fontId="2" fillId="13" borderId="0" xfId="0" applyFont="1" applyFill="1" applyAlignment="1">
      <alignment horizontal="left"/>
    </xf>
    <xf numFmtId="0" fontId="0" fillId="14" borderId="0" xfId="0" applyFill="1" applyAlignment="1">
      <alignment horizontal="right"/>
    </xf>
    <xf numFmtId="0" fontId="0" fillId="14" borderId="0" xfId="0" applyFill="1" applyAlignment="1">
      <alignment horizontal="center"/>
    </xf>
    <xf numFmtId="176" fontId="0" fillId="14" borderId="0" xfId="1" applyNumberFormat="1" applyFont="1" applyFill="1" applyAlignment="1">
      <alignment horizontal="right"/>
    </xf>
    <xf numFmtId="176" fontId="0" fillId="14" borderId="0" xfId="0" applyNumberFormat="1" applyFill="1" applyAlignment="1">
      <alignment horizontal="right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4" fontId="0" fillId="0" borderId="0" xfId="0" applyNumberFormat="1" applyAlignment="1">
      <alignment horizontal="left"/>
    </xf>
    <xf numFmtId="169" fontId="0" fillId="0" borderId="0" xfId="0" applyNumberFormat="1"/>
    <xf numFmtId="165" fontId="2" fillId="0" borderId="0" xfId="2" applyNumberFormat="1" applyFont="1"/>
    <xf numFmtId="169" fontId="0" fillId="0" borderId="13" xfId="2" applyNumberFormat="1" applyFont="1" applyBorder="1"/>
    <xf numFmtId="169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center" vertical="center"/>
    </xf>
    <xf numFmtId="166" fontId="2" fillId="13" borderId="0" xfId="1" applyNumberFormat="1" applyFont="1" applyFill="1" applyAlignment="1">
      <alignment horizontal="center"/>
    </xf>
    <xf numFmtId="169" fontId="0" fillId="0" borderId="0" xfId="2" applyNumberFormat="1" applyFont="1" applyAlignment="1">
      <alignment horizontal="center" vertical="center"/>
    </xf>
    <xf numFmtId="169" fontId="0" fillId="14" borderId="0" xfId="0" applyNumberFormat="1" applyFill="1" applyAlignment="1">
      <alignment horizontal="right"/>
    </xf>
    <xf numFmtId="169" fontId="0" fillId="0" borderId="3" xfId="1" applyNumberFormat="1" applyFont="1" applyBorder="1" applyAlignment="1">
      <alignment horizontal="center"/>
    </xf>
    <xf numFmtId="169" fontId="2" fillId="13" borderId="13" xfId="2" applyNumberFormat="1" applyFont="1" applyFill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0" fontId="35" fillId="0" borderId="0" xfId="0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68" fontId="10" fillId="7" borderId="0" xfId="4" applyFill="1"/>
    <xf numFmtId="14" fontId="36" fillId="15" borderId="5" xfId="0" applyNumberFormat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20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/>
    <xf numFmtId="43" fontId="38" fillId="0" borderId="0" xfId="1" applyFont="1" applyAlignment="1">
      <alignment horizontal="center"/>
    </xf>
    <xf numFmtId="0" fontId="4" fillId="0" borderId="0" xfId="11" applyFont="1" applyAlignment="1">
      <alignment horizontal="center" wrapText="1"/>
    </xf>
    <xf numFmtId="43" fontId="18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3" fontId="0" fillId="0" borderId="13" xfId="0" applyNumberFormat="1" applyBorder="1" applyAlignment="1">
      <alignment horizontal="center"/>
    </xf>
    <xf numFmtId="0" fontId="4" fillId="0" borderId="0" xfId="0" applyFont="1"/>
    <xf numFmtId="0" fontId="2" fillId="13" borderId="0" xfId="0" applyFont="1" applyFill="1" applyAlignment="1">
      <alignment horizontal="center"/>
    </xf>
    <xf numFmtId="172" fontId="0" fillId="0" borderId="0" xfId="0" applyNumberFormat="1"/>
    <xf numFmtId="0" fontId="0" fillId="0" borderId="0" xfId="0" applyAlignment="1">
      <alignment horizontal="center"/>
    </xf>
    <xf numFmtId="179" fontId="0" fillId="0" borderId="0" xfId="0" applyNumberFormat="1"/>
    <xf numFmtId="0" fontId="0" fillId="0" borderId="0" xfId="0" applyAlignment="1">
      <alignment horizontal="left" indent="2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75" fontId="26" fillId="0" borderId="0" xfId="0" applyNumberFormat="1" applyFont="1" applyFill="1" applyAlignment="1">
      <alignment horizontal="center"/>
    </xf>
    <xf numFmtId="166" fontId="0" fillId="14" borderId="0" xfId="1" applyNumberFormat="1" applyFont="1" applyFill="1"/>
    <xf numFmtId="169" fontId="0" fillId="14" borderId="0" xfId="2" applyNumberFormat="1" applyFont="1" applyFill="1"/>
    <xf numFmtId="169" fontId="0" fillId="14" borderId="3" xfId="2" applyNumberFormat="1" applyFont="1" applyFill="1" applyBorder="1"/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0" fillId="16" borderId="0" xfId="2" applyNumberFormat="1" applyFont="1" applyFill="1"/>
    <xf numFmtId="0" fontId="0" fillId="0" borderId="0" xfId="0" applyAlignment="1">
      <alignment horizontal="center"/>
    </xf>
    <xf numFmtId="176" fontId="0" fillId="0" borderId="0" xfId="0" applyNumberFormat="1" applyFill="1" applyAlignment="1">
      <alignment horizontal="right"/>
    </xf>
    <xf numFmtId="169" fontId="0" fillId="14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165" fontId="0" fillId="17" borderId="0" xfId="2" applyNumberFormat="1" applyFont="1" applyFill="1"/>
    <xf numFmtId="165" fontId="0" fillId="18" borderId="0" xfId="2" applyNumberFormat="1" applyFont="1" applyFill="1"/>
    <xf numFmtId="14" fontId="0" fillId="0" borderId="0" xfId="0" applyNumberFormat="1" applyFill="1"/>
    <xf numFmtId="0" fontId="3" fillId="0" borderId="0" xfId="0" applyFont="1" applyBorder="1" applyAlignment="1">
      <alignment horizontal="center"/>
    </xf>
    <xf numFmtId="172" fontId="28" fillId="0" borderId="0" xfId="1" applyNumberFormat="1" applyFont="1" applyFill="1" applyBorder="1"/>
    <xf numFmtId="0" fontId="0" fillId="0" borderId="0" xfId="0" applyAlignment="1">
      <alignment horizontal="center"/>
    </xf>
    <xf numFmtId="168" fontId="16" fillId="50" borderId="1" xfId="4" applyFont="1" applyFill="1" applyBorder="1"/>
    <xf numFmtId="168" fontId="13" fillId="50" borderId="1" xfId="4" applyFont="1" applyFill="1" applyBorder="1"/>
    <xf numFmtId="16" fontId="17" fillId="50" borderId="1" xfId="10" applyNumberFormat="1" applyFont="1" applyFill="1" applyBorder="1"/>
    <xf numFmtId="16" fontId="17" fillId="50" borderId="1" xfId="9" applyNumberFormat="1" applyFont="1" applyFill="1" applyBorder="1"/>
    <xf numFmtId="166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10" fontId="36" fillId="0" borderId="0" xfId="19" applyNumberFormat="1" applyFont="1"/>
    <xf numFmtId="10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30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6" fontId="0" fillId="0" borderId="0" xfId="1" applyNumberFormat="1" applyFont="1"/>
    <xf numFmtId="4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165" fontId="2" fillId="3" borderId="15" xfId="2" applyNumberFormat="1" applyFont="1" applyFill="1" applyBorder="1"/>
    <xf numFmtId="165" fontId="2" fillId="0" borderId="0" xfId="2" applyNumberFormat="1" applyFont="1" applyFill="1" applyBorder="1"/>
    <xf numFmtId="166" fontId="4" fillId="0" borderId="0" xfId="1" applyNumberFormat="1" applyFont="1" applyAlignment="1">
      <alignment horizontal="right" vertical="center"/>
    </xf>
    <xf numFmtId="169" fontId="0" fillId="0" borderId="0" xfId="0" applyNumberFormat="1"/>
    <xf numFmtId="0" fontId="0" fillId="0" borderId="0" xfId="0" applyFill="1"/>
    <xf numFmtId="165" fontId="0" fillId="0" borderId="0" xfId="0" applyNumberFormat="1"/>
    <xf numFmtId="10" fontId="0" fillId="0" borderId="0" xfId="19" applyNumberFormat="1" applyFont="1"/>
    <xf numFmtId="166" fontId="0" fillId="0" borderId="0" xfId="1" applyNumberFormat="1" applyFont="1" applyFill="1"/>
    <xf numFmtId="0" fontId="0" fillId="0" borderId="0" xfId="0"/>
    <xf numFmtId="0" fontId="21" fillId="0" borderId="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169" fontId="0" fillId="0" borderId="0" xfId="2" applyNumberFormat="1" applyFont="1" applyFill="1" applyAlignment="1">
      <alignment horizontal="right"/>
    </xf>
    <xf numFmtId="44" fontId="0" fillId="0" borderId="0" xfId="2" applyFont="1" applyFill="1"/>
    <xf numFmtId="0" fontId="0" fillId="0" borderId="0" xfId="0" applyAlignment="1">
      <alignment horizontal="center"/>
    </xf>
    <xf numFmtId="165" fontId="0" fillId="0" borderId="3" xfId="2" applyNumberFormat="1" applyFont="1" applyBorder="1"/>
    <xf numFmtId="0" fontId="0" fillId="0" borderId="0" xfId="0" applyAlignment="1"/>
    <xf numFmtId="0" fontId="2" fillId="0" borderId="0" xfId="0" applyFont="1" applyFill="1" applyAlignment="1">
      <alignment horizontal="left"/>
    </xf>
    <xf numFmtId="169" fontId="2" fillId="0" borderId="0" xfId="2" applyNumberFormat="1" applyFont="1" applyFill="1" applyBorder="1" applyAlignment="1">
      <alignment horizontal="center"/>
    </xf>
    <xf numFmtId="169" fontId="0" fillId="0" borderId="0" xfId="0" applyNumberFormat="1" applyFill="1" applyBorder="1"/>
    <xf numFmtId="0" fontId="2" fillId="0" borderId="0" xfId="0" applyFont="1" applyFill="1" applyBorder="1"/>
    <xf numFmtId="0" fontId="0" fillId="51" borderId="0" xfId="0" applyFill="1"/>
    <xf numFmtId="0" fontId="2" fillId="0" borderId="14" xfId="0" applyFont="1" applyFill="1" applyBorder="1"/>
    <xf numFmtId="165" fontId="2" fillId="0" borderId="15" xfId="2" applyNumberFormat="1" applyFont="1" applyFill="1" applyBorder="1"/>
    <xf numFmtId="169" fontId="0" fillId="14" borderId="0" xfId="2" applyNumberFormat="1" applyFont="1" applyFill="1" applyAlignment="1">
      <alignment horizontal="center"/>
    </xf>
    <xf numFmtId="0" fontId="4" fillId="0" borderId="0" xfId="0" applyFont="1" applyFill="1" applyAlignment="1">
      <alignment horizontal="right" vertical="center"/>
    </xf>
    <xf numFmtId="169" fontId="0" fillId="0" borderId="0" xfId="2" applyNumberFormat="1" applyFont="1" applyFill="1"/>
    <xf numFmtId="169" fontId="0" fillId="0" borderId="0" xfId="0" applyNumberFormat="1" applyFill="1"/>
    <xf numFmtId="165" fontId="0" fillId="0" borderId="0" xfId="0" applyNumberFormat="1" applyFill="1"/>
    <xf numFmtId="179" fontId="0" fillId="0" borderId="0" xfId="1" applyNumberFormat="1" applyFont="1" applyFill="1"/>
    <xf numFmtId="10" fontId="0" fillId="0" borderId="0" xfId="19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169" fontId="0" fillId="0" borderId="0" xfId="0" applyNumberFormat="1" applyFill="1" applyAlignment="1">
      <alignment horizontal="right"/>
    </xf>
    <xf numFmtId="175" fontId="2" fillId="13" borderId="0" xfId="0" applyNumberFormat="1" applyFont="1" applyFill="1" applyAlignment="1">
      <alignment horizontal="center"/>
    </xf>
    <xf numFmtId="0" fontId="2" fillId="13" borderId="0" xfId="0" applyFont="1" applyFill="1" applyAlignment="1">
      <alignment horizontal="center" wrapText="1"/>
    </xf>
    <xf numFmtId="169" fontId="32" fillId="51" borderId="0" xfId="2" applyNumberFormat="1" applyFont="1" applyFill="1"/>
    <xf numFmtId="169" fontId="32" fillId="51" borderId="13" xfId="0" applyNumberFormat="1" applyFont="1" applyFill="1" applyBorder="1"/>
    <xf numFmtId="0" fontId="0" fillId="0" borderId="0" xfId="0" applyAlignment="1">
      <alignment horizontal="center"/>
    </xf>
    <xf numFmtId="166" fontId="0" fillId="4" borderId="0" xfId="1" applyNumberFormat="1" applyFont="1" applyFill="1" applyAlignment="1">
      <alignment horizontal="right"/>
    </xf>
    <xf numFmtId="44" fontId="2" fillId="13" borderId="0" xfId="2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0" fillId="0" borderId="0" xfId="0" applyNumberFormat="1"/>
    <xf numFmtId="181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1" applyNumberFormat="1" applyFont="1" applyFill="1"/>
    <xf numFmtId="169" fontId="0" fillId="0" borderId="0" xfId="2" applyNumberFormat="1" applyFont="1" applyAlignment="1"/>
    <xf numFmtId="169" fontId="0" fillId="0" borderId="0" xfId="0" applyNumberFormat="1" applyFill="1" applyAlignment="1"/>
    <xf numFmtId="0" fontId="0" fillId="0" borderId="0" xfId="0" applyAlignment="1">
      <alignment horizontal="center"/>
    </xf>
    <xf numFmtId="0" fontId="10" fillId="0" borderId="0" xfId="4" applyNumberFormat="1"/>
    <xf numFmtId="168" fontId="12" fillId="50" borderId="1" xfId="4" applyFont="1" applyFill="1" applyBorder="1" applyAlignment="1">
      <alignment horizontal="center"/>
    </xf>
    <xf numFmtId="168" fontId="15" fillId="50" borderId="1" xfId="4" applyFont="1" applyFill="1" applyBorder="1" applyAlignment="1">
      <alignment horizontal="center"/>
    </xf>
    <xf numFmtId="168" fontId="15" fillId="52" borderId="1" xfId="4" applyFont="1" applyFill="1" applyBorder="1" applyAlignment="1">
      <alignment horizontal="center"/>
    </xf>
    <xf numFmtId="168" fontId="12" fillId="50" borderId="1" xfId="4" applyFont="1" applyFill="1" applyBorder="1"/>
    <xf numFmtId="168" fontId="12" fillId="52" borderId="1" xfId="4" applyFont="1" applyFill="1" applyBorder="1"/>
    <xf numFmtId="168" fontId="13" fillId="52" borderId="1" xfId="4" applyFont="1" applyFill="1" applyBorder="1"/>
    <xf numFmtId="1" fontId="17" fillId="50" borderId="1" xfId="4" quotePrefix="1" applyNumberFormat="1" applyFont="1" applyFill="1" applyBorder="1" applyAlignment="1">
      <alignment horizontal="center"/>
    </xf>
    <xf numFmtId="1" fontId="17" fillId="52" borderId="1" xfId="4" quotePrefix="1" applyNumberFormat="1" applyFont="1" applyFill="1" applyBorder="1" applyAlignment="1">
      <alignment horizontal="center"/>
    </xf>
    <xf numFmtId="16" fontId="17" fillId="52" borderId="1" xfId="10" applyNumberFormat="1" applyFont="1" applyFill="1" applyBorder="1"/>
    <xf numFmtId="168" fontId="15" fillId="50" borderId="1" xfId="4" applyFont="1" applyFill="1" applyBorder="1"/>
    <xf numFmtId="168" fontId="15" fillId="52" borderId="1" xfId="4" applyFont="1" applyFill="1" applyBorder="1"/>
    <xf numFmtId="168" fontId="16" fillId="52" borderId="1" xfId="4" applyFont="1" applyFill="1" applyBorder="1"/>
    <xf numFmtId="16" fontId="17" fillId="52" borderId="1" xfId="9" applyNumberFormat="1" applyFont="1" applyFill="1" applyBorder="1"/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right"/>
    </xf>
    <xf numFmtId="166" fontId="0" fillId="0" borderId="0" xfId="1" applyNumberFormat="1" applyFont="1" applyFill="1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14" borderId="0" xfId="0" applyFill="1"/>
    <xf numFmtId="165" fontId="0" fillId="14" borderId="0" xfId="0" applyNumberFormat="1" applyFill="1"/>
    <xf numFmtId="169" fontId="0" fillId="14" borderId="0" xfId="0" applyNumberFormat="1" applyFill="1"/>
    <xf numFmtId="169" fontId="0" fillId="14" borderId="0" xfId="0" applyNumberFormat="1" applyFill="1" applyAlignment="1"/>
    <xf numFmtId="166" fontId="0" fillId="14" borderId="0" xfId="1" applyNumberFormat="1" applyFont="1" applyFill="1" applyBorder="1"/>
    <xf numFmtId="3" fontId="0" fillId="14" borderId="0" xfId="0" applyNumberFormat="1" applyFill="1"/>
    <xf numFmtId="171" fontId="0" fillId="0" borderId="0" xfId="0" applyNumberFormat="1" applyFill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71" fontId="0" fillId="0" borderId="0" xfId="0" applyNumberFormat="1" applyFill="1" applyBorder="1"/>
    <xf numFmtId="172" fontId="0" fillId="0" borderId="0" xfId="1" applyNumberFormat="1" applyFont="1" applyFill="1" applyBorder="1"/>
    <xf numFmtId="176" fontId="0" fillId="0" borderId="0" xfId="1" applyNumberFormat="1" applyFont="1" applyFill="1" applyAlignment="1">
      <alignment horizontal="right"/>
    </xf>
    <xf numFmtId="166" fontId="0" fillId="0" borderId="0" xfId="0" applyNumberFormat="1" applyFill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0" fillId="6" borderId="2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4" xfId="0" applyFont="1" applyBorder="1" applyAlignment="1">
      <alignment horizontal="center"/>
    </xf>
    <xf numFmtId="170" fontId="0" fillId="0" borderId="0" xfId="19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51" borderId="0" xfId="0" applyFont="1" applyFill="1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0" fontId="33" fillId="1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7" borderId="0" xfId="4" applyFill="1" applyAlignment="1">
      <alignment horizontal="left" vertical="top" wrapText="1"/>
    </xf>
    <xf numFmtId="0" fontId="39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Alignment="1">
      <alignment horizontal="center"/>
    </xf>
  </cellXfs>
  <cellStyles count="68">
    <cellStyle name="20% - Accent1" xfId="44" builtinId="30" customBuiltin="1"/>
    <cellStyle name="20% - Accent2" xfId="47" builtinId="34" customBuiltin="1"/>
    <cellStyle name="20% - Accent3" xfId="50" builtinId="38" customBuiltin="1"/>
    <cellStyle name="20% - Accent4" xfId="53" builtinId="42" customBuiltin="1"/>
    <cellStyle name="20% - Accent5" xfId="56" builtinId="46" customBuiltin="1"/>
    <cellStyle name="20% - Accent6" xfId="59" builtinId="50" customBuiltin="1"/>
    <cellStyle name="40% - Accent1" xfId="45" builtinId="31" customBuiltin="1"/>
    <cellStyle name="40% - Accent2" xfId="48" builtinId="35" customBuiltin="1"/>
    <cellStyle name="40% - Accent3" xfId="51" builtinId="39" customBuiltin="1"/>
    <cellStyle name="40% - Accent4" xfId="54" builtinId="43" customBuiltin="1"/>
    <cellStyle name="40% - Accent5" xfId="57" builtinId="47" customBuiltin="1"/>
    <cellStyle name="40% - Accent6" xfId="60" builtinId="51" customBuiltin="1"/>
    <cellStyle name="60% - Accent1 2" xfId="62" xr:uid="{00000000-0005-0000-0000-00000C000000}"/>
    <cellStyle name="60% - Accent2 2" xfId="61" xr:uid="{00000000-0005-0000-0000-00000D000000}"/>
    <cellStyle name="60% - Accent3 2" xfId="64" xr:uid="{00000000-0005-0000-0000-00000E000000}"/>
    <cellStyle name="60% - Accent4 2" xfId="65" xr:uid="{00000000-0005-0000-0000-00000F000000}"/>
    <cellStyle name="60% - Accent5 2" xfId="66" xr:uid="{00000000-0005-0000-0000-000010000000}"/>
    <cellStyle name="60% - Accent6 2" xfId="67" xr:uid="{00000000-0005-0000-0000-000011000000}"/>
    <cellStyle name="Accent1" xfId="43" builtinId="29" customBuiltin="1"/>
    <cellStyle name="Accent2" xfId="46" builtinId="33" customBuiltin="1"/>
    <cellStyle name="Accent3" xfId="49" builtinId="37" customBuiltin="1"/>
    <cellStyle name="Accent4" xfId="52" builtinId="41" customBuiltin="1"/>
    <cellStyle name="Accent5" xfId="55" builtinId="45" customBuiltin="1"/>
    <cellStyle name="Accent6" xfId="58" builtinId="49" customBuiltin="1"/>
    <cellStyle name="Bad" xfId="33" builtinId="27" customBuiltin="1"/>
    <cellStyle name="Calculation" xfId="36" builtinId="22" customBuiltin="1"/>
    <cellStyle name="Check Cell" xfId="38" builtinId="23" customBuiltin="1"/>
    <cellStyle name="Comma" xfId="1" builtinId="3"/>
    <cellStyle name="Currency" xfId="2" builtinId="4"/>
    <cellStyle name="Explanatory Text" xfId="41" builtinId="53" customBuilti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0" builtinId="8"/>
    <cellStyle name="Input" xfId="34" builtinId="20" customBuiltin="1"/>
    <cellStyle name="Linked Cell" xfId="37" builtinId="24" customBuiltin="1"/>
    <cellStyle name="Neutral 2" xfId="63" xr:uid="{00000000-0005-0000-0000-000026000000}"/>
    <cellStyle name="Normal" xfId="0" builtinId="0"/>
    <cellStyle name="Normal 2" xfId="3" xr:uid="{00000000-0005-0000-0000-000028000000}"/>
    <cellStyle name="Normal 26" xfId="5" xr:uid="{00000000-0005-0000-0000-000029000000}"/>
    <cellStyle name="Normal 26 2" xfId="13" xr:uid="{00000000-0005-0000-0000-00002A000000}"/>
    <cellStyle name="Normal 28" xfId="6" xr:uid="{00000000-0005-0000-0000-00002B000000}"/>
    <cellStyle name="Normal 28 2" xfId="14" xr:uid="{00000000-0005-0000-0000-00002C000000}"/>
    <cellStyle name="Normal 3" xfId="11" xr:uid="{00000000-0005-0000-0000-00002D000000}"/>
    <cellStyle name="Normal 30" xfId="7" xr:uid="{00000000-0005-0000-0000-00002E000000}"/>
    <cellStyle name="Normal 30 2" xfId="15" xr:uid="{00000000-0005-0000-0000-00002F000000}"/>
    <cellStyle name="Normal 32" xfId="8" xr:uid="{00000000-0005-0000-0000-000030000000}"/>
    <cellStyle name="Normal 32 2" xfId="16" xr:uid="{00000000-0005-0000-0000-000031000000}"/>
    <cellStyle name="Normal 34" xfId="9" xr:uid="{00000000-0005-0000-0000-000032000000}"/>
    <cellStyle name="Normal 34 2" xfId="17" xr:uid="{00000000-0005-0000-0000-000033000000}"/>
    <cellStyle name="Normal 36" xfId="10" xr:uid="{00000000-0005-0000-0000-000034000000}"/>
    <cellStyle name="Normal 36 2" xfId="18" xr:uid="{00000000-0005-0000-0000-000035000000}"/>
    <cellStyle name="Normal 37 3" xfId="21" xr:uid="{00000000-0005-0000-0000-000036000000}"/>
    <cellStyle name="Normal 38" xfId="23" xr:uid="{00000000-0005-0000-0000-000037000000}"/>
    <cellStyle name="Normal 39 2" xfId="25" xr:uid="{00000000-0005-0000-0000-000038000000}"/>
    <cellStyle name="Normal 40 2" xfId="24" xr:uid="{00000000-0005-0000-0000-000039000000}"/>
    <cellStyle name="Normal 41 2" xfId="22" xr:uid="{00000000-0005-0000-0000-00003A000000}"/>
    <cellStyle name="Normal 42 2" xfId="26" xr:uid="{00000000-0005-0000-0000-00003B000000}"/>
    <cellStyle name="Normal_dr_0102_-_meter_reading_schedule" xfId="4" xr:uid="{00000000-0005-0000-0000-00003C000000}"/>
    <cellStyle name="Note" xfId="40" builtinId="10" customBuiltin="1"/>
    <cellStyle name="Output" xfId="35" builtinId="21" customBuiltin="1"/>
    <cellStyle name="Percent" xfId="19" builtinId="5"/>
    <cellStyle name="Percent 2" xfId="12" xr:uid="{00000000-0005-0000-0000-000040000000}"/>
    <cellStyle name="Title" xfId="27" builtinId="15" customBuiltin="1"/>
    <cellStyle name="Total" xfId="42" builtinId="25" customBuiltin="1"/>
    <cellStyle name="Warning Text" xfId="39" builtinId="11" customBuiltin="1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5B9BD5"/>
      <color rgb="FF5B95D5"/>
      <color rgb="FF0060A8"/>
      <color rgb="FF00FF00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  <sheetName val="Rules &amp; Assumptions"/>
      <sheetName val="Allocation % 20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efis.psc.mo.gov/mpsc/commoncomponents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mrcc.illinois.edu/CLIMATE/Station/Daily/StnDyBTD.jsp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mrcc.illinois.edu/CLIMATE/Station/Daily/StnDyBTD.jsp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AU131"/>
  <sheetViews>
    <sheetView tabSelected="1" zoomScale="85" zoomScaleNormal="85" workbookViewId="0">
      <selection sqref="A1:XFD1048576"/>
    </sheetView>
  </sheetViews>
  <sheetFormatPr defaultRowHeight="15" x14ac:dyDescent="0.25"/>
  <cols>
    <col min="1" max="1" width="17.5703125" style="293" customWidth="1"/>
    <col min="2" max="3" width="11" style="293" customWidth="1"/>
    <col min="4" max="4" width="11" style="296" customWidth="1"/>
    <col min="5" max="5" width="13" style="293" customWidth="1"/>
    <col min="6" max="6" width="15.42578125" style="293" customWidth="1"/>
    <col min="7" max="7" width="5.85546875" style="293" customWidth="1"/>
    <col min="8" max="8" width="26.7109375" style="293" customWidth="1"/>
    <col min="9" max="9" width="14.42578125" style="293" customWidth="1"/>
    <col min="10" max="10" width="9.140625" style="293"/>
    <col min="11" max="11" width="9.7109375" style="293" bestFit="1" customWidth="1"/>
    <col min="12" max="12" width="9.140625" style="293"/>
    <col min="13" max="13" width="10.28515625" style="293" customWidth="1"/>
    <col min="14" max="15" width="9.140625" style="293"/>
    <col min="16" max="16" width="2.140625" style="293" customWidth="1"/>
    <col min="17" max="17" width="9.140625" style="293"/>
    <col min="18" max="18" width="11.28515625" style="293" customWidth="1"/>
    <col min="19" max="23" width="9.140625" style="293"/>
    <col min="24" max="24" width="10.85546875" style="61" customWidth="1"/>
    <col min="25" max="25" width="11.28515625" style="61" customWidth="1"/>
    <col min="26" max="30" width="10.7109375" style="289" bestFit="1" customWidth="1"/>
    <col min="31" max="31" width="10.85546875" style="289" bestFit="1" customWidth="1"/>
    <col min="32" max="32" width="10.85546875" style="61" bestFit="1" customWidth="1"/>
    <col min="33" max="35" width="10.85546875" style="293" bestFit="1" customWidth="1"/>
    <col min="36" max="36" width="10.7109375" style="293" bestFit="1" customWidth="1"/>
    <col min="37" max="41" width="11" style="293" bestFit="1" customWidth="1"/>
    <col min="42" max="47" width="10.7109375" style="293" bestFit="1" customWidth="1"/>
    <col min="48" max="16384" width="9.140625" style="293"/>
  </cols>
  <sheetData>
    <row r="1" spans="1:31" ht="18.75" x14ac:dyDescent="0.3">
      <c r="D1" s="297" t="s">
        <v>232</v>
      </c>
    </row>
    <row r="2" spans="1:31" x14ac:dyDescent="0.25">
      <c r="D2" s="298" t="s">
        <v>122</v>
      </c>
    </row>
    <row r="3" spans="1:31" x14ac:dyDescent="0.25">
      <c r="D3" s="298" t="s">
        <v>123</v>
      </c>
    </row>
    <row r="4" spans="1:31" x14ac:dyDescent="0.25">
      <c r="D4" s="298" t="s">
        <v>138</v>
      </c>
      <c r="Z4" s="61"/>
      <c r="AA4" s="61"/>
      <c r="AB4" s="61"/>
      <c r="AC4" s="61"/>
      <c r="AD4" s="61"/>
      <c r="AE4" s="61"/>
    </row>
    <row r="5" spans="1:31" x14ac:dyDescent="0.25">
      <c r="D5" s="298" t="s">
        <v>139</v>
      </c>
      <c r="Z5" s="61"/>
      <c r="AA5" s="61"/>
      <c r="AB5" s="61"/>
      <c r="AC5" s="61"/>
      <c r="AD5" s="61"/>
      <c r="AE5" s="61"/>
    </row>
    <row r="6" spans="1:31" x14ac:dyDescent="0.25">
      <c r="K6" s="253">
        <v>1</v>
      </c>
      <c r="L6" s="253">
        <f>K6+1</f>
        <v>2</v>
      </c>
      <c r="M6" s="253">
        <f t="shared" ref="M6:T6" si="0">L6+1</f>
        <v>3</v>
      </c>
      <c r="N6" s="253">
        <f t="shared" si="0"/>
        <v>4</v>
      </c>
      <c r="O6" s="253">
        <f t="shared" si="0"/>
        <v>5</v>
      </c>
      <c r="P6" s="253">
        <f t="shared" si="0"/>
        <v>6</v>
      </c>
      <c r="Q6" s="253">
        <f t="shared" si="0"/>
        <v>7</v>
      </c>
      <c r="R6" s="253">
        <f t="shared" si="0"/>
        <v>8</v>
      </c>
      <c r="S6" s="253">
        <f t="shared" si="0"/>
        <v>9</v>
      </c>
      <c r="T6" s="253">
        <f t="shared" si="0"/>
        <v>10</v>
      </c>
      <c r="U6" s="253"/>
      <c r="V6" s="253"/>
      <c r="X6" s="61" t="s">
        <v>137</v>
      </c>
      <c r="Z6" s="61"/>
      <c r="AA6" s="61"/>
      <c r="AB6" s="61"/>
      <c r="AC6" s="61"/>
      <c r="AD6" s="61"/>
      <c r="AE6" s="61"/>
    </row>
    <row r="7" spans="1:31" x14ac:dyDescent="0.25">
      <c r="K7" s="383" t="s">
        <v>129</v>
      </c>
      <c r="L7" s="384"/>
      <c r="M7" s="384"/>
      <c r="N7" s="384"/>
      <c r="O7" s="384"/>
      <c r="P7" s="384"/>
      <c r="Q7" s="384"/>
      <c r="R7" s="384"/>
      <c r="S7" s="384"/>
      <c r="T7" s="385"/>
      <c r="U7" s="259"/>
      <c r="V7" s="259"/>
      <c r="W7" s="296"/>
      <c r="Z7" s="61"/>
      <c r="AA7" s="61"/>
      <c r="AB7" s="61"/>
      <c r="AC7" s="61"/>
      <c r="AD7" s="61"/>
      <c r="AE7" s="61"/>
    </row>
    <row r="8" spans="1:31" x14ac:dyDescent="0.25">
      <c r="K8" s="143"/>
      <c r="L8" s="387" t="s">
        <v>18</v>
      </c>
      <c r="M8" s="387"/>
      <c r="N8" s="387"/>
      <c r="O8" s="387"/>
      <c r="P8" s="115"/>
      <c r="Q8" s="387" t="s">
        <v>64</v>
      </c>
      <c r="R8" s="387"/>
      <c r="S8" s="387"/>
      <c r="T8" s="388"/>
      <c r="U8" s="253"/>
      <c r="V8" s="253"/>
      <c r="W8" s="296"/>
      <c r="Z8" s="61"/>
      <c r="AA8" s="61"/>
      <c r="AB8" s="61"/>
      <c r="AC8" s="61"/>
      <c r="AD8" s="61"/>
      <c r="AE8" s="61"/>
    </row>
    <row r="9" spans="1:31" x14ac:dyDescent="0.25">
      <c r="A9" s="296"/>
      <c r="B9" s="298"/>
      <c r="C9" s="298" t="s">
        <v>115</v>
      </c>
      <c r="D9" s="298"/>
      <c r="E9" s="298" t="s">
        <v>118</v>
      </c>
      <c r="F9" s="298" t="s">
        <v>25</v>
      </c>
      <c r="K9" s="143"/>
      <c r="L9" s="386" t="s">
        <v>128</v>
      </c>
      <c r="M9" s="386"/>
      <c r="N9" s="386" t="s">
        <v>19</v>
      </c>
      <c r="O9" s="386"/>
      <c r="P9" s="146"/>
      <c r="Q9" s="386" t="s">
        <v>128</v>
      </c>
      <c r="R9" s="386"/>
      <c r="S9" s="386" t="s">
        <v>19</v>
      </c>
      <c r="T9" s="389"/>
      <c r="U9" s="294"/>
      <c r="V9" s="294"/>
      <c r="W9" s="296"/>
      <c r="Z9" s="61"/>
      <c r="AA9" s="61"/>
      <c r="AB9" s="61"/>
      <c r="AC9" s="61"/>
      <c r="AD9" s="61"/>
      <c r="AE9" s="61"/>
    </row>
    <row r="10" spans="1:31" x14ac:dyDescent="0.25">
      <c r="A10" s="296"/>
      <c r="B10" s="298" t="s">
        <v>114</v>
      </c>
      <c r="C10" s="298" t="s">
        <v>116</v>
      </c>
      <c r="D10" s="298" t="s">
        <v>117</v>
      </c>
      <c r="E10" s="298" t="s">
        <v>116</v>
      </c>
      <c r="F10" s="298" t="s">
        <v>119</v>
      </c>
      <c r="H10" s="148" t="s">
        <v>140</v>
      </c>
      <c r="I10" s="148"/>
      <c r="K10" s="147" t="s">
        <v>116</v>
      </c>
      <c r="L10" s="294" t="s">
        <v>127</v>
      </c>
      <c r="M10" s="294" t="s">
        <v>108</v>
      </c>
      <c r="N10" s="294" t="s">
        <v>127</v>
      </c>
      <c r="O10" s="294" t="s">
        <v>108</v>
      </c>
      <c r="P10" s="146"/>
      <c r="Q10" s="294" t="s">
        <v>127</v>
      </c>
      <c r="R10" s="294" t="s">
        <v>108</v>
      </c>
      <c r="S10" s="294" t="s">
        <v>127</v>
      </c>
      <c r="T10" s="295" t="s">
        <v>108</v>
      </c>
      <c r="U10" s="294"/>
      <c r="V10" s="294"/>
      <c r="W10" s="296"/>
      <c r="Z10" s="61"/>
      <c r="AA10" s="61"/>
      <c r="AB10" s="61"/>
      <c r="AC10" s="61"/>
      <c r="AD10" s="61"/>
      <c r="AE10" s="61"/>
    </row>
    <row r="11" spans="1:31" ht="6" customHeight="1" x14ac:dyDescent="0.25">
      <c r="K11" s="143"/>
      <c r="L11" s="115"/>
      <c r="M11" s="115"/>
      <c r="N11" s="115"/>
      <c r="O11" s="115"/>
      <c r="P11" s="115"/>
      <c r="Q11" s="115"/>
      <c r="R11" s="115"/>
      <c r="S11" s="115"/>
      <c r="T11" s="144"/>
      <c r="U11" s="127"/>
      <c r="V11" s="127"/>
      <c r="Z11" s="61"/>
      <c r="AA11" s="61"/>
      <c r="AB11" s="61"/>
      <c r="AC11" s="61"/>
      <c r="AD11" s="61"/>
      <c r="AE11" s="61"/>
    </row>
    <row r="12" spans="1:31" ht="15" customHeight="1" x14ac:dyDescent="0.25">
      <c r="A12" s="109" t="s">
        <v>149</v>
      </c>
      <c r="F12" s="289"/>
      <c r="K12" s="216">
        <v>43556</v>
      </c>
      <c r="L12" s="161">
        <v>-1.1270000000000001E-2</v>
      </c>
      <c r="M12" s="161">
        <v>0</v>
      </c>
      <c r="N12" s="161">
        <v>-1.5900000000000001E-3</v>
      </c>
      <c r="O12" s="161">
        <v>0</v>
      </c>
      <c r="P12" s="162"/>
      <c r="Q12" s="161">
        <v>-4.7699999999999999E-3</v>
      </c>
      <c r="R12" s="161">
        <v>0</v>
      </c>
      <c r="S12" s="161">
        <v>-5.5000000000000003E-4</v>
      </c>
      <c r="T12" s="163">
        <v>0</v>
      </c>
      <c r="U12" s="260"/>
      <c r="V12" s="260"/>
      <c r="W12" s="108"/>
      <c r="X12" s="374" t="s">
        <v>136</v>
      </c>
      <c r="Y12" s="375"/>
      <c r="Z12" s="375"/>
      <c r="AA12" s="375"/>
      <c r="AB12" s="376"/>
      <c r="AC12" s="61"/>
      <c r="AD12" s="61"/>
      <c r="AE12" s="61"/>
    </row>
    <row r="13" spans="1:31" x14ac:dyDescent="0.25">
      <c r="A13" s="293" t="s">
        <v>113</v>
      </c>
      <c r="B13" s="293" t="str">
        <f>YEAR(C13)&amp;" S"&amp;IF(MONTH(C13)=10,2,IF(MONTH(C13)=4,1,"ERROR"))</f>
        <v>2021 S1</v>
      </c>
      <c r="C13" s="68">
        <v>44287</v>
      </c>
      <c r="D13" s="296">
        <v>12</v>
      </c>
      <c r="E13" s="107">
        <f>EOMONTH(C13,11)</f>
        <v>44651</v>
      </c>
      <c r="F13" s="132">
        <f>'CSWNA Summary'!E21</f>
        <v>1.208E-2</v>
      </c>
      <c r="H13" s="293" t="s">
        <v>130</v>
      </c>
      <c r="K13" s="216">
        <v>43739</v>
      </c>
      <c r="L13" s="161">
        <v>-2.0449999999999999E-2</v>
      </c>
      <c r="M13" s="161">
        <v>0</v>
      </c>
      <c r="N13" s="161">
        <v>2.3700000000000001E-3</v>
      </c>
      <c r="O13" s="161">
        <v>0</v>
      </c>
      <c r="P13" s="162"/>
      <c r="Q13" s="161">
        <v>-8.5599999999999999E-3</v>
      </c>
      <c r="R13" s="161">
        <v>0</v>
      </c>
      <c r="S13" s="161">
        <v>8.0000000000000004E-4</v>
      </c>
      <c r="T13" s="163">
        <v>0</v>
      </c>
      <c r="U13" s="260"/>
      <c r="V13" s="260"/>
      <c r="W13" s="108"/>
      <c r="X13" s="377"/>
      <c r="Y13" s="378"/>
      <c r="Z13" s="378"/>
      <c r="AA13" s="378"/>
      <c r="AB13" s="379"/>
      <c r="AC13" s="61"/>
      <c r="AD13" s="61"/>
      <c r="AE13" s="61"/>
    </row>
    <row r="14" spans="1:31" x14ac:dyDescent="0.25">
      <c r="B14" s="293" t="str">
        <f>YEAR(C14)&amp;" S"&amp;IF(MONTH(C14)=10,2,IF(MONTH(C14)=4,1,"ERROR"))</f>
        <v>2020 S2</v>
      </c>
      <c r="C14" s="68">
        <f>EOMONTH(C13,-7)+1</f>
        <v>44105</v>
      </c>
      <c r="D14" s="296">
        <v>12</v>
      </c>
      <c r="E14" s="107">
        <f>EOMONTH(C14,11)</f>
        <v>44469</v>
      </c>
      <c r="F14" s="132">
        <f>VLOOKUP(C14,$K$13:$T$28,$L$6,FALSE)</f>
        <v>-1.2099999999999999E-3</v>
      </c>
      <c r="H14" s="293" t="s">
        <v>173</v>
      </c>
      <c r="K14" s="216">
        <v>43922</v>
      </c>
      <c r="L14" s="161">
        <v>1.8530000000000001E-2</v>
      </c>
      <c r="M14" s="161">
        <v>-1.8400000000000001E-3</v>
      </c>
      <c r="N14" s="161">
        <v>1.7559999999999999E-2</v>
      </c>
      <c r="O14" s="161">
        <v>6.0000000000000002E-5</v>
      </c>
      <c r="P14" s="162"/>
      <c r="Q14" s="161">
        <v>7.7999999999999996E-3</v>
      </c>
      <c r="R14" s="161">
        <v>4.8999999999999998E-4</v>
      </c>
      <c r="S14" s="161">
        <v>5.9800000000000001E-3</v>
      </c>
      <c r="T14" s="163">
        <v>6.9999999999999994E-5</v>
      </c>
      <c r="U14" s="260"/>
      <c r="V14" s="260"/>
      <c r="W14" s="108"/>
      <c r="X14" s="377"/>
      <c r="Y14" s="378"/>
      <c r="Z14" s="378"/>
      <c r="AA14" s="378"/>
      <c r="AB14" s="379"/>
      <c r="AC14" s="61"/>
      <c r="AD14" s="61"/>
      <c r="AE14" s="61"/>
    </row>
    <row r="15" spans="1:31" x14ac:dyDescent="0.25">
      <c r="B15" s="293" t="str">
        <f>YEAR(C15)&amp;" S"&amp;IF(MONTH(C15)=10,2,IF(MONTH(C15)=4,1,"ERROR"))</f>
        <v>2020 S1</v>
      </c>
      <c r="C15" s="68">
        <f>EOMONTH(C14,-7)+1</f>
        <v>43922</v>
      </c>
      <c r="D15" s="296">
        <v>12</v>
      </c>
      <c r="E15" s="107">
        <f>EOMONTH(C15,11)</f>
        <v>44286</v>
      </c>
      <c r="F15" s="132">
        <f>VLOOKUP(C15,$K$13:$T$28,$L$6,FALSE)</f>
        <v>1.8530000000000001E-2</v>
      </c>
      <c r="H15" s="293" t="s">
        <v>173</v>
      </c>
      <c r="K15" s="164">
        <v>44105</v>
      </c>
      <c r="L15" s="165">
        <v>-1.2099999999999999E-3</v>
      </c>
      <c r="M15" s="165">
        <v>8.3000000000000001E-4</v>
      </c>
      <c r="N15" s="165">
        <v>6.96E-3</v>
      </c>
      <c r="O15" s="165">
        <v>-1.0000000000000001E-5</v>
      </c>
      <c r="P15" s="166"/>
      <c r="Q15" s="165">
        <v>-4.0999999999999999E-4</v>
      </c>
      <c r="R15" s="165">
        <v>4.8999999999999998E-4</v>
      </c>
      <c r="S15" s="165">
        <v>2.3999999999999998E-3</v>
      </c>
      <c r="T15" s="167">
        <v>-4.0000000000000003E-5</v>
      </c>
      <c r="U15" s="260"/>
      <c r="V15" s="260"/>
      <c r="W15" s="108"/>
      <c r="X15" s="377"/>
      <c r="Y15" s="378"/>
      <c r="Z15" s="378"/>
      <c r="AA15" s="378"/>
      <c r="AB15" s="379"/>
      <c r="AC15" s="61"/>
      <c r="AD15" s="61"/>
      <c r="AE15" s="61"/>
    </row>
    <row r="16" spans="1:31" ht="15" customHeight="1" x14ac:dyDescent="0.25">
      <c r="A16" s="289"/>
      <c r="B16" s="289"/>
      <c r="C16" s="258"/>
      <c r="D16" s="299"/>
      <c r="E16" s="364"/>
      <c r="F16" s="132"/>
      <c r="G16" s="289"/>
      <c r="K16" s="164">
        <v>44287</v>
      </c>
      <c r="L16" s="165">
        <f>'CSWNA Summary'!E21</f>
        <v>1.208E-2</v>
      </c>
      <c r="M16" s="165">
        <f>'SRR Summary'!E66</f>
        <v>-2E-3</v>
      </c>
      <c r="N16" s="165">
        <f>'CSWNA Summary'!$K$21</f>
        <v>1.265E-2</v>
      </c>
      <c r="O16" s="165">
        <f>'SRR Summary'!K66</f>
        <v>-6.0000000000000002E-5</v>
      </c>
      <c r="P16" s="166"/>
      <c r="Q16" s="165">
        <f>'CSWNA Summary'!$I$21</f>
        <v>4.8599999999999997E-3</v>
      </c>
      <c r="R16" s="165">
        <f>'SRR Summary'!I66</f>
        <v>-1.4999999999999999E-4</v>
      </c>
      <c r="S16" s="165">
        <f>'CSWNA Summary'!$M$21</f>
        <v>4.3499999999999997E-3</v>
      </c>
      <c r="T16" s="167">
        <f>'SRR Summary'!M66</f>
        <v>-3.8999999999999999E-4</v>
      </c>
      <c r="U16" s="165"/>
      <c r="V16" s="165"/>
      <c r="W16" s="132"/>
      <c r="X16" s="380"/>
      <c r="Y16" s="381"/>
      <c r="Z16" s="381"/>
      <c r="AA16" s="381"/>
      <c r="AB16" s="382"/>
      <c r="AC16" s="61"/>
      <c r="AD16" s="61"/>
      <c r="AE16" s="61"/>
    </row>
    <row r="17" spans="1:47" x14ac:dyDescent="0.25">
      <c r="F17" s="289"/>
      <c r="K17" s="112"/>
      <c r="L17" s="134"/>
      <c r="M17" s="134"/>
      <c r="N17" s="134"/>
      <c r="O17" s="134"/>
      <c r="P17" s="134"/>
      <c r="Q17" s="134"/>
      <c r="R17" s="134"/>
      <c r="S17" s="134"/>
      <c r="T17" s="145"/>
      <c r="U17" s="115"/>
      <c r="V17" s="115"/>
      <c r="Z17" s="61"/>
      <c r="AA17" s="61"/>
      <c r="AB17" s="61"/>
      <c r="AC17" s="61"/>
      <c r="AD17" s="61"/>
      <c r="AE17" s="61"/>
    </row>
    <row r="18" spans="1:47" x14ac:dyDescent="0.25">
      <c r="A18" s="293" t="s">
        <v>120</v>
      </c>
      <c r="B18" s="293" t="str">
        <f t="shared" ref="B18:C20" si="1">B13</f>
        <v>2021 S1</v>
      </c>
      <c r="C18" s="68">
        <f t="shared" si="1"/>
        <v>44287</v>
      </c>
      <c r="D18" s="296">
        <v>12</v>
      </c>
      <c r="E18" s="107">
        <f>EOMONTH(C18,11)</f>
        <v>44651</v>
      </c>
      <c r="F18" s="132">
        <f>'SRR Summary'!E66</f>
        <v>-2E-3</v>
      </c>
      <c r="H18" s="293" t="s">
        <v>131</v>
      </c>
      <c r="Z18" s="61"/>
      <c r="AA18" s="61"/>
      <c r="AB18" s="61"/>
      <c r="AC18" s="61"/>
      <c r="AD18" s="61"/>
      <c r="AE18" s="61"/>
    </row>
    <row r="19" spans="1:47" x14ac:dyDescent="0.25">
      <c r="B19" s="293" t="str">
        <f t="shared" si="1"/>
        <v>2020 S2</v>
      </c>
      <c r="C19" s="68">
        <f t="shared" si="1"/>
        <v>44105</v>
      </c>
      <c r="D19" s="296">
        <v>12</v>
      </c>
      <c r="E19" s="107">
        <f>EOMONTH(C19,11)</f>
        <v>44469</v>
      </c>
      <c r="F19" s="132">
        <f>VLOOKUP(C19,$K$13:$T$28,$M$6,FALSE)</f>
        <v>8.3000000000000001E-4</v>
      </c>
      <c r="H19" s="293" t="s">
        <v>173</v>
      </c>
      <c r="K19" s="293" t="s">
        <v>199</v>
      </c>
      <c r="L19" s="232">
        <f>F13</f>
        <v>1.208E-2</v>
      </c>
      <c r="M19" s="232">
        <f>F18</f>
        <v>-2E-3</v>
      </c>
      <c r="N19" s="232">
        <f>F28</f>
        <v>1.265E-2</v>
      </c>
      <c r="O19" s="232">
        <f>F33</f>
        <v>-6.0000000000000002E-5</v>
      </c>
      <c r="Q19" s="232">
        <f>F43</f>
        <v>4.8599999999999997E-3</v>
      </c>
      <c r="R19" s="232">
        <f>F48</f>
        <v>-1.4999999999999999E-4</v>
      </c>
      <c r="S19" s="232">
        <f>F58</f>
        <v>4.3499999999999997E-3</v>
      </c>
      <c r="T19" s="232">
        <f>F63</f>
        <v>-3.8999999999999999E-4</v>
      </c>
      <c r="U19" s="232"/>
      <c r="V19" s="232"/>
      <c r="Z19" s="61"/>
      <c r="AA19" s="61"/>
      <c r="AB19" s="61"/>
      <c r="AC19" s="61"/>
      <c r="AD19" s="61"/>
      <c r="AE19" s="61"/>
    </row>
    <row r="20" spans="1:47" x14ac:dyDescent="0.25">
      <c r="B20" s="293" t="str">
        <f t="shared" si="1"/>
        <v>2020 S1</v>
      </c>
      <c r="C20" s="68">
        <f t="shared" si="1"/>
        <v>43922</v>
      </c>
      <c r="D20" s="296">
        <v>12</v>
      </c>
      <c r="E20" s="107">
        <f>EOMONTH(C20,11)</f>
        <v>44286</v>
      </c>
      <c r="F20" s="132">
        <f>VLOOKUP(C20,$K$13:$T$28,$M$6,FALSE)</f>
        <v>-1.8400000000000001E-3</v>
      </c>
      <c r="H20" s="293" t="s">
        <v>173</v>
      </c>
      <c r="K20" s="293" t="s">
        <v>277</v>
      </c>
      <c r="L20" s="232">
        <f>L16-L19</f>
        <v>0</v>
      </c>
      <c r="M20" s="232">
        <f t="shared" ref="M20:O20" si="2">M16-M19</f>
        <v>0</v>
      </c>
      <c r="N20" s="232">
        <f t="shared" si="2"/>
        <v>0</v>
      </c>
      <c r="O20" s="232">
        <f t="shared" si="2"/>
        <v>0</v>
      </c>
      <c r="Q20" s="232">
        <f t="shared" ref="Q20" si="3">Q16-Q19</f>
        <v>0</v>
      </c>
      <c r="R20" s="232">
        <f t="shared" ref="R20" si="4">R16-R19</f>
        <v>0</v>
      </c>
      <c r="S20" s="232">
        <f t="shared" ref="S20" si="5">S16-S19</f>
        <v>0</v>
      </c>
      <c r="T20" s="232">
        <f t="shared" ref="T20" si="6">T16-T19</f>
        <v>0</v>
      </c>
      <c r="X20" s="61" t="s">
        <v>146</v>
      </c>
      <c r="Z20" s="61"/>
      <c r="AA20" s="61"/>
      <c r="AB20" s="61"/>
      <c r="AC20" s="61"/>
      <c r="AD20" s="61"/>
      <c r="AE20" s="61"/>
    </row>
    <row r="21" spans="1:47" x14ac:dyDescent="0.25">
      <c r="B21" s="289"/>
      <c r="C21" s="258"/>
      <c r="D21" s="299"/>
      <c r="E21" s="364"/>
      <c r="F21" s="132"/>
      <c r="G21" s="289"/>
      <c r="H21" s="289"/>
      <c r="I21" s="289"/>
      <c r="Z21" s="61"/>
      <c r="AA21" s="61"/>
      <c r="AB21" s="61"/>
      <c r="AC21" s="61"/>
      <c r="AD21" s="61"/>
      <c r="AE21" s="61"/>
    </row>
    <row r="22" spans="1:47" x14ac:dyDescent="0.25">
      <c r="F22" s="289"/>
      <c r="L22" s="232"/>
      <c r="N22" s="232"/>
      <c r="Q22" s="232"/>
      <c r="Z22" s="61"/>
      <c r="AA22" s="61"/>
      <c r="AB22" s="61"/>
      <c r="AC22" s="61"/>
      <c r="AD22" s="61"/>
      <c r="AE22" s="61"/>
    </row>
    <row r="23" spans="1:47" x14ac:dyDescent="0.25">
      <c r="A23" s="293" t="s">
        <v>121</v>
      </c>
      <c r="B23" s="293" t="str">
        <f t="shared" ref="B23:C24" si="7">B13</f>
        <v>2021 S1</v>
      </c>
      <c r="C23" s="68">
        <f t="shared" si="7"/>
        <v>44287</v>
      </c>
      <c r="D23" s="296">
        <v>6</v>
      </c>
      <c r="E23" s="107">
        <f>EOMONTH(C23,D23-1)</f>
        <v>44469</v>
      </c>
      <c r="F23" s="132">
        <f>F13+F14+F18+F19</f>
        <v>9.7000000000000003E-3</v>
      </c>
      <c r="H23" s="293" t="s">
        <v>132</v>
      </c>
      <c r="Z23" s="61"/>
      <c r="AA23" s="61"/>
      <c r="AB23" s="61"/>
      <c r="AC23" s="61"/>
      <c r="AD23" s="61"/>
      <c r="AE23" s="61"/>
    </row>
    <row r="24" spans="1:47" x14ac:dyDescent="0.25">
      <c r="B24" s="293" t="str">
        <f t="shared" si="7"/>
        <v>2020 S2</v>
      </c>
      <c r="C24" s="68">
        <f t="shared" si="7"/>
        <v>44105</v>
      </c>
      <c r="D24" s="296">
        <v>6</v>
      </c>
      <c r="E24" s="107">
        <f t="shared" ref="E24" si="8">EOMONTH(C24,D24-1)</f>
        <v>44286</v>
      </c>
      <c r="F24" s="132">
        <f t="shared" ref="F24" si="9">F14+F15+F19+F20</f>
        <v>1.6310000000000002E-2</v>
      </c>
      <c r="H24" s="293" t="s">
        <v>132</v>
      </c>
      <c r="Z24" s="61"/>
      <c r="AA24" s="61"/>
      <c r="AB24" s="61"/>
      <c r="AC24" s="61"/>
      <c r="AD24" s="61"/>
      <c r="AE24" s="61"/>
    </row>
    <row r="25" spans="1:47" x14ac:dyDescent="0.25">
      <c r="C25" s="68"/>
      <c r="E25" s="107"/>
      <c r="F25" s="132"/>
      <c r="W25" s="289"/>
      <c r="X25" s="68">
        <f>C21</f>
        <v>0</v>
      </c>
      <c r="Y25" s="68">
        <f>EDATE(X25,1)</f>
        <v>31</v>
      </c>
      <c r="Z25" s="258">
        <f t="shared" ref="Z25:AU25" si="10">EDATE(Y25,1)</f>
        <v>59</v>
      </c>
      <c r="AA25" s="258">
        <f t="shared" si="10"/>
        <v>88</v>
      </c>
      <c r="AB25" s="258">
        <f t="shared" si="10"/>
        <v>119</v>
      </c>
      <c r="AC25" s="258">
        <f t="shared" si="10"/>
        <v>149</v>
      </c>
      <c r="AD25" s="258">
        <f t="shared" si="10"/>
        <v>180</v>
      </c>
      <c r="AE25" s="258">
        <f t="shared" si="10"/>
        <v>210</v>
      </c>
      <c r="AF25" s="68">
        <f t="shared" si="10"/>
        <v>241</v>
      </c>
      <c r="AG25" s="68">
        <f t="shared" si="10"/>
        <v>272</v>
      </c>
      <c r="AH25" s="68">
        <f t="shared" si="10"/>
        <v>302</v>
      </c>
      <c r="AI25" s="68">
        <f t="shared" si="10"/>
        <v>333</v>
      </c>
      <c r="AJ25" s="68">
        <f t="shared" si="10"/>
        <v>363</v>
      </c>
      <c r="AK25" s="68">
        <f t="shared" si="10"/>
        <v>394</v>
      </c>
      <c r="AL25" s="68">
        <f t="shared" si="10"/>
        <v>425</v>
      </c>
      <c r="AM25" s="68">
        <f t="shared" si="10"/>
        <v>453</v>
      </c>
      <c r="AN25" s="68">
        <f t="shared" si="10"/>
        <v>484</v>
      </c>
      <c r="AO25" s="68">
        <f t="shared" si="10"/>
        <v>514</v>
      </c>
      <c r="AP25" s="68">
        <f t="shared" si="10"/>
        <v>545</v>
      </c>
      <c r="AQ25" s="68">
        <f t="shared" si="10"/>
        <v>575</v>
      </c>
      <c r="AR25" s="68">
        <f t="shared" si="10"/>
        <v>606</v>
      </c>
      <c r="AS25" s="68">
        <f t="shared" si="10"/>
        <v>637</v>
      </c>
      <c r="AT25" s="68">
        <f t="shared" si="10"/>
        <v>667</v>
      </c>
      <c r="AU25" s="68">
        <f t="shared" si="10"/>
        <v>698</v>
      </c>
    </row>
    <row r="26" spans="1:47" x14ac:dyDescent="0.25">
      <c r="E26" s="68"/>
      <c r="F26" s="132"/>
      <c r="U26" s="269"/>
      <c r="V26" s="269" t="s">
        <v>212</v>
      </c>
      <c r="W26" s="289" t="s">
        <v>210</v>
      </c>
      <c r="X26" s="289"/>
      <c r="Y26" s="289"/>
      <c r="AF26" s="289"/>
    </row>
    <row r="27" spans="1:47" x14ac:dyDescent="0.25">
      <c r="A27" s="109" t="s">
        <v>147</v>
      </c>
      <c r="F27" s="289"/>
      <c r="L27" s="68"/>
      <c r="M27" s="68"/>
      <c r="N27" s="68"/>
      <c r="Q27" s="68"/>
      <c r="R27" s="68"/>
      <c r="S27" s="68"/>
      <c r="W27" s="68" t="str">
        <f>IF(MONTH(X25)=4,"S1","S2")</f>
        <v>S2</v>
      </c>
      <c r="X27" s="256" t="e">
        <f>VLOOKUP(X$25,$K$12:$T$16,2,FALSE)</f>
        <v>#N/A</v>
      </c>
      <c r="Y27" s="211" t="e">
        <f>X27</f>
        <v>#N/A</v>
      </c>
      <c r="Z27" s="255" t="e">
        <f t="shared" ref="Z27:AO31" si="11">Y27</f>
        <v>#N/A</v>
      </c>
      <c r="AA27" s="255" t="e">
        <f t="shared" si="11"/>
        <v>#N/A</v>
      </c>
      <c r="AB27" s="255" t="e">
        <f t="shared" si="11"/>
        <v>#N/A</v>
      </c>
      <c r="AC27" s="255" t="e">
        <f t="shared" si="11"/>
        <v>#N/A</v>
      </c>
      <c r="AD27" s="255" t="e">
        <f t="shared" si="11"/>
        <v>#N/A</v>
      </c>
      <c r="AE27" s="255" t="e">
        <f t="shared" si="11"/>
        <v>#N/A</v>
      </c>
      <c r="AF27" s="211" t="e">
        <f t="shared" si="11"/>
        <v>#N/A</v>
      </c>
      <c r="AG27" s="211" t="e">
        <f t="shared" si="11"/>
        <v>#N/A</v>
      </c>
      <c r="AH27" s="211" t="e">
        <f t="shared" si="11"/>
        <v>#N/A</v>
      </c>
      <c r="AI27" s="211" t="e">
        <f t="shared" si="11"/>
        <v>#N/A</v>
      </c>
      <c r="AJ27" s="256" t="e">
        <f>VLOOKUP(AJ$25,$K$12:$T$16,2,FALSE)</f>
        <v>#N/A</v>
      </c>
      <c r="AK27" s="211" t="e">
        <f>AJ27</f>
        <v>#N/A</v>
      </c>
      <c r="AL27" s="211" t="e">
        <f t="shared" ref="AL27:AU28" si="12">AK27</f>
        <v>#N/A</v>
      </c>
      <c r="AM27" s="211" t="e">
        <f t="shared" si="12"/>
        <v>#N/A</v>
      </c>
      <c r="AN27" s="211" t="e">
        <f t="shared" si="12"/>
        <v>#N/A</v>
      </c>
      <c r="AO27" s="211" t="e">
        <f t="shared" si="12"/>
        <v>#N/A</v>
      </c>
      <c r="AP27" s="255" t="e">
        <f t="shared" si="12"/>
        <v>#N/A</v>
      </c>
      <c r="AQ27" s="211" t="e">
        <f t="shared" si="12"/>
        <v>#N/A</v>
      </c>
      <c r="AR27" s="211" t="e">
        <f t="shared" si="12"/>
        <v>#N/A</v>
      </c>
      <c r="AS27" s="211" t="e">
        <f t="shared" si="12"/>
        <v>#N/A</v>
      </c>
      <c r="AT27" s="211" t="e">
        <f t="shared" si="12"/>
        <v>#N/A</v>
      </c>
      <c r="AU27" s="211" t="e">
        <f t="shared" si="12"/>
        <v>#N/A</v>
      </c>
    </row>
    <row r="28" spans="1:47" x14ac:dyDescent="0.25">
      <c r="A28" s="293" t="s">
        <v>113</v>
      </c>
      <c r="B28" s="293" t="str">
        <f>YEAR(C28)&amp;" S"&amp;IF(MONTH(C28)=10,2,IF(MONTH(C28)=4,1,"ERROR"))</f>
        <v>2021 S1</v>
      </c>
      <c r="C28" s="68">
        <v>44287</v>
      </c>
      <c r="D28" s="296">
        <v>12</v>
      </c>
      <c r="E28" s="107">
        <f>EOMONTH(C28,11)</f>
        <v>44651</v>
      </c>
      <c r="F28" s="132">
        <f>'CSWNA Summary'!K21</f>
        <v>1.265E-2</v>
      </c>
      <c r="H28" s="293" t="s">
        <v>130</v>
      </c>
      <c r="K28" s="68"/>
      <c r="L28" s="232"/>
      <c r="Q28" s="108"/>
      <c r="R28" s="108"/>
      <c r="S28" s="108"/>
      <c r="W28" s="108" t="str">
        <f>IF(W27="S1","S2","S1")</f>
        <v>S1</v>
      </c>
      <c r="X28" s="211"/>
      <c r="Y28" s="211"/>
      <c r="Z28" s="132"/>
      <c r="AA28" s="132"/>
      <c r="AB28" s="132"/>
      <c r="AC28" s="132"/>
      <c r="AD28" s="257" t="e">
        <f>VLOOKUP(AD$25,$K$12:$T$16,2,FALSE)</f>
        <v>#N/A</v>
      </c>
      <c r="AE28" s="255" t="e">
        <f t="shared" si="11"/>
        <v>#N/A</v>
      </c>
      <c r="AF28" s="211" t="e">
        <f t="shared" si="11"/>
        <v>#N/A</v>
      </c>
      <c r="AG28" s="211" t="e">
        <f t="shared" si="11"/>
        <v>#N/A</v>
      </c>
      <c r="AH28" s="211" t="e">
        <f t="shared" si="11"/>
        <v>#N/A</v>
      </c>
      <c r="AI28" s="211" t="e">
        <f t="shared" si="11"/>
        <v>#N/A</v>
      </c>
      <c r="AJ28" s="211" t="e">
        <f t="shared" si="11"/>
        <v>#N/A</v>
      </c>
      <c r="AK28" s="211" t="e">
        <f t="shared" si="11"/>
        <v>#N/A</v>
      </c>
      <c r="AL28" s="211" t="e">
        <f t="shared" si="11"/>
        <v>#N/A</v>
      </c>
      <c r="AM28" s="211" t="e">
        <f t="shared" si="11"/>
        <v>#N/A</v>
      </c>
      <c r="AN28" s="211" t="e">
        <f t="shared" si="11"/>
        <v>#N/A</v>
      </c>
      <c r="AO28" s="211" t="e">
        <f t="shared" si="11"/>
        <v>#N/A</v>
      </c>
      <c r="AP28" s="257" t="e">
        <f>VLOOKUP(AP$25,$K$12:$T$16,2,FALSE)</f>
        <v>#N/A</v>
      </c>
      <c r="AQ28" s="211" t="e">
        <f t="shared" si="12"/>
        <v>#N/A</v>
      </c>
      <c r="AR28" s="211" t="e">
        <f t="shared" si="12"/>
        <v>#N/A</v>
      </c>
      <c r="AS28" s="211" t="e">
        <f t="shared" si="12"/>
        <v>#N/A</v>
      </c>
      <c r="AT28" s="211" t="e">
        <f t="shared" si="12"/>
        <v>#N/A</v>
      </c>
      <c r="AU28" s="211" t="e">
        <f t="shared" si="12"/>
        <v>#N/A</v>
      </c>
    </row>
    <row r="29" spans="1:47" x14ac:dyDescent="0.25">
      <c r="B29" s="293" t="str">
        <f>YEAR(C29)&amp;" S"&amp;IF(MONTH(C29)=10,2,IF(MONTH(C29)=4,1,"ERROR"))</f>
        <v>2020 S2</v>
      </c>
      <c r="C29" s="68">
        <f>EOMONTH(C28,-7)+1</f>
        <v>44105</v>
      </c>
      <c r="D29" s="296">
        <v>12</v>
      </c>
      <c r="E29" s="107">
        <f>EOMONTH(C29,11)</f>
        <v>44469</v>
      </c>
      <c r="F29" s="132">
        <f>VLOOKUP(C29,$K$13:$T$28,$N$6,FALSE)</f>
        <v>6.96E-3</v>
      </c>
      <c r="H29" s="293" t="s">
        <v>173</v>
      </c>
      <c r="K29" s="68"/>
      <c r="L29" s="232"/>
      <c r="Q29" s="108"/>
      <c r="R29" s="108"/>
      <c r="S29" s="108"/>
      <c r="W29" s="108" t="s">
        <v>108</v>
      </c>
      <c r="X29" s="108"/>
      <c r="Y29" s="108"/>
      <c r="AF29" s="289"/>
    </row>
    <row r="30" spans="1:47" x14ac:dyDescent="0.25">
      <c r="B30" s="293" t="str">
        <f>YEAR(C30)&amp;" S"&amp;IF(MONTH(C30)=10,2,IF(MONTH(C30)=4,1,"ERROR"))</f>
        <v>2020 S1</v>
      </c>
      <c r="C30" s="68">
        <f>EOMONTH(C29,-7)+1</f>
        <v>43922</v>
      </c>
      <c r="D30" s="296">
        <v>12</v>
      </c>
      <c r="E30" s="107">
        <f>EOMONTH(C30,11)</f>
        <v>44286</v>
      </c>
      <c r="F30" s="132">
        <f>VLOOKUP(C30,$K$13:$T$28,$N$6,FALSE)</f>
        <v>1.7559999999999999E-2</v>
      </c>
      <c r="H30" s="293" t="s">
        <v>173</v>
      </c>
      <c r="K30" s="68"/>
      <c r="L30" s="232"/>
      <c r="Q30" s="108"/>
      <c r="R30" s="108"/>
      <c r="S30" s="108"/>
      <c r="W30" s="108" t="str">
        <f>W27</f>
        <v>S2</v>
      </c>
      <c r="X30" s="256" t="e">
        <f>VLOOKUP(X$25,$K$12:$T$16,3,FALSE)</f>
        <v>#N/A</v>
      </c>
      <c r="Y30" s="211" t="e">
        <f>X30</f>
        <v>#N/A</v>
      </c>
      <c r="Z30" s="255" t="e">
        <f t="shared" si="11"/>
        <v>#N/A</v>
      </c>
      <c r="AA30" s="255" t="e">
        <f t="shared" si="11"/>
        <v>#N/A</v>
      </c>
      <c r="AB30" s="255" t="e">
        <f t="shared" si="11"/>
        <v>#N/A</v>
      </c>
      <c r="AC30" s="255" t="e">
        <f t="shared" si="11"/>
        <v>#N/A</v>
      </c>
      <c r="AD30" s="255" t="e">
        <f t="shared" si="11"/>
        <v>#N/A</v>
      </c>
      <c r="AE30" s="255" t="e">
        <f t="shared" si="11"/>
        <v>#N/A</v>
      </c>
      <c r="AF30" s="211" t="e">
        <f t="shared" si="11"/>
        <v>#N/A</v>
      </c>
      <c r="AG30" s="211" t="e">
        <f t="shared" si="11"/>
        <v>#N/A</v>
      </c>
      <c r="AH30" s="211" t="e">
        <f t="shared" si="11"/>
        <v>#N/A</v>
      </c>
      <c r="AI30" s="211" t="e">
        <f t="shared" si="11"/>
        <v>#N/A</v>
      </c>
      <c r="AJ30" s="256" t="e">
        <f>VLOOKUP(AJ$25,$K$12:$T$16,3,FALSE)</f>
        <v>#N/A</v>
      </c>
      <c r="AK30" s="211" t="e">
        <f>AJ30</f>
        <v>#N/A</v>
      </c>
      <c r="AL30" s="211" t="e">
        <f t="shared" ref="AL30:AU30" si="13">AK30</f>
        <v>#N/A</v>
      </c>
      <c r="AM30" s="211" t="e">
        <f t="shared" si="13"/>
        <v>#N/A</v>
      </c>
      <c r="AN30" s="211" t="e">
        <f t="shared" si="13"/>
        <v>#N/A</v>
      </c>
      <c r="AO30" s="211" t="e">
        <f t="shared" si="13"/>
        <v>#N/A</v>
      </c>
      <c r="AP30" s="211" t="e">
        <f t="shared" si="13"/>
        <v>#N/A</v>
      </c>
      <c r="AQ30" s="211" t="e">
        <f t="shared" si="13"/>
        <v>#N/A</v>
      </c>
      <c r="AR30" s="211" t="e">
        <f t="shared" si="13"/>
        <v>#N/A</v>
      </c>
      <c r="AS30" s="211" t="e">
        <f t="shared" si="13"/>
        <v>#N/A</v>
      </c>
      <c r="AT30" s="211" t="e">
        <f t="shared" si="13"/>
        <v>#N/A</v>
      </c>
      <c r="AU30" s="211" t="e">
        <f t="shared" si="13"/>
        <v>#N/A</v>
      </c>
    </row>
    <row r="31" spans="1:47" x14ac:dyDescent="0.25">
      <c r="B31" s="289"/>
      <c r="C31" s="258"/>
      <c r="D31" s="299"/>
      <c r="E31" s="364"/>
      <c r="F31" s="132"/>
      <c r="G31" s="289"/>
      <c r="H31" s="289"/>
      <c r="I31" s="289"/>
      <c r="K31" s="68"/>
      <c r="L31" s="232"/>
      <c r="Q31" s="108"/>
      <c r="R31" s="108"/>
      <c r="S31" s="108"/>
      <c r="W31" s="108" t="str">
        <f>W28</f>
        <v>S1</v>
      </c>
      <c r="X31" s="108"/>
      <c r="Y31" s="108"/>
      <c r="AD31" s="257" t="e">
        <f>VLOOKUP(AD$25,$K$12:$T$16,3,FALSE)</f>
        <v>#N/A</v>
      </c>
      <c r="AE31" s="255" t="e">
        <f t="shared" si="11"/>
        <v>#N/A</v>
      </c>
      <c r="AF31" s="211" t="e">
        <f t="shared" si="11"/>
        <v>#N/A</v>
      </c>
      <c r="AG31" s="211" t="e">
        <f t="shared" si="11"/>
        <v>#N/A</v>
      </c>
      <c r="AH31" s="211" t="e">
        <f t="shared" si="11"/>
        <v>#N/A</v>
      </c>
      <c r="AI31" s="211" t="e">
        <f t="shared" si="11"/>
        <v>#N/A</v>
      </c>
      <c r="AJ31" s="211" t="e">
        <f t="shared" si="11"/>
        <v>#N/A</v>
      </c>
      <c r="AK31" s="211" t="e">
        <f t="shared" si="11"/>
        <v>#N/A</v>
      </c>
      <c r="AL31" s="211" t="e">
        <f t="shared" si="11"/>
        <v>#N/A</v>
      </c>
      <c r="AM31" s="211" t="e">
        <f t="shared" si="11"/>
        <v>#N/A</v>
      </c>
      <c r="AN31" s="211" t="e">
        <f t="shared" si="11"/>
        <v>#N/A</v>
      </c>
      <c r="AO31" s="211" t="e">
        <f t="shared" si="11"/>
        <v>#N/A</v>
      </c>
      <c r="AP31" s="257" t="e">
        <f>VLOOKUP(AP$25,$K$12:$T$16,3,FALSE)</f>
        <v>#N/A</v>
      </c>
      <c r="AQ31" s="290" t="e">
        <f>AP31</f>
        <v>#N/A</v>
      </c>
      <c r="AR31" s="290" t="e">
        <f t="shared" ref="AR31:AU31" si="14">AQ31</f>
        <v>#N/A</v>
      </c>
      <c r="AS31" s="290" t="e">
        <f t="shared" si="14"/>
        <v>#N/A</v>
      </c>
      <c r="AT31" s="290" t="e">
        <f t="shared" si="14"/>
        <v>#N/A</v>
      </c>
      <c r="AU31" s="290" t="e">
        <f t="shared" si="14"/>
        <v>#N/A</v>
      </c>
    </row>
    <row r="32" spans="1:47" x14ac:dyDescent="0.25">
      <c r="F32" s="289"/>
      <c r="K32" s="68"/>
      <c r="L32" s="232"/>
      <c r="Q32" s="108"/>
      <c r="R32" s="108"/>
      <c r="S32" s="108"/>
      <c r="W32" s="108" t="s">
        <v>211</v>
      </c>
      <c r="X32" s="256" t="e">
        <f>SUM(X27:X31)</f>
        <v>#N/A</v>
      </c>
      <c r="Y32" s="211" t="e">
        <f t="shared" ref="Y32:AU32" si="15">SUM(Y27:Y31)</f>
        <v>#N/A</v>
      </c>
      <c r="Z32" s="255" t="e">
        <f t="shared" si="15"/>
        <v>#N/A</v>
      </c>
      <c r="AA32" s="255" t="e">
        <f t="shared" si="15"/>
        <v>#N/A</v>
      </c>
      <c r="AB32" s="255" t="e">
        <f t="shared" si="15"/>
        <v>#N/A</v>
      </c>
      <c r="AC32" s="255" t="e">
        <f t="shared" si="15"/>
        <v>#N/A</v>
      </c>
      <c r="AD32" s="257" t="e">
        <f t="shared" si="15"/>
        <v>#N/A</v>
      </c>
      <c r="AE32" s="255" t="e">
        <f t="shared" si="15"/>
        <v>#N/A</v>
      </c>
      <c r="AF32" s="211" t="e">
        <f t="shared" si="15"/>
        <v>#N/A</v>
      </c>
      <c r="AG32" s="211" t="e">
        <f t="shared" si="15"/>
        <v>#N/A</v>
      </c>
      <c r="AH32" s="211" t="e">
        <f t="shared" si="15"/>
        <v>#N/A</v>
      </c>
      <c r="AI32" s="211" t="e">
        <f t="shared" si="15"/>
        <v>#N/A</v>
      </c>
      <c r="AJ32" s="256" t="e">
        <f t="shared" si="15"/>
        <v>#N/A</v>
      </c>
      <c r="AK32" s="211" t="e">
        <f t="shared" si="15"/>
        <v>#N/A</v>
      </c>
      <c r="AL32" s="211" t="e">
        <f t="shared" si="15"/>
        <v>#N/A</v>
      </c>
      <c r="AM32" s="211" t="e">
        <f t="shared" si="15"/>
        <v>#N/A</v>
      </c>
      <c r="AN32" s="211" t="e">
        <f t="shared" si="15"/>
        <v>#N/A</v>
      </c>
      <c r="AO32" s="211" t="e">
        <f t="shared" si="15"/>
        <v>#N/A</v>
      </c>
      <c r="AP32" s="257" t="e">
        <f t="shared" si="15"/>
        <v>#N/A</v>
      </c>
      <c r="AQ32" s="211" t="e">
        <f t="shared" si="15"/>
        <v>#N/A</v>
      </c>
      <c r="AR32" s="211" t="e">
        <f t="shared" si="15"/>
        <v>#N/A</v>
      </c>
      <c r="AS32" s="211" t="e">
        <f t="shared" si="15"/>
        <v>#N/A</v>
      </c>
      <c r="AT32" s="211" t="e">
        <f t="shared" si="15"/>
        <v>#N/A</v>
      </c>
      <c r="AU32" s="211" t="e">
        <f t="shared" si="15"/>
        <v>#N/A</v>
      </c>
    </row>
    <row r="33" spans="1:42" x14ac:dyDescent="0.25">
      <c r="A33" s="293" t="s">
        <v>120</v>
      </c>
      <c r="B33" s="293" t="str">
        <f t="shared" ref="B33:C35" si="16">B28</f>
        <v>2021 S1</v>
      </c>
      <c r="C33" s="68">
        <f t="shared" si="16"/>
        <v>44287</v>
      </c>
      <c r="D33" s="296">
        <v>12</v>
      </c>
      <c r="E33" s="107">
        <f>EOMONTH(C33,11)</f>
        <v>44651</v>
      </c>
      <c r="F33" s="132">
        <f>'SRR Summary'!K66</f>
        <v>-6.0000000000000002E-5</v>
      </c>
      <c r="H33" s="293" t="s">
        <v>131</v>
      </c>
      <c r="K33" s="68"/>
      <c r="L33" s="232"/>
      <c r="Q33" s="108"/>
      <c r="R33" s="108"/>
      <c r="S33" s="108"/>
      <c r="W33" s="108"/>
      <c r="X33" s="108"/>
      <c r="Y33" s="108"/>
      <c r="AF33" s="289"/>
    </row>
    <row r="34" spans="1:42" x14ac:dyDescent="0.25">
      <c r="B34" s="293" t="str">
        <f t="shared" si="16"/>
        <v>2020 S2</v>
      </c>
      <c r="C34" s="68">
        <f t="shared" si="16"/>
        <v>44105</v>
      </c>
      <c r="D34" s="296">
        <v>12</v>
      </c>
      <c r="E34" s="107">
        <f>EOMONTH(C34,11)</f>
        <v>44469</v>
      </c>
      <c r="F34" s="132">
        <f>VLOOKUP(C34,$K$13:$T$28,$O$6,FALSE)</f>
        <v>-1.0000000000000001E-5</v>
      </c>
      <c r="H34" s="293" t="s">
        <v>173</v>
      </c>
      <c r="K34" s="68"/>
      <c r="L34" s="232"/>
      <c r="M34" s="232"/>
      <c r="Q34" s="108"/>
      <c r="R34" s="108"/>
      <c r="S34" s="108"/>
      <c r="W34" s="108" t="s">
        <v>209</v>
      </c>
      <c r="X34" s="108"/>
      <c r="Y34" s="108"/>
      <c r="AD34" s="255" t="e">
        <f>VLOOKUP(AD25,$C$23:$F$25,4,FALSE)</f>
        <v>#N/A</v>
      </c>
      <c r="AF34" s="289"/>
      <c r="AJ34" s="255" t="e">
        <f>VLOOKUP(AJ25,$C$23:$F$25,4,FALSE)</f>
        <v>#N/A</v>
      </c>
      <c r="AP34" s="255" t="e">
        <f>VLOOKUP(AP25,$C$23:$F$25,4,FALSE)</f>
        <v>#N/A</v>
      </c>
    </row>
    <row r="35" spans="1:42" x14ac:dyDescent="0.25">
      <c r="B35" s="293" t="str">
        <f t="shared" si="16"/>
        <v>2020 S1</v>
      </c>
      <c r="C35" s="68">
        <f t="shared" si="16"/>
        <v>43922</v>
      </c>
      <c r="D35" s="296">
        <v>12</v>
      </c>
      <c r="E35" s="107">
        <f>EOMONTH(C35,11)</f>
        <v>44286</v>
      </c>
      <c r="F35" s="132">
        <f>VLOOKUP(C35,$K$13:$T$28,$O$6,FALSE)</f>
        <v>6.0000000000000002E-5</v>
      </c>
      <c r="H35" s="293" t="s">
        <v>173</v>
      </c>
      <c r="K35" s="68"/>
      <c r="L35" s="232"/>
      <c r="M35" s="232"/>
      <c r="Q35" s="108"/>
      <c r="R35" s="108"/>
      <c r="S35" s="108"/>
      <c r="W35" s="108"/>
      <c r="X35" s="108"/>
      <c r="Y35" s="108"/>
      <c r="AF35" s="289"/>
      <c r="AP35" s="280"/>
    </row>
    <row r="36" spans="1:42" x14ac:dyDescent="0.25">
      <c r="B36" s="127"/>
      <c r="C36" s="365"/>
      <c r="D36" s="366"/>
      <c r="E36" s="367"/>
      <c r="F36" s="368"/>
      <c r="K36" s="68"/>
      <c r="L36" s="232"/>
      <c r="M36" s="232"/>
      <c r="Q36" s="108"/>
      <c r="R36" s="108"/>
      <c r="S36" s="108"/>
      <c r="W36" s="108"/>
      <c r="X36" s="108"/>
      <c r="Y36" s="108"/>
      <c r="AF36" s="289"/>
    </row>
    <row r="37" spans="1:42" x14ac:dyDescent="0.25">
      <c r="F37" s="289"/>
      <c r="K37" s="68"/>
      <c r="L37" s="232"/>
      <c r="M37" s="232"/>
      <c r="Q37" s="108"/>
      <c r="R37" s="108"/>
      <c r="S37" s="108"/>
      <c r="W37" s="108"/>
      <c r="X37" s="108"/>
      <c r="Y37" s="108"/>
      <c r="AF37" s="289"/>
    </row>
    <row r="38" spans="1:42" x14ac:dyDescent="0.25">
      <c r="A38" s="293" t="s">
        <v>121</v>
      </c>
      <c r="B38" s="293" t="str">
        <f>B28</f>
        <v>2021 S1</v>
      </c>
      <c r="C38" s="68">
        <f>C28</f>
        <v>44287</v>
      </c>
      <c r="D38" s="296">
        <v>6</v>
      </c>
      <c r="E38" s="107">
        <f>EOMONTH(C38,D38-1)</f>
        <v>44469</v>
      </c>
      <c r="F38" s="132">
        <f>F28+F29+F33+F34</f>
        <v>1.9539999999999998E-2</v>
      </c>
      <c r="H38" s="293" t="s">
        <v>132</v>
      </c>
      <c r="K38" s="68"/>
      <c r="L38" s="232"/>
      <c r="M38" s="232"/>
      <c r="Q38" s="108"/>
      <c r="R38" s="108"/>
      <c r="S38" s="108"/>
      <c r="W38" s="108"/>
      <c r="X38" s="108"/>
      <c r="Y38" s="108"/>
      <c r="AF38" s="289"/>
    </row>
    <row r="39" spans="1:42" x14ac:dyDescent="0.25">
      <c r="B39" s="293" t="str">
        <f>B29</f>
        <v>2020 S2</v>
      </c>
      <c r="C39" s="68">
        <f>C29</f>
        <v>44105</v>
      </c>
      <c r="D39" s="296">
        <v>6</v>
      </c>
      <c r="E39" s="107">
        <f t="shared" ref="E39" si="17">EOMONTH(C39,D39-1)</f>
        <v>44286</v>
      </c>
      <c r="F39" s="132">
        <f>F29+F30+F34+F35</f>
        <v>2.4570000000000002E-2</v>
      </c>
      <c r="H39" s="293" t="s">
        <v>132</v>
      </c>
      <c r="K39" s="68"/>
      <c r="L39" s="232"/>
      <c r="M39" s="232"/>
      <c r="Q39" s="108"/>
      <c r="R39" s="108"/>
      <c r="S39" s="108"/>
      <c r="W39" s="108"/>
      <c r="X39" s="108"/>
      <c r="Y39" s="108"/>
      <c r="AF39" s="289"/>
    </row>
    <row r="40" spans="1:42" x14ac:dyDescent="0.25">
      <c r="C40" s="68"/>
      <c r="E40" s="107"/>
      <c r="F40" s="132"/>
      <c r="K40" s="68"/>
      <c r="M40" s="232"/>
      <c r="N40" s="232"/>
      <c r="Q40" s="108"/>
      <c r="R40" s="108"/>
      <c r="S40" s="232"/>
      <c r="W40" s="108"/>
      <c r="X40" s="108"/>
      <c r="Y40" s="108"/>
      <c r="AF40" s="289"/>
    </row>
    <row r="41" spans="1:42" x14ac:dyDescent="0.25">
      <c r="F41" s="289"/>
      <c r="K41" s="68"/>
      <c r="M41" s="232"/>
      <c r="N41" s="232"/>
      <c r="Q41" s="108"/>
      <c r="R41" s="108"/>
      <c r="S41" s="232"/>
      <c r="W41" s="108"/>
      <c r="X41" s="108"/>
      <c r="Y41" s="108"/>
      <c r="AF41" s="289"/>
    </row>
    <row r="42" spans="1:42" x14ac:dyDescent="0.25">
      <c r="A42" s="109" t="s">
        <v>141</v>
      </c>
      <c r="F42" s="289"/>
      <c r="K42" s="68"/>
      <c r="M42" s="232"/>
      <c r="N42" s="232"/>
      <c r="Q42" s="108"/>
      <c r="R42" s="108"/>
      <c r="S42" s="232"/>
      <c r="W42" s="108"/>
      <c r="X42" s="108"/>
      <c r="Y42" s="108"/>
      <c r="AF42" s="289"/>
    </row>
    <row r="43" spans="1:42" x14ac:dyDescent="0.25">
      <c r="A43" s="293" t="s">
        <v>113</v>
      </c>
      <c r="B43" s="293" t="str">
        <f>YEAR(C43)&amp;" S"&amp;IF(MONTH(C43)=10,2,IF(MONTH(C43)=4,1,"ERROR"))</f>
        <v>2021 S1</v>
      </c>
      <c r="C43" s="68">
        <v>44287</v>
      </c>
      <c r="D43" s="296">
        <v>12</v>
      </c>
      <c r="E43" s="107">
        <f>EOMONTH(C43,11)</f>
        <v>44651</v>
      </c>
      <c r="F43" s="132">
        <f>'CSWNA Summary'!I21</f>
        <v>4.8599999999999997E-3</v>
      </c>
      <c r="H43" s="293" t="s">
        <v>130</v>
      </c>
      <c r="K43" s="68"/>
      <c r="M43" s="232"/>
      <c r="N43" s="232"/>
      <c r="Q43" s="108"/>
      <c r="R43" s="108"/>
      <c r="S43" s="232"/>
      <c r="W43" s="108"/>
      <c r="X43" s="108"/>
      <c r="Y43" s="108"/>
      <c r="AF43" s="289"/>
    </row>
    <row r="44" spans="1:42" x14ac:dyDescent="0.25">
      <c r="B44" s="293" t="str">
        <f>YEAR(C44)&amp;" S"&amp;IF(MONTH(C44)=10,2,IF(MONTH(C44)=4,1,"ERROR"))</f>
        <v>2020 S2</v>
      </c>
      <c r="C44" s="68">
        <f>EOMONTH(C43,-7)+1</f>
        <v>44105</v>
      </c>
      <c r="D44" s="296">
        <v>12</v>
      </c>
      <c r="E44" s="107">
        <f>EOMONTH(C44,11)</f>
        <v>44469</v>
      </c>
      <c r="F44" s="132">
        <f>VLOOKUP(C44,$K$13:$T$28,$Q$6,FALSE)</f>
        <v>-4.0999999999999999E-4</v>
      </c>
      <c r="H44" s="293" t="s">
        <v>173</v>
      </c>
      <c r="K44" s="68"/>
      <c r="M44" s="232"/>
      <c r="N44" s="232"/>
      <c r="Q44" s="108"/>
      <c r="R44" s="108"/>
      <c r="S44" s="232"/>
      <c r="W44" s="108"/>
      <c r="X44" s="108"/>
      <c r="Y44" s="108"/>
      <c r="AF44" s="289"/>
    </row>
    <row r="45" spans="1:42" x14ac:dyDescent="0.25">
      <c r="B45" s="293" t="str">
        <f>YEAR(C45)&amp;" S"&amp;IF(MONTH(C45)=10,2,IF(MONTH(C45)=4,1,"ERROR"))</f>
        <v>2020 S1</v>
      </c>
      <c r="C45" s="68">
        <f>EOMONTH(C44,-7)+1</f>
        <v>43922</v>
      </c>
      <c r="D45" s="296">
        <v>12</v>
      </c>
      <c r="E45" s="107">
        <f>EOMONTH(C45,11)</f>
        <v>44286</v>
      </c>
      <c r="F45" s="132">
        <f>VLOOKUP(C45,$K$13:$T$28,$Q$6,FALSE)</f>
        <v>7.7999999999999996E-3</v>
      </c>
      <c r="H45" s="293" t="s">
        <v>173</v>
      </c>
      <c r="K45" s="68"/>
      <c r="M45" s="232"/>
      <c r="N45" s="232"/>
      <c r="Q45" s="108"/>
      <c r="R45" s="108"/>
      <c r="S45" s="232"/>
      <c r="W45" s="108"/>
      <c r="X45" s="108"/>
      <c r="Y45" s="108"/>
      <c r="AF45" s="289"/>
    </row>
    <row r="46" spans="1:42" x14ac:dyDescent="0.25">
      <c r="B46" s="289"/>
      <c r="C46" s="258"/>
      <c r="D46" s="299"/>
      <c r="E46" s="364"/>
      <c r="F46" s="132"/>
      <c r="K46" s="68"/>
      <c r="N46" s="232"/>
      <c r="Q46" s="108"/>
      <c r="R46" s="108"/>
      <c r="S46" s="232"/>
      <c r="W46" s="108"/>
      <c r="X46" s="108"/>
      <c r="Y46" s="108"/>
      <c r="AF46" s="289"/>
    </row>
    <row r="47" spans="1:42" x14ac:dyDescent="0.25">
      <c r="F47" s="289"/>
      <c r="K47" s="68"/>
      <c r="N47" s="232"/>
      <c r="Q47" s="108"/>
      <c r="R47" s="108"/>
      <c r="S47" s="232"/>
      <c r="W47" s="108"/>
      <c r="X47" s="108"/>
      <c r="Y47" s="108"/>
      <c r="AF47" s="289"/>
    </row>
    <row r="48" spans="1:42" x14ac:dyDescent="0.25">
      <c r="A48" s="293" t="s">
        <v>120</v>
      </c>
      <c r="B48" s="293" t="str">
        <f t="shared" ref="B48:C50" si="18">B43</f>
        <v>2021 S1</v>
      </c>
      <c r="C48" s="68">
        <f t="shared" si="18"/>
        <v>44287</v>
      </c>
      <c r="D48" s="296">
        <v>12</v>
      </c>
      <c r="E48" s="107">
        <f>EOMONTH(C48,11)</f>
        <v>44651</v>
      </c>
      <c r="F48" s="132">
        <f>'SRR Summary'!I66</f>
        <v>-1.4999999999999999E-4</v>
      </c>
      <c r="H48" s="293" t="s">
        <v>131</v>
      </c>
      <c r="K48" s="68"/>
      <c r="N48" s="232"/>
      <c r="Q48" s="108"/>
      <c r="R48" s="108"/>
      <c r="S48" s="232"/>
      <c r="W48" s="108"/>
      <c r="X48" s="108"/>
      <c r="Y48" s="108"/>
      <c r="AF48" s="289"/>
    </row>
    <row r="49" spans="1:32" x14ac:dyDescent="0.25">
      <c r="B49" s="293" t="str">
        <f t="shared" si="18"/>
        <v>2020 S2</v>
      </c>
      <c r="C49" s="68">
        <f t="shared" si="18"/>
        <v>44105</v>
      </c>
      <c r="D49" s="296">
        <v>12</v>
      </c>
      <c r="E49" s="107">
        <f>EOMONTH(C49,11)</f>
        <v>44469</v>
      </c>
      <c r="F49" s="132">
        <f>VLOOKUP(C49,$K$13:$T$28,$R$6,FALSE)</f>
        <v>4.8999999999999998E-4</v>
      </c>
      <c r="H49" s="293" t="s">
        <v>173</v>
      </c>
      <c r="K49" s="68"/>
      <c r="N49" s="232"/>
      <c r="Q49" s="108"/>
      <c r="R49" s="108"/>
      <c r="S49" s="232"/>
      <c r="W49" s="108"/>
      <c r="X49" s="108"/>
      <c r="Y49" s="108"/>
      <c r="AF49" s="289"/>
    </row>
    <row r="50" spans="1:32" x14ac:dyDescent="0.25">
      <c r="B50" s="293" t="str">
        <f t="shared" si="18"/>
        <v>2020 S1</v>
      </c>
      <c r="C50" s="68">
        <f t="shared" si="18"/>
        <v>43922</v>
      </c>
      <c r="D50" s="296">
        <v>12</v>
      </c>
      <c r="E50" s="107">
        <f>EOMONTH(C50,11)</f>
        <v>44286</v>
      </c>
      <c r="F50" s="132">
        <f>VLOOKUP(C50,$K$13:$T$28,$R$6,FALSE)</f>
        <v>4.8999999999999998E-4</v>
      </c>
      <c r="H50" s="293" t="s">
        <v>173</v>
      </c>
      <c r="K50" s="68"/>
      <c r="N50" s="232"/>
      <c r="Q50" s="108"/>
      <c r="R50" s="108"/>
      <c r="S50" s="232"/>
      <c r="W50" s="108"/>
      <c r="X50" s="108"/>
      <c r="Y50" s="108"/>
      <c r="AF50" s="289"/>
    </row>
    <row r="51" spans="1:32" x14ac:dyDescent="0.25">
      <c r="B51" s="289"/>
      <c r="C51" s="258"/>
      <c r="D51" s="299"/>
      <c r="E51" s="364"/>
      <c r="F51" s="132"/>
      <c r="G51" s="289"/>
      <c r="K51" s="68"/>
      <c r="N51" s="232"/>
      <c r="Q51" s="108"/>
      <c r="R51" s="108"/>
      <c r="S51" s="232"/>
      <c r="W51" s="108"/>
      <c r="X51" s="108"/>
      <c r="Y51" s="108"/>
      <c r="AF51" s="289"/>
    </row>
    <row r="52" spans="1:32" x14ac:dyDescent="0.25">
      <c r="F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AF52" s="289"/>
    </row>
    <row r="53" spans="1:32" x14ac:dyDescent="0.25">
      <c r="A53" s="293" t="s">
        <v>121</v>
      </c>
      <c r="B53" s="293" t="str">
        <f t="shared" ref="B53:C55" si="19">B43</f>
        <v>2021 S1</v>
      </c>
      <c r="C53" s="68">
        <f t="shared" si="19"/>
        <v>44287</v>
      </c>
      <c r="D53" s="296">
        <v>6</v>
      </c>
      <c r="E53" s="107">
        <f>EOMONTH(C53,D53-1)</f>
        <v>44469</v>
      </c>
      <c r="F53" s="132">
        <f>F43+F44+F48+F49</f>
        <v>4.79E-3</v>
      </c>
      <c r="H53" s="293" t="s">
        <v>132</v>
      </c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AF53" s="289"/>
    </row>
    <row r="54" spans="1:32" x14ac:dyDescent="0.25">
      <c r="B54" s="293" t="str">
        <f t="shared" si="19"/>
        <v>2020 S2</v>
      </c>
      <c r="C54" s="68">
        <f t="shared" si="19"/>
        <v>44105</v>
      </c>
      <c r="D54" s="296">
        <v>6</v>
      </c>
      <c r="E54" s="107">
        <f t="shared" ref="E54:E55" si="20">EOMONTH(C54,D54-1)</f>
        <v>44286</v>
      </c>
      <c r="F54" s="132">
        <f>F44+F45+F49+F50</f>
        <v>8.369999999999999E-3</v>
      </c>
      <c r="H54" s="293" t="s">
        <v>132</v>
      </c>
    </row>
    <row r="55" spans="1:32" x14ac:dyDescent="0.25">
      <c r="B55" s="293" t="str">
        <f t="shared" si="19"/>
        <v>2020 S1</v>
      </c>
      <c r="C55" s="68">
        <f t="shared" si="19"/>
        <v>43922</v>
      </c>
      <c r="D55" s="296">
        <v>6</v>
      </c>
      <c r="E55" s="107">
        <f t="shared" si="20"/>
        <v>44104</v>
      </c>
      <c r="F55" s="132">
        <f>F45+F47+F50+F52</f>
        <v>8.2899999999999988E-3</v>
      </c>
      <c r="H55" s="293" t="s">
        <v>132</v>
      </c>
    </row>
    <row r="56" spans="1:32" x14ac:dyDescent="0.25">
      <c r="F56" s="289"/>
    </row>
    <row r="57" spans="1:32" x14ac:dyDescent="0.25">
      <c r="A57" s="109" t="s">
        <v>148</v>
      </c>
      <c r="F57" s="289"/>
    </row>
    <row r="58" spans="1:32" x14ac:dyDescent="0.25">
      <c r="A58" s="293" t="s">
        <v>113</v>
      </c>
      <c r="B58" s="293" t="str">
        <f>YEAR(C58)&amp;" S"&amp;IF(MONTH(C58)=10,2,IF(MONTH(C58)=4,1,"ERROR"))</f>
        <v>2021 S1</v>
      </c>
      <c r="C58" s="68">
        <v>44287</v>
      </c>
      <c r="D58" s="296">
        <v>12</v>
      </c>
      <c r="E58" s="107">
        <f>EOMONTH(C58,11)</f>
        <v>44651</v>
      </c>
      <c r="F58" s="132">
        <f>'CSWNA Summary'!M21</f>
        <v>4.3499999999999997E-3</v>
      </c>
      <c r="H58" s="293" t="s">
        <v>130</v>
      </c>
    </row>
    <row r="59" spans="1:32" x14ac:dyDescent="0.25">
      <c r="B59" s="293" t="str">
        <f>YEAR(C59)&amp;" S"&amp;IF(MONTH(C59)=10,2,IF(MONTH(C59)=4,1,"ERROR"))</f>
        <v>2020 S2</v>
      </c>
      <c r="C59" s="68">
        <f>EOMONTH(C58,-7)+1</f>
        <v>44105</v>
      </c>
      <c r="D59" s="296">
        <v>12</v>
      </c>
      <c r="E59" s="107">
        <f>EOMONTH(C59,11)</f>
        <v>44469</v>
      </c>
      <c r="F59" s="132">
        <f>VLOOKUP(C59,$K$13:$T$28,$S$6,FALSE)</f>
        <v>2.3999999999999998E-3</v>
      </c>
      <c r="H59" s="293" t="s">
        <v>173</v>
      </c>
    </row>
    <row r="60" spans="1:32" x14ac:dyDescent="0.25">
      <c r="B60" s="293" t="str">
        <f>YEAR(C60)&amp;" S"&amp;IF(MONTH(C60)=10,2,IF(MONTH(C60)=4,1,"ERROR"))</f>
        <v>2020 S1</v>
      </c>
      <c r="C60" s="68">
        <f>EOMONTH(C59,-7)+1</f>
        <v>43922</v>
      </c>
      <c r="D60" s="296">
        <v>12</v>
      </c>
      <c r="E60" s="107">
        <f>EOMONTH(C60,11)</f>
        <v>44286</v>
      </c>
      <c r="F60" s="132">
        <f>VLOOKUP(C60,$K$13:$T$28,$S$6,FALSE)</f>
        <v>5.9800000000000001E-3</v>
      </c>
      <c r="H60" s="293" t="s">
        <v>173</v>
      </c>
    </row>
    <row r="61" spans="1:32" x14ac:dyDescent="0.25">
      <c r="B61" s="127"/>
      <c r="C61" s="365"/>
      <c r="D61" s="366"/>
      <c r="E61" s="367"/>
      <c r="F61" s="368"/>
    </row>
    <row r="62" spans="1:32" x14ac:dyDescent="0.25">
      <c r="F62" s="289"/>
    </row>
    <row r="63" spans="1:32" x14ac:dyDescent="0.25">
      <c r="A63" s="293" t="s">
        <v>120</v>
      </c>
      <c r="B63" s="293" t="str">
        <f t="shared" ref="B63:C65" si="21">B58</f>
        <v>2021 S1</v>
      </c>
      <c r="C63" s="68">
        <f t="shared" si="21"/>
        <v>44287</v>
      </c>
      <c r="D63" s="296">
        <v>12</v>
      </c>
      <c r="E63" s="107">
        <f>EOMONTH(C63,11)</f>
        <v>44651</v>
      </c>
      <c r="F63" s="132">
        <f>'SRR Summary'!M66</f>
        <v>-3.8999999999999999E-4</v>
      </c>
      <c r="H63" s="293" t="s">
        <v>131</v>
      </c>
    </row>
    <row r="64" spans="1:32" x14ac:dyDescent="0.25">
      <c r="B64" s="293" t="str">
        <f t="shared" si="21"/>
        <v>2020 S2</v>
      </c>
      <c r="C64" s="68">
        <f t="shared" si="21"/>
        <v>44105</v>
      </c>
      <c r="D64" s="296">
        <v>12</v>
      </c>
      <c r="E64" s="107">
        <f>EOMONTH(C64,11)</f>
        <v>44469</v>
      </c>
      <c r="F64" s="132">
        <f>VLOOKUP(C64,$K$13:$T$28,$T$6,FALSE)</f>
        <v>-4.0000000000000003E-5</v>
      </c>
      <c r="H64" s="293" t="s">
        <v>173</v>
      </c>
    </row>
    <row r="65" spans="1:9" x14ac:dyDescent="0.25">
      <c r="B65" s="293" t="str">
        <f t="shared" si="21"/>
        <v>2020 S1</v>
      </c>
      <c r="C65" s="68">
        <f t="shared" si="21"/>
        <v>43922</v>
      </c>
      <c r="D65" s="296">
        <v>12</v>
      </c>
      <c r="E65" s="107">
        <f>EOMONTH(C65,11)</f>
        <v>44286</v>
      </c>
      <c r="F65" s="132">
        <f>VLOOKUP(C65,$K$13:$T$28,$T$6,FALSE)</f>
        <v>6.9999999999999994E-5</v>
      </c>
      <c r="H65" s="293" t="s">
        <v>173</v>
      </c>
    </row>
    <row r="66" spans="1:9" x14ac:dyDescent="0.25">
      <c r="B66" s="289"/>
      <c r="C66" s="258"/>
      <c r="D66" s="299"/>
      <c r="E66" s="364"/>
      <c r="F66" s="132"/>
      <c r="G66" s="289"/>
      <c r="H66" s="289"/>
    </row>
    <row r="67" spans="1:9" x14ac:dyDescent="0.25">
      <c r="F67" s="289"/>
    </row>
    <row r="68" spans="1:9" x14ac:dyDescent="0.25">
      <c r="A68" s="293" t="s">
        <v>121</v>
      </c>
      <c r="B68" s="293" t="str">
        <f t="shared" ref="B68:C69" si="22">B58</f>
        <v>2021 S1</v>
      </c>
      <c r="C68" s="68">
        <f t="shared" si="22"/>
        <v>44287</v>
      </c>
      <c r="D68" s="296">
        <v>6</v>
      </c>
      <c r="E68" s="107">
        <f>EOMONTH(C68,D68-1)</f>
        <v>44469</v>
      </c>
      <c r="F68" s="132">
        <f>F58+F59+F63+F64</f>
        <v>6.3199999999999992E-3</v>
      </c>
      <c r="H68" s="293" t="s">
        <v>132</v>
      </c>
    </row>
    <row r="69" spans="1:9" x14ac:dyDescent="0.25">
      <c r="B69" s="293" t="str">
        <f t="shared" si="22"/>
        <v>2020 S2</v>
      </c>
      <c r="C69" s="68">
        <f t="shared" si="22"/>
        <v>44105</v>
      </c>
      <c r="D69" s="296">
        <v>6</v>
      </c>
      <c r="E69" s="107">
        <f t="shared" ref="E69" si="23">EOMONTH(C69,D69-1)</f>
        <v>44286</v>
      </c>
      <c r="F69" s="132">
        <f>F59+F60+F64+F65</f>
        <v>8.4100000000000008E-3</v>
      </c>
      <c r="H69" s="293" t="s">
        <v>132</v>
      </c>
    </row>
    <row r="70" spans="1:9" x14ac:dyDescent="0.25">
      <c r="B70" s="289"/>
      <c r="C70" s="258"/>
      <c r="D70" s="299"/>
      <c r="E70" s="364"/>
      <c r="F70" s="132"/>
      <c r="G70" s="289"/>
      <c r="H70" s="289"/>
      <c r="I70" s="289"/>
    </row>
    <row r="71" spans="1:9" ht="15.75" thickBot="1" x14ac:dyDescent="0.3"/>
    <row r="72" spans="1:9" ht="19.5" thickBot="1" x14ac:dyDescent="0.35">
      <c r="A72" s="371" t="s">
        <v>283</v>
      </c>
      <c r="B72" s="372"/>
      <c r="C72" s="372"/>
      <c r="D72" s="372"/>
      <c r="E72" s="372"/>
      <c r="F72" s="372"/>
      <c r="G72" s="372"/>
      <c r="H72" s="372"/>
      <c r="I72" s="373"/>
    </row>
    <row r="74" spans="1:9" x14ac:dyDescent="0.25">
      <c r="A74" s="109" t="s">
        <v>149</v>
      </c>
      <c r="D74" s="354"/>
      <c r="F74" s="289"/>
    </row>
    <row r="75" spans="1:9" x14ac:dyDescent="0.25">
      <c r="A75" s="293" t="s">
        <v>113</v>
      </c>
      <c r="B75" s="293" t="str">
        <f>B15</f>
        <v>2020 S1</v>
      </c>
      <c r="C75" s="68">
        <f t="shared" ref="C75:F75" si="24">C15</f>
        <v>43922</v>
      </c>
      <c r="D75" s="354">
        <f t="shared" si="24"/>
        <v>12</v>
      </c>
      <c r="E75" s="107">
        <f t="shared" si="24"/>
        <v>44286</v>
      </c>
      <c r="F75" s="132">
        <f t="shared" si="24"/>
        <v>1.8530000000000001E-2</v>
      </c>
      <c r="H75" s="293" t="s">
        <v>130</v>
      </c>
    </row>
    <row r="76" spans="1:9" x14ac:dyDescent="0.25">
      <c r="B76" s="293" t="str">
        <f>B14</f>
        <v>2020 S2</v>
      </c>
      <c r="C76" s="68">
        <f t="shared" ref="C76:F76" si="25">C14</f>
        <v>44105</v>
      </c>
      <c r="D76" s="354">
        <f t="shared" si="25"/>
        <v>12</v>
      </c>
      <c r="E76" s="107">
        <f t="shared" si="25"/>
        <v>44469</v>
      </c>
      <c r="F76" s="132">
        <f t="shared" si="25"/>
        <v>-1.2099999999999999E-3</v>
      </c>
      <c r="H76" s="293" t="s">
        <v>173</v>
      </c>
    </row>
    <row r="77" spans="1:9" x14ac:dyDescent="0.25">
      <c r="B77" s="293" t="str">
        <f>B13</f>
        <v>2021 S1</v>
      </c>
      <c r="C77" s="68">
        <f t="shared" ref="C77:F77" si="26">C13</f>
        <v>44287</v>
      </c>
      <c r="D77" s="354">
        <f t="shared" si="26"/>
        <v>12</v>
      </c>
      <c r="E77" s="107">
        <f t="shared" si="26"/>
        <v>44651</v>
      </c>
      <c r="F77" s="132">
        <f t="shared" si="26"/>
        <v>1.208E-2</v>
      </c>
      <c r="H77" s="293" t="s">
        <v>173</v>
      </c>
    </row>
    <row r="78" spans="1:9" x14ac:dyDescent="0.25">
      <c r="A78" s="289"/>
      <c r="B78" s="289"/>
      <c r="C78" s="258"/>
      <c r="D78" s="299"/>
      <c r="E78" s="364"/>
      <c r="F78" s="132"/>
      <c r="G78" s="289"/>
    </row>
    <row r="79" spans="1:9" x14ac:dyDescent="0.25">
      <c r="D79" s="354"/>
      <c r="F79" s="289"/>
    </row>
    <row r="80" spans="1:9" x14ac:dyDescent="0.25">
      <c r="A80" s="293" t="s">
        <v>120</v>
      </c>
      <c r="B80" s="293" t="str">
        <f>B20</f>
        <v>2020 S1</v>
      </c>
      <c r="C80" s="68">
        <f t="shared" ref="C80:F80" si="27">C20</f>
        <v>43922</v>
      </c>
      <c r="D80" s="354">
        <f t="shared" si="27"/>
        <v>12</v>
      </c>
      <c r="E80" s="107">
        <f t="shared" si="27"/>
        <v>44286</v>
      </c>
      <c r="F80" s="132">
        <f t="shared" si="27"/>
        <v>-1.8400000000000001E-3</v>
      </c>
      <c r="H80" s="293" t="s">
        <v>131</v>
      </c>
    </row>
    <row r="81" spans="1:8" x14ac:dyDescent="0.25">
      <c r="B81" s="293" t="str">
        <f>B19</f>
        <v>2020 S2</v>
      </c>
      <c r="C81" s="68">
        <f t="shared" ref="C81:F81" si="28">C19</f>
        <v>44105</v>
      </c>
      <c r="D81" s="354">
        <f t="shared" si="28"/>
        <v>12</v>
      </c>
      <c r="E81" s="107">
        <f t="shared" si="28"/>
        <v>44469</v>
      </c>
      <c r="F81" s="132">
        <f t="shared" si="28"/>
        <v>8.3000000000000001E-4</v>
      </c>
      <c r="H81" s="293" t="s">
        <v>173</v>
      </c>
    </row>
    <row r="82" spans="1:8" x14ac:dyDescent="0.25">
      <c r="B82" s="293" t="str">
        <f>B18</f>
        <v>2021 S1</v>
      </c>
      <c r="C82" s="68">
        <f t="shared" ref="C82:F82" si="29">C18</f>
        <v>44287</v>
      </c>
      <c r="D82" s="354">
        <f t="shared" si="29"/>
        <v>12</v>
      </c>
      <c r="E82" s="107">
        <f t="shared" si="29"/>
        <v>44651</v>
      </c>
      <c r="F82" s="132">
        <f t="shared" si="29"/>
        <v>-2E-3</v>
      </c>
      <c r="H82" s="293" t="s">
        <v>173</v>
      </c>
    </row>
    <row r="83" spans="1:8" x14ac:dyDescent="0.25">
      <c r="B83" s="289"/>
      <c r="C83" s="258"/>
      <c r="D83" s="299"/>
      <c r="E83" s="364"/>
      <c r="F83" s="132"/>
      <c r="G83" s="289"/>
      <c r="H83" s="289"/>
    </row>
    <row r="84" spans="1:8" x14ac:dyDescent="0.25">
      <c r="D84" s="354"/>
      <c r="F84" s="289"/>
    </row>
    <row r="85" spans="1:8" x14ac:dyDescent="0.25">
      <c r="A85" s="293" t="s">
        <v>121</v>
      </c>
      <c r="B85" s="293" t="str">
        <f>B24</f>
        <v>2020 S2</v>
      </c>
      <c r="C85" s="68">
        <f t="shared" ref="C85:F85" si="30">C24</f>
        <v>44105</v>
      </c>
      <c r="D85" s="354">
        <f t="shared" si="30"/>
        <v>6</v>
      </c>
      <c r="E85" s="107">
        <f t="shared" si="30"/>
        <v>44286</v>
      </c>
      <c r="F85" s="132">
        <f t="shared" si="30"/>
        <v>1.6310000000000002E-2</v>
      </c>
      <c r="H85" s="293" t="s">
        <v>132</v>
      </c>
    </row>
    <row r="86" spans="1:8" x14ac:dyDescent="0.25">
      <c r="B86" s="293" t="str">
        <f>B23</f>
        <v>2021 S1</v>
      </c>
      <c r="C86" s="68">
        <f t="shared" ref="C86:F86" si="31">C23</f>
        <v>44287</v>
      </c>
      <c r="D86" s="354">
        <f t="shared" si="31"/>
        <v>6</v>
      </c>
      <c r="E86" s="107">
        <f t="shared" si="31"/>
        <v>44469</v>
      </c>
      <c r="F86" s="132">
        <f t="shared" si="31"/>
        <v>9.7000000000000003E-3</v>
      </c>
      <c r="H86" s="293" t="s">
        <v>132</v>
      </c>
    </row>
    <row r="87" spans="1:8" x14ac:dyDescent="0.25">
      <c r="C87" s="68"/>
      <c r="D87" s="354"/>
      <c r="E87" s="107"/>
      <c r="F87" s="132"/>
    </row>
    <row r="88" spans="1:8" x14ac:dyDescent="0.25">
      <c r="D88" s="354"/>
      <c r="E88" s="68"/>
      <c r="F88" s="132"/>
    </row>
    <row r="89" spans="1:8" x14ac:dyDescent="0.25">
      <c r="A89" s="109" t="s">
        <v>147</v>
      </c>
      <c r="D89" s="354"/>
      <c r="F89" s="289"/>
    </row>
    <row r="90" spans="1:8" x14ac:dyDescent="0.25">
      <c r="A90" s="293" t="s">
        <v>113</v>
      </c>
      <c r="B90" s="293" t="str">
        <f>B30</f>
        <v>2020 S1</v>
      </c>
      <c r="C90" s="68">
        <f t="shared" ref="C90:F90" si="32">C30</f>
        <v>43922</v>
      </c>
      <c r="D90" s="354">
        <f t="shared" si="32"/>
        <v>12</v>
      </c>
      <c r="E90" s="107">
        <f t="shared" si="32"/>
        <v>44286</v>
      </c>
      <c r="F90" s="132">
        <f t="shared" si="32"/>
        <v>1.7559999999999999E-2</v>
      </c>
      <c r="H90" s="293" t="s">
        <v>130</v>
      </c>
    </row>
    <row r="91" spans="1:8" x14ac:dyDescent="0.25">
      <c r="B91" s="293" t="str">
        <f>B29</f>
        <v>2020 S2</v>
      </c>
      <c r="C91" s="68">
        <f t="shared" ref="C91:F91" si="33">C29</f>
        <v>44105</v>
      </c>
      <c r="D91" s="354">
        <f t="shared" si="33"/>
        <v>12</v>
      </c>
      <c r="E91" s="107">
        <f t="shared" si="33"/>
        <v>44469</v>
      </c>
      <c r="F91" s="132">
        <f t="shared" si="33"/>
        <v>6.96E-3</v>
      </c>
      <c r="H91" s="293" t="s">
        <v>173</v>
      </c>
    </row>
    <row r="92" spans="1:8" x14ac:dyDescent="0.25">
      <c r="B92" s="293" t="str">
        <f>B28</f>
        <v>2021 S1</v>
      </c>
      <c r="C92" s="68">
        <f t="shared" ref="C92:F92" si="34">C28</f>
        <v>44287</v>
      </c>
      <c r="D92" s="354">
        <f t="shared" si="34"/>
        <v>12</v>
      </c>
      <c r="E92" s="107">
        <f t="shared" si="34"/>
        <v>44651</v>
      </c>
      <c r="F92" s="132">
        <f t="shared" si="34"/>
        <v>1.265E-2</v>
      </c>
      <c r="H92" s="293" t="s">
        <v>173</v>
      </c>
    </row>
    <row r="93" spans="1:8" x14ac:dyDescent="0.25">
      <c r="B93" s="289"/>
      <c r="C93" s="258"/>
      <c r="D93" s="299"/>
      <c r="E93" s="364"/>
      <c r="F93" s="132"/>
      <c r="G93" s="289"/>
      <c r="H93" s="289"/>
    </row>
    <row r="94" spans="1:8" x14ac:dyDescent="0.25">
      <c r="D94" s="354"/>
      <c r="F94" s="289"/>
    </row>
    <row r="95" spans="1:8" x14ac:dyDescent="0.25">
      <c r="A95" s="293" t="s">
        <v>120</v>
      </c>
      <c r="B95" s="293" t="str">
        <f>B35</f>
        <v>2020 S1</v>
      </c>
      <c r="C95" s="68">
        <f t="shared" ref="C95:F95" si="35">C35</f>
        <v>43922</v>
      </c>
      <c r="D95" s="354">
        <f t="shared" si="35"/>
        <v>12</v>
      </c>
      <c r="E95" s="107">
        <f t="shared" si="35"/>
        <v>44286</v>
      </c>
      <c r="F95" s="132">
        <f t="shared" si="35"/>
        <v>6.0000000000000002E-5</v>
      </c>
      <c r="H95" s="293" t="s">
        <v>131</v>
      </c>
    </row>
    <row r="96" spans="1:8" x14ac:dyDescent="0.25">
      <c r="B96" s="293" t="str">
        <f>B34</f>
        <v>2020 S2</v>
      </c>
      <c r="C96" s="68">
        <f t="shared" ref="C96:F96" si="36">C34</f>
        <v>44105</v>
      </c>
      <c r="D96" s="354">
        <f t="shared" si="36"/>
        <v>12</v>
      </c>
      <c r="E96" s="107">
        <f t="shared" si="36"/>
        <v>44469</v>
      </c>
      <c r="F96" s="132">
        <f t="shared" si="36"/>
        <v>-1.0000000000000001E-5</v>
      </c>
      <c r="H96" s="293" t="s">
        <v>173</v>
      </c>
    </row>
    <row r="97" spans="1:8" x14ac:dyDescent="0.25">
      <c r="B97" s="293" t="str">
        <f>B33</f>
        <v>2021 S1</v>
      </c>
      <c r="C97" s="68">
        <f t="shared" ref="C97:F97" si="37">C33</f>
        <v>44287</v>
      </c>
      <c r="D97" s="354">
        <f t="shared" si="37"/>
        <v>12</v>
      </c>
      <c r="E97" s="107">
        <f t="shared" si="37"/>
        <v>44651</v>
      </c>
      <c r="F97" s="132">
        <f t="shared" si="37"/>
        <v>-6.0000000000000002E-5</v>
      </c>
      <c r="H97" s="293" t="s">
        <v>173</v>
      </c>
    </row>
    <row r="98" spans="1:8" x14ac:dyDescent="0.25">
      <c r="B98" s="127"/>
      <c r="C98" s="365"/>
      <c r="D98" s="366"/>
      <c r="E98" s="367"/>
      <c r="F98" s="368"/>
    </row>
    <row r="99" spans="1:8" x14ac:dyDescent="0.25">
      <c r="D99" s="354"/>
      <c r="F99" s="289"/>
    </row>
    <row r="100" spans="1:8" x14ac:dyDescent="0.25">
      <c r="A100" s="293" t="s">
        <v>121</v>
      </c>
      <c r="B100" s="293" t="str">
        <f>B39</f>
        <v>2020 S2</v>
      </c>
      <c r="C100" s="68">
        <f t="shared" ref="C100:F100" si="38">C39</f>
        <v>44105</v>
      </c>
      <c r="D100" s="354">
        <f t="shared" si="38"/>
        <v>6</v>
      </c>
      <c r="E100" s="107">
        <f t="shared" si="38"/>
        <v>44286</v>
      </c>
      <c r="F100" s="132">
        <f t="shared" si="38"/>
        <v>2.4570000000000002E-2</v>
      </c>
      <c r="H100" s="293" t="s">
        <v>132</v>
      </c>
    </row>
    <row r="101" spans="1:8" x14ac:dyDescent="0.25">
      <c r="B101" s="293" t="str">
        <f>B38</f>
        <v>2021 S1</v>
      </c>
      <c r="C101" s="68">
        <f t="shared" ref="C101:F101" si="39">C38</f>
        <v>44287</v>
      </c>
      <c r="D101" s="354">
        <f t="shared" si="39"/>
        <v>6</v>
      </c>
      <c r="E101" s="107">
        <f t="shared" si="39"/>
        <v>44469</v>
      </c>
      <c r="F101" s="132">
        <f t="shared" si="39"/>
        <v>1.9539999999999998E-2</v>
      </c>
      <c r="H101" s="293" t="s">
        <v>132</v>
      </c>
    </row>
    <row r="102" spans="1:8" x14ac:dyDescent="0.25">
      <c r="C102" s="68"/>
      <c r="D102" s="354"/>
      <c r="E102" s="107"/>
      <c r="F102" s="132"/>
    </row>
    <row r="103" spans="1:8" x14ac:dyDescent="0.25">
      <c r="D103" s="354"/>
      <c r="F103" s="289"/>
    </row>
    <row r="104" spans="1:8" x14ac:dyDescent="0.25">
      <c r="A104" s="109" t="s">
        <v>141</v>
      </c>
      <c r="D104" s="354"/>
      <c r="F104" s="289"/>
    </row>
    <row r="105" spans="1:8" x14ac:dyDescent="0.25">
      <c r="A105" s="293" t="s">
        <v>113</v>
      </c>
      <c r="B105" s="293" t="str">
        <f>B45</f>
        <v>2020 S1</v>
      </c>
      <c r="C105" s="68">
        <f t="shared" ref="C105:F105" si="40">C45</f>
        <v>43922</v>
      </c>
      <c r="D105" s="354">
        <f t="shared" si="40"/>
        <v>12</v>
      </c>
      <c r="E105" s="107">
        <f t="shared" si="40"/>
        <v>44286</v>
      </c>
      <c r="F105" s="132">
        <f t="shared" si="40"/>
        <v>7.7999999999999996E-3</v>
      </c>
      <c r="H105" s="293" t="s">
        <v>130</v>
      </c>
    </row>
    <row r="106" spans="1:8" x14ac:dyDescent="0.25">
      <c r="B106" s="293" t="str">
        <f>B44</f>
        <v>2020 S2</v>
      </c>
      <c r="C106" s="68">
        <f t="shared" ref="C106:F106" si="41">C44</f>
        <v>44105</v>
      </c>
      <c r="D106" s="354">
        <f t="shared" si="41"/>
        <v>12</v>
      </c>
      <c r="E106" s="107">
        <f t="shared" si="41"/>
        <v>44469</v>
      </c>
      <c r="F106" s="132">
        <f t="shared" si="41"/>
        <v>-4.0999999999999999E-4</v>
      </c>
      <c r="H106" s="293" t="s">
        <v>173</v>
      </c>
    </row>
    <row r="107" spans="1:8" x14ac:dyDescent="0.25">
      <c r="B107" s="293" t="str">
        <f>B43</f>
        <v>2021 S1</v>
      </c>
      <c r="C107" s="68">
        <f t="shared" ref="C107:F107" si="42">C43</f>
        <v>44287</v>
      </c>
      <c r="D107" s="354">
        <f t="shared" si="42"/>
        <v>12</v>
      </c>
      <c r="E107" s="107">
        <f t="shared" si="42"/>
        <v>44651</v>
      </c>
      <c r="F107" s="132">
        <f t="shared" si="42"/>
        <v>4.8599999999999997E-3</v>
      </c>
      <c r="H107" s="293" t="s">
        <v>173</v>
      </c>
    </row>
    <row r="108" spans="1:8" x14ac:dyDescent="0.25">
      <c r="B108" s="289"/>
      <c r="C108" s="258"/>
      <c r="D108" s="299"/>
      <c r="E108" s="364"/>
      <c r="F108" s="132"/>
    </row>
    <row r="109" spans="1:8" x14ac:dyDescent="0.25">
      <c r="D109" s="354"/>
      <c r="F109" s="289"/>
    </row>
    <row r="110" spans="1:8" x14ac:dyDescent="0.25">
      <c r="A110" s="293" t="s">
        <v>120</v>
      </c>
      <c r="B110" s="293" t="str">
        <f>B50</f>
        <v>2020 S1</v>
      </c>
      <c r="C110" s="68">
        <f t="shared" ref="C110:F110" si="43">C50</f>
        <v>43922</v>
      </c>
      <c r="D110" s="354">
        <f t="shared" si="43"/>
        <v>12</v>
      </c>
      <c r="E110" s="107">
        <f t="shared" si="43"/>
        <v>44286</v>
      </c>
      <c r="F110" s="132">
        <f t="shared" si="43"/>
        <v>4.8999999999999998E-4</v>
      </c>
      <c r="H110" s="293" t="s">
        <v>131</v>
      </c>
    </row>
    <row r="111" spans="1:8" x14ac:dyDescent="0.25">
      <c r="B111" s="293" t="str">
        <f>B49</f>
        <v>2020 S2</v>
      </c>
      <c r="C111" s="68">
        <f t="shared" ref="C111:F111" si="44">C49</f>
        <v>44105</v>
      </c>
      <c r="D111" s="354">
        <f t="shared" si="44"/>
        <v>12</v>
      </c>
      <c r="E111" s="107">
        <f t="shared" si="44"/>
        <v>44469</v>
      </c>
      <c r="F111" s="132">
        <f t="shared" si="44"/>
        <v>4.8999999999999998E-4</v>
      </c>
      <c r="H111" s="293" t="s">
        <v>173</v>
      </c>
    </row>
    <row r="112" spans="1:8" x14ac:dyDescent="0.25">
      <c r="B112" s="293" t="str">
        <f>B48</f>
        <v>2021 S1</v>
      </c>
      <c r="C112" s="68">
        <f t="shared" ref="C112:F112" si="45">C48</f>
        <v>44287</v>
      </c>
      <c r="D112" s="354">
        <f t="shared" si="45"/>
        <v>12</v>
      </c>
      <c r="E112" s="107">
        <f t="shared" si="45"/>
        <v>44651</v>
      </c>
      <c r="F112" s="132">
        <f t="shared" si="45"/>
        <v>-1.4999999999999999E-4</v>
      </c>
      <c r="H112" s="293" t="s">
        <v>173</v>
      </c>
    </row>
    <row r="113" spans="1:8" x14ac:dyDescent="0.25">
      <c r="B113" s="289"/>
      <c r="C113" s="258"/>
      <c r="D113" s="299"/>
      <c r="E113" s="364"/>
      <c r="F113" s="132"/>
      <c r="G113" s="289"/>
    </row>
    <row r="114" spans="1:8" x14ac:dyDescent="0.25">
      <c r="D114" s="354"/>
      <c r="F114" s="289"/>
    </row>
    <row r="115" spans="1:8" x14ac:dyDescent="0.25">
      <c r="A115" s="293" t="s">
        <v>121</v>
      </c>
      <c r="B115" s="293" t="str">
        <f>B54</f>
        <v>2020 S2</v>
      </c>
      <c r="C115" s="68">
        <f t="shared" ref="C115:F115" si="46">C54</f>
        <v>44105</v>
      </c>
      <c r="D115" s="354">
        <f t="shared" si="46"/>
        <v>6</v>
      </c>
      <c r="E115" s="107">
        <f t="shared" si="46"/>
        <v>44286</v>
      </c>
      <c r="F115" s="132">
        <f t="shared" si="46"/>
        <v>8.369999999999999E-3</v>
      </c>
      <c r="H115" s="293" t="s">
        <v>132</v>
      </c>
    </row>
    <row r="116" spans="1:8" x14ac:dyDescent="0.25">
      <c r="B116" s="293" t="str">
        <f>B53</f>
        <v>2021 S1</v>
      </c>
      <c r="C116" s="68">
        <f t="shared" ref="C116:F116" si="47">C53</f>
        <v>44287</v>
      </c>
      <c r="D116" s="354">
        <f t="shared" si="47"/>
        <v>6</v>
      </c>
      <c r="E116" s="107">
        <f t="shared" si="47"/>
        <v>44469</v>
      </c>
      <c r="F116" s="132">
        <f t="shared" si="47"/>
        <v>4.79E-3</v>
      </c>
      <c r="H116" s="293" t="s">
        <v>132</v>
      </c>
    </row>
    <row r="117" spans="1:8" x14ac:dyDescent="0.25">
      <c r="C117" s="68"/>
      <c r="D117" s="354"/>
      <c r="E117" s="107"/>
      <c r="F117" s="132"/>
    </row>
    <row r="118" spans="1:8" x14ac:dyDescent="0.25">
      <c r="D118" s="354"/>
      <c r="F118" s="289"/>
    </row>
    <row r="119" spans="1:8" x14ac:dyDescent="0.25">
      <c r="A119" s="109" t="s">
        <v>148</v>
      </c>
      <c r="D119" s="354"/>
      <c r="F119" s="289"/>
    </row>
    <row r="120" spans="1:8" x14ac:dyDescent="0.25">
      <c r="A120" s="293" t="s">
        <v>113</v>
      </c>
      <c r="B120" s="293" t="str">
        <f>B60</f>
        <v>2020 S1</v>
      </c>
      <c r="C120" s="68">
        <f t="shared" ref="C120:F120" si="48">C60</f>
        <v>43922</v>
      </c>
      <c r="D120" s="354">
        <f t="shared" si="48"/>
        <v>12</v>
      </c>
      <c r="E120" s="107">
        <f t="shared" si="48"/>
        <v>44286</v>
      </c>
      <c r="F120" s="132">
        <f t="shared" si="48"/>
        <v>5.9800000000000001E-3</v>
      </c>
      <c r="H120" s="293" t="s">
        <v>130</v>
      </c>
    </row>
    <row r="121" spans="1:8" x14ac:dyDescent="0.25">
      <c r="B121" s="293" t="str">
        <f>B59</f>
        <v>2020 S2</v>
      </c>
      <c r="C121" s="68">
        <f t="shared" ref="C121:F121" si="49">C59</f>
        <v>44105</v>
      </c>
      <c r="D121" s="354">
        <f t="shared" si="49"/>
        <v>12</v>
      </c>
      <c r="E121" s="107">
        <f t="shared" si="49"/>
        <v>44469</v>
      </c>
      <c r="F121" s="132">
        <f t="shared" si="49"/>
        <v>2.3999999999999998E-3</v>
      </c>
      <c r="H121" s="293" t="s">
        <v>173</v>
      </c>
    </row>
    <row r="122" spans="1:8" x14ac:dyDescent="0.25">
      <c r="B122" s="293" t="str">
        <f>B58</f>
        <v>2021 S1</v>
      </c>
      <c r="C122" s="68">
        <f t="shared" ref="C122:F122" si="50">C58</f>
        <v>44287</v>
      </c>
      <c r="D122" s="354">
        <f t="shared" si="50"/>
        <v>12</v>
      </c>
      <c r="E122" s="107">
        <f t="shared" si="50"/>
        <v>44651</v>
      </c>
      <c r="F122" s="132">
        <f t="shared" si="50"/>
        <v>4.3499999999999997E-3</v>
      </c>
      <c r="H122" s="293" t="s">
        <v>173</v>
      </c>
    </row>
    <row r="123" spans="1:8" x14ac:dyDescent="0.25">
      <c r="B123" s="127"/>
      <c r="C123" s="365"/>
      <c r="D123" s="366"/>
      <c r="E123" s="367"/>
      <c r="F123" s="368"/>
    </row>
    <row r="124" spans="1:8" x14ac:dyDescent="0.25">
      <c r="D124" s="354"/>
      <c r="F124" s="289"/>
    </row>
    <row r="125" spans="1:8" x14ac:dyDescent="0.25">
      <c r="A125" s="293" t="s">
        <v>120</v>
      </c>
      <c r="B125" s="293" t="str">
        <f>B65</f>
        <v>2020 S1</v>
      </c>
      <c r="C125" s="68">
        <f t="shared" ref="C125:F125" si="51">C65</f>
        <v>43922</v>
      </c>
      <c r="D125" s="354">
        <f t="shared" si="51"/>
        <v>12</v>
      </c>
      <c r="E125" s="107">
        <f t="shared" si="51"/>
        <v>44286</v>
      </c>
      <c r="F125" s="132">
        <f t="shared" si="51"/>
        <v>6.9999999999999994E-5</v>
      </c>
      <c r="H125" s="293" t="s">
        <v>131</v>
      </c>
    </row>
    <row r="126" spans="1:8" x14ac:dyDescent="0.25">
      <c r="B126" s="293" t="str">
        <f>B64</f>
        <v>2020 S2</v>
      </c>
      <c r="C126" s="68">
        <f t="shared" ref="C126:F126" si="52">C64</f>
        <v>44105</v>
      </c>
      <c r="D126" s="354">
        <f t="shared" si="52"/>
        <v>12</v>
      </c>
      <c r="E126" s="107">
        <f t="shared" si="52"/>
        <v>44469</v>
      </c>
      <c r="F126" s="132">
        <f t="shared" si="52"/>
        <v>-4.0000000000000003E-5</v>
      </c>
      <c r="H126" s="293" t="s">
        <v>173</v>
      </c>
    </row>
    <row r="127" spans="1:8" x14ac:dyDescent="0.25">
      <c r="B127" s="293" t="str">
        <f>B63</f>
        <v>2021 S1</v>
      </c>
      <c r="C127" s="68">
        <f t="shared" ref="C127:F127" si="53">C63</f>
        <v>44287</v>
      </c>
      <c r="D127" s="354">
        <f t="shared" si="53"/>
        <v>12</v>
      </c>
      <c r="E127" s="107">
        <f t="shared" si="53"/>
        <v>44651</v>
      </c>
      <c r="F127" s="132">
        <f t="shared" si="53"/>
        <v>-3.8999999999999999E-4</v>
      </c>
      <c r="H127" s="293" t="s">
        <v>173</v>
      </c>
    </row>
    <row r="128" spans="1:8" x14ac:dyDescent="0.25">
      <c r="B128" s="289"/>
      <c r="C128" s="258"/>
      <c r="D128" s="299"/>
      <c r="E128" s="364"/>
      <c r="F128" s="132"/>
      <c r="G128" s="289"/>
      <c r="H128" s="289"/>
    </row>
    <row r="129" spans="1:8" x14ac:dyDescent="0.25">
      <c r="D129" s="354"/>
      <c r="F129" s="289"/>
    </row>
    <row r="130" spans="1:8" x14ac:dyDescent="0.25">
      <c r="A130" s="293" t="s">
        <v>121</v>
      </c>
      <c r="B130" s="293" t="str">
        <f>B69</f>
        <v>2020 S2</v>
      </c>
      <c r="C130" s="68">
        <f t="shared" ref="C130:F130" si="54">C69</f>
        <v>44105</v>
      </c>
      <c r="D130" s="354">
        <f t="shared" si="54"/>
        <v>6</v>
      </c>
      <c r="E130" s="107">
        <f t="shared" si="54"/>
        <v>44286</v>
      </c>
      <c r="F130" s="132">
        <f t="shared" si="54"/>
        <v>8.4100000000000008E-3</v>
      </c>
      <c r="H130" s="293" t="s">
        <v>132</v>
      </c>
    </row>
    <row r="131" spans="1:8" x14ac:dyDescent="0.25">
      <c r="B131" s="293" t="str">
        <f>B68</f>
        <v>2021 S1</v>
      </c>
      <c r="C131" s="68">
        <f t="shared" ref="C131:F131" si="55">C68</f>
        <v>44287</v>
      </c>
      <c r="D131" s="354">
        <f t="shared" si="55"/>
        <v>6</v>
      </c>
      <c r="E131" s="107">
        <f t="shared" si="55"/>
        <v>44469</v>
      </c>
      <c r="F131" s="132">
        <f t="shared" si="55"/>
        <v>6.3199999999999992E-3</v>
      </c>
      <c r="H131" s="293" t="s">
        <v>132</v>
      </c>
    </row>
  </sheetData>
  <mergeCells count="9">
    <mergeCell ref="A72:I72"/>
    <mergeCell ref="X12:AB16"/>
    <mergeCell ref="K7:T7"/>
    <mergeCell ref="N9:O9"/>
    <mergeCell ref="L9:M9"/>
    <mergeCell ref="L8:O8"/>
    <mergeCell ref="Q8:T8"/>
    <mergeCell ref="Q9:R9"/>
    <mergeCell ref="S9:T9"/>
  </mergeCells>
  <pageMargins left="0.2" right="0.2" top="0.75" bottom="0.25" header="0.3" footer="0.3"/>
  <pageSetup scale="45" orientation="landscape" r:id="rId1"/>
  <headerFooter>
    <oddHeader>&amp;C&amp;"-,Bold"&amp;14Liberty Utilities (Midstates natural Gas) Corp.&amp;"-,Regular"&amp;11
Weather normalization Adjustment Rider
Semiannual Adjustment Filing
Customer Bill Impact</oddHeader>
  </headerFooter>
  <rowBreaks count="1" manualBreakCount="1">
    <brk id="41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0"/>
  <sheetViews>
    <sheetView workbookViewId="0">
      <selection activeCell="I1" sqref="I1:K1048576"/>
    </sheetView>
  </sheetViews>
  <sheetFormatPr defaultColWidth="14.7109375" defaultRowHeight="15" x14ac:dyDescent="0.25"/>
  <cols>
    <col min="1" max="1" width="20.7109375" customWidth="1"/>
    <col min="2" max="2" width="18.140625" bestFit="1" customWidth="1"/>
    <col min="8" max="8" width="24.28515625" bestFit="1" customWidth="1"/>
  </cols>
  <sheetData>
    <row r="1" spans="1:8" x14ac:dyDescent="0.25">
      <c r="A1" s="5" t="s">
        <v>175</v>
      </c>
      <c r="B1" s="207" t="s">
        <v>18</v>
      </c>
      <c r="C1" s="207" t="s">
        <v>176</v>
      </c>
      <c r="D1" s="207" t="s">
        <v>18</v>
      </c>
      <c r="E1" s="207" t="s">
        <v>176</v>
      </c>
      <c r="F1" s="207" t="s">
        <v>18</v>
      </c>
      <c r="G1" s="208" t="s">
        <v>176</v>
      </c>
    </row>
    <row r="2" spans="1:8" x14ac:dyDescent="0.25">
      <c r="A2" s="6"/>
      <c r="B2" s="7" t="s">
        <v>104</v>
      </c>
      <c r="C2" s="7" t="s">
        <v>104</v>
      </c>
      <c r="D2" s="7" t="s">
        <v>105</v>
      </c>
      <c r="E2" s="7" t="s">
        <v>105</v>
      </c>
      <c r="F2" s="7" t="s">
        <v>19</v>
      </c>
      <c r="G2" s="9" t="s">
        <v>19</v>
      </c>
    </row>
    <row r="3" spans="1:8" x14ac:dyDescent="0.25">
      <c r="A3" s="10"/>
      <c r="B3" s="11"/>
      <c r="C3" s="11"/>
      <c r="D3" s="11"/>
      <c r="E3" s="11"/>
      <c r="F3" s="11"/>
      <c r="G3" s="12"/>
    </row>
    <row r="4" spans="1:8" s="4" customFormat="1" x14ac:dyDescent="0.25">
      <c r="A4" s="13"/>
      <c r="B4" s="14"/>
      <c r="C4" s="14"/>
      <c r="D4" s="14"/>
      <c r="E4" s="14"/>
      <c r="F4" s="15"/>
      <c r="G4" s="23"/>
    </row>
    <row r="6" spans="1:8" x14ac:dyDescent="0.25">
      <c r="A6" s="18" t="s">
        <v>177</v>
      </c>
    </row>
    <row r="7" spans="1:8" x14ac:dyDescent="0.25">
      <c r="B7" s="209">
        <v>0.11254740000000001</v>
      </c>
      <c r="C7" s="209">
        <v>0.23893880000000001</v>
      </c>
      <c r="D7" s="209">
        <v>0.11254740000000001</v>
      </c>
      <c r="E7" s="209">
        <v>0.23893880000000001</v>
      </c>
      <c r="F7" s="209">
        <v>0.110869</v>
      </c>
      <c r="G7" s="209">
        <v>0.23716039999999999</v>
      </c>
    </row>
    <row r="9" spans="1:8" x14ac:dyDescent="0.25">
      <c r="A9" s="18" t="s">
        <v>178</v>
      </c>
      <c r="H9" s="210"/>
    </row>
    <row r="10" spans="1:8" x14ac:dyDescent="0.25">
      <c r="A10" t="s">
        <v>179</v>
      </c>
      <c r="B10" s="211">
        <v>0.33606999999999998</v>
      </c>
      <c r="C10" s="211">
        <v>0.14216000000000001</v>
      </c>
      <c r="D10" s="211">
        <v>0.33606999999999998</v>
      </c>
      <c r="E10" s="211">
        <v>0.14216000000000001</v>
      </c>
      <c r="F10" s="211">
        <v>0.24335000000000001</v>
      </c>
      <c r="G10" s="211">
        <v>8.3119999999999999E-2</v>
      </c>
    </row>
    <row r="11" spans="1:8" x14ac:dyDescent="0.25">
      <c r="A11" t="s">
        <v>180</v>
      </c>
      <c r="B11" s="211"/>
      <c r="D11" s="211"/>
    </row>
    <row r="12" spans="1:8" x14ac:dyDescent="0.25">
      <c r="A12" t="s">
        <v>20</v>
      </c>
      <c r="B12" s="211">
        <v>0.35071999999999998</v>
      </c>
      <c r="C12" s="211">
        <v>0.14216000000000001</v>
      </c>
      <c r="D12" s="211">
        <v>0.35071999999999998</v>
      </c>
      <c r="E12" s="211">
        <f>+E10</f>
        <v>0.14216000000000001</v>
      </c>
      <c r="F12" s="211">
        <f>+F10</f>
        <v>0.24335000000000001</v>
      </c>
      <c r="G12" s="211">
        <f>+G10</f>
        <v>8.3119999999999999E-2</v>
      </c>
    </row>
    <row r="13" spans="1:8" x14ac:dyDescent="0.25">
      <c r="A13" t="s">
        <v>21</v>
      </c>
      <c r="B13" s="211">
        <v>0.33239000000000002</v>
      </c>
      <c r="C13" s="211">
        <f>C12</f>
        <v>0.14216000000000001</v>
      </c>
      <c r="D13" s="211">
        <v>0.33239000000000002</v>
      </c>
      <c r="E13" s="211">
        <f t="shared" ref="E13:G17" si="0">E12</f>
        <v>0.14216000000000001</v>
      </c>
      <c r="F13" s="211">
        <f t="shared" si="0"/>
        <v>0.24335000000000001</v>
      </c>
      <c r="G13" s="211">
        <f t="shared" si="0"/>
        <v>8.3119999999999999E-2</v>
      </c>
    </row>
    <row r="14" spans="1:8" x14ac:dyDescent="0.25">
      <c r="A14" t="s">
        <v>0</v>
      </c>
      <c r="B14" s="211">
        <v>0.33048</v>
      </c>
      <c r="C14" s="211">
        <f>C13</f>
        <v>0.14216000000000001</v>
      </c>
      <c r="D14" s="211">
        <v>0.33048</v>
      </c>
      <c r="E14" s="211">
        <f t="shared" si="0"/>
        <v>0.14216000000000001</v>
      </c>
      <c r="F14" s="211">
        <f t="shared" si="0"/>
        <v>0.24335000000000001</v>
      </c>
      <c r="G14" s="211">
        <f t="shared" si="0"/>
        <v>8.3119999999999999E-2</v>
      </c>
    </row>
    <row r="15" spans="1:8" x14ac:dyDescent="0.25">
      <c r="A15" t="s">
        <v>181</v>
      </c>
      <c r="B15" s="211">
        <v>0.33004</v>
      </c>
      <c r="C15" s="211">
        <f>C14</f>
        <v>0.14216000000000001</v>
      </c>
      <c r="D15" s="211">
        <v>0.33004</v>
      </c>
      <c r="E15" s="211">
        <f t="shared" si="0"/>
        <v>0.14216000000000001</v>
      </c>
      <c r="F15" s="211">
        <f t="shared" si="0"/>
        <v>0.24335000000000001</v>
      </c>
      <c r="G15" s="211">
        <f t="shared" si="0"/>
        <v>8.3119999999999999E-2</v>
      </c>
    </row>
    <row r="16" spans="1:8" x14ac:dyDescent="0.25">
      <c r="A16" t="s">
        <v>182</v>
      </c>
      <c r="B16" s="211">
        <v>0.33028999999999997</v>
      </c>
      <c r="C16" s="211">
        <f>C15</f>
        <v>0.14216000000000001</v>
      </c>
      <c r="D16" s="211">
        <v>0.33028999999999997</v>
      </c>
      <c r="E16" s="211">
        <f t="shared" si="0"/>
        <v>0.14216000000000001</v>
      </c>
      <c r="F16" s="211">
        <f t="shared" si="0"/>
        <v>0.24335000000000001</v>
      </c>
      <c r="G16" s="211">
        <f t="shared" si="0"/>
        <v>8.3119999999999999E-2</v>
      </c>
    </row>
    <row r="17" spans="1:8" x14ac:dyDescent="0.25">
      <c r="A17" t="s">
        <v>183</v>
      </c>
      <c r="B17" s="211">
        <v>0.33187</v>
      </c>
      <c r="C17" s="211">
        <f>C16</f>
        <v>0.14216000000000001</v>
      </c>
      <c r="D17" s="211">
        <v>0.33187</v>
      </c>
      <c r="E17" s="211">
        <f t="shared" si="0"/>
        <v>0.14216000000000001</v>
      </c>
      <c r="F17" s="211">
        <f t="shared" si="0"/>
        <v>0.24335000000000001</v>
      </c>
      <c r="G17" s="211">
        <f t="shared" si="0"/>
        <v>8.3119999999999999E-2</v>
      </c>
    </row>
    <row r="19" spans="1:8" x14ac:dyDescent="0.25">
      <c r="A19" s="18" t="s">
        <v>23</v>
      </c>
    </row>
    <row r="20" spans="1:8" x14ac:dyDescent="0.25">
      <c r="B20" s="22">
        <v>11089284.458101537</v>
      </c>
      <c r="C20" s="22">
        <f>3233192.57+16675.11</f>
        <v>3249867.6799999997</v>
      </c>
      <c r="D20" s="22">
        <v>2140376.9890333959</v>
      </c>
      <c r="E20" s="22">
        <v>700365.64440726885</v>
      </c>
      <c r="F20" s="22">
        <v>15300894.639401933</v>
      </c>
      <c r="G20" s="22">
        <v>3908443.5557121718</v>
      </c>
      <c r="H20" s="210"/>
    </row>
  </sheetData>
  <pageMargins left="0.7" right="0.7" top="0.75" bottom="0.75" header="0.3" footer="0.3"/>
  <pageSetup scale="62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70"/>
  <sheetViews>
    <sheetView zoomScale="85" zoomScaleNormal="85" workbookViewId="0">
      <pane xSplit="2" ySplit="3" topLeftCell="C40" activePane="bottomRight" state="frozen"/>
      <selection activeCell="E57" sqref="E57"/>
      <selection pane="topRight" activeCell="E57" sqref="E57"/>
      <selection pane="bottomLeft" activeCell="E57" sqref="E57"/>
      <selection pane="bottomRight" activeCell="O1" sqref="O1:R1048576"/>
    </sheetView>
  </sheetViews>
  <sheetFormatPr defaultColWidth="14.7109375" defaultRowHeight="15" x14ac:dyDescent="0.25"/>
  <cols>
    <col min="1" max="1" width="27.7109375" customWidth="1"/>
    <col min="2" max="2" width="1.28515625" customWidth="1"/>
    <col min="3" max="3" width="16" customWidth="1"/>
    <col min="4" max="4" width="18.28515625" customWidth="1"/>
    <col min="5" max="5" width="16.5703125" customWidth="1"/>
    <col min="6" max="6" width="1.28515625" customWidth="1"/>
    <col min="9" max="9" width="16.42578125" customWidth="1"/>
    <col min="10" max="10" width="1.28515625" customWidth="1"/>
    <col min="12" max="12" width="1.28515625" customWidth="1"/>
    <col min="14" max="14" width="14.7109375" style="289"/>
  </cols>
  <sheetData>
    <row r="1" spans="1:14" x14ac:dyDescent="0.25">
      <c r="A1" s="5" t="s">
        <v>168</v>
      </c>
      <c r="B1" s="190"/>
      <c r="C1" s="395" t="s">
        <v>18</v>
      </c>
      <c r="D1" s="395"/>
      <c r="E1" s="395"/>
      <c r="F1" s="190"/>
      <c r="G1" s="88" t="s">
        <v>106</v>
      </c>
      <c r="H1" s="88" t="s">
        <v>106</v>
      </c>
      <c r="I1" s="88" t="s">
        <v>106</v>
      </c>
      <c r="J1" s="190"/>
      <c r="K1" s="88" t="s">
        <v>18</v>
      </c>
      <c r="L1" s="190"/>
      <c r="M1" s="89" t="s">
        <v>106</v>
      </c>
      <c r="N1" s="123"/>
    </row>
    <row r="2" spans="1:14" ht="30" x14ac:dyDescent="0.25">
      <c r="A2" s="156"/>
      <c r="B2" s="157"/>
      <c r="C2" s="121" t="s">
        <v>104</v>
      </c>
      <c r="D2" s="121" t="s">
        <v>105</v>
      </c>
      <c r="E2" s="227" t="s">
        <v>197</v>
      </c>
      <c r="F2" s="157"/>
      <c r="G2" s="121" t="s">
        <v>104</v>
      </c>
      <c r="H2" s="121" t="s">
        <v>105</v>
      </c>
      <c r="I2" s="227" t="s">
        <v>197</v>
      </c>
      <c r="J2" s="157"/>
      <c r="K2" s="121" t="s">
        <v>19</v>
      </c>
      <c r="L2" s="157"/>
      <c r="M2" s="122" t="s">
        <v>19</v>
      </c>
      <c r="N2" s="124"/>
    </row>
    <row r="3" spans="1:14" x14ac:dyDescent="0.25">
      <c r="A3" s="10"/>
      <c r="B3" s="191"/>
      <c r="C3" s="11"/>
      <c r="D3" s="11"/>
      <c r="E3" s="11"/>
      <c r="F3" s="191"/>
      <c r="G3" s="11"/>
      <c r="H3" s="11"/>
      <c r="I3" s="11"/>
      <c r="J3" s="191"/>
      <c r="K3" s="11"/>
      <c r="L3" s="191"/>
      <c r="M3" s="12"/>
      <c r="N3" s="125"/>
    </row>
    <row r="4" spans="1:14" s="4" customFormat="1" x14ac:dyDescent="0.25">
      <c r="A4" s="13"/>
      <c r="B4" s="192"/>
      <c r="C4" s="14"/>
      <c r="D4" s="14"/>
      <c r="E4" s="14"/>
      <c r="F4" s="192"/>
      <c r="G4" s="14"/>
      <c r="H4" s="14"/>
      <c r="I4" s="14"/>
      <c r="J4" s="192"/>
      <c r="K4" s="15"/>
      <c r="L4" s="192"/>
      <c r="M4" s="23"/>
      <c r="N4" s="126"/>
    </row>
    <row r="5" spans="1:14" s="4" customFormat="1" x14ac:dyDescent="0.25">
      <c r="A5" s="193"/>
      <c r="B5" s="192"/>
      <c r="C5" s="193"/>
      <c r="D5" s="193"/>
      <c r="E5" s="193"/>
      <c r="F5" s="192"/>
      <c r="G5" s="193"/>
      <c r="H5" s="193"/>
      <c r="I5" s="193"/>
      <c r="J5" s="192"/>
      <c r="K5" s="194"/>
      <c r="L5" s="192"/>
      <c r="M5" s="193"/>
      <c r="N5" s="315"/>
    </row>
    <row r="6" spans="1:14" s="4" customFormat="1" x14ac:dyDescent="0.25">
      <c r="A6" s="5" t="s">
        <v>272</v>
      </c>
      <c r="B6" s="192"/>
      <c r="C6" s="193"/>
      <c r="D6" s="193"/>
      <c r="E6" s="193"/>
      <c r="F6" s="192"/>
      <c r="G6" s="193"/>
      <c r="H6" s="193"/>
      <c r="I6" s="193"/>
      <c r="J6" s="192"/>
      <c r="K6" s="194"/>
      <c r="L6" s="192"/>
      <c r="M6" s="193"/>
      <c r="N6" s="315"/>
    </row>
    <row r="7" spans="1:14" x14ac:dyDescent="0.25">
      <c r="A7" t="s">
        <v>169</v>
      </c>
      <c r="C7" s="70">
        <v>205180</v>
      </c>
      <c r="D7" s="70">
        <v>39949</v>
      </c>
      <c r="E7" s="70">
        <f>SUM(C7:D7)</f>
        <v>245129</v>
      </c>
      <c r="G7" s="70">
        <v>25098</v>
      </c>
      <c r="H7" s="70">
        <v>5726</v>
      </c>
      <c r="I7" s="70">
        <f>SUM(G7:H7)</f>
        <v>30824</v>
      </c>
      <c r="K7" s="70">
        <v>268700</v>
      </c>
      <c r="M7" s="70">
        <v>23390</v>
      </c>
      <c r="N7" s="316"/>
    </row>
    <row r="8" spans="1:14" x14ac:dyDescent="0.25">
      <c r="A8" s="5" t="s">
        <v>170</v>
      </c>
    </row>
    <row r="9" spans="1:14" x14ac:dyDescent="0.25">
      <c r="A9" s="195" t="s">
        <v>294</v>
      </c>
      <c r="B9" s="70">
        <v>1</v>
      </c>
      <c r="C9" s="70">
        <f>-INDEX('SRR Res NEMO'!$G$27:$R$27,1,$B9)</f>
        <v>-12212.625015591388</v>
      </c>
      <c r="D9" s="70">
        <f>-INDEX('SRR Res WEMO'!$G$27:$R$27,1,$B9)</f>
        <v>-2162.0202795443615</v>
      </c>
      <c r="E9" s="70">
        <f t="shared" ref="E9:E20" si="0">SUM(C9:D9)</f>
        <v>-14374.64529513575</v>
      </c>
      <c r="F9" s="70"/>
      <c r="G9" s="70">
        <f>-INDEX('SRR SGS NEMO'!$G$27:$R$27,1,$B9)</f>
        <v>-1295.7288960312148</v>
      </c>
      <c r="H9" s="70">
        <f>-INDEX(' SRR SGS WEMO'!$G$27:$R$27,1,$B9)</f>
        <v>-234.75364183311584</v>
      </c>
      <c r="I9" s="70">
        <f t="shared" ref="I9:I20" si="1">SUM(G9:H9)</f>
        <v>-1530.4825378643307</v>
      </c>
      <c r="J9" s="70"/>
      <c r="K9" s="70">
        <f>-INDEX('SRR Res SEMO'!$G$27:$R$27,1,$B9)</f>
        <v>-14654.519618295233</v>
      </c>
      <c r="L9" s="70"/>
      <c r="M9" s="70">
        <f>-INDEX('SRR SGS SEMO'!$G$27:$R$27,1,$B9)</f>
        <v>-1024.1767572194926</v>
      </c>
      <c r="N9" s="316"/>
    </row>
    <row r="10" spans="1:14" x14ac:dyDescent="0.25">
      <c r="A10" s="195" t="s">
        <v>295</v>
      </c>
      <c r="B10" s="70">
        <f>B9+1</f>
        <v>2</v>
      </c>
      <c r="C10" s="3">
        <f>-INDEX('SRR Res NEMO'!$G$27:$R$27,1,$B10)</f>
        <v>-8041.9345318638188</v>
      </c>
      <c r="D10" s="3">
        <f>-INDEX('SRR Res WEMO'!$G$27:$R$27,1,$B10)</f>
        <v>-1530.5540735611119</v>
      </c>
      <c r="E10" s="3">
        <f t="shared" si="0"/>
        <v>-9572.4886054249309</v>
      </c>
      <c r="F10" s="70"/>
      <c r="G10" s="3">
        <f>-INDEX('SRR SGS NEMO'!$G$27:$R$27,1,$B10)</f>
        <v>-795.81212238374337</v>
      </c>
      <c r="H10" s="3">
        <f>-INDEX(' SRR SGS WEMO'!$G$27:$R$27,1,$B10)</f>
        <v>-169.25581151681135</v>
      </c>
      <c r="I10" s="3">
        <f t="shared" si="1"/>
        <v>-965.06793390055475</v>
      </c>
      <c r="J10" s="70"/>
      <c r="K10" s="3">
        <f>-INDEX('SRR Res SEMO'!$G$27:$R$27,1,$B10)</f>
        <v>-9364.1716189267336</v>
      </c>
      <c r="L10" s="70"/>
      <c r="M10" s="3">
        <f>-INDEX('SRR SGS SEMO'!$G$27:$R$27,1,$B10)</f>
        <v>-699.0306964332874</v>
      </c>
      <c r="N10" s="292"/>
    </row>
    <row r="11" spans="1:14" x14ac:dyDescent="0.25">
      <c r="A11" s="195" t="s">
        <v>296</v>
      </c>
      <c r="B11" s="70">
        <f t="shared" ref="B11:B20" si="2">B10+1</f>
        <v>3</v>
      </c>
      <c r="C11" s="3">
        <f>-INDEX('SRR Res NEMO'!$G$27:$R$27,1,$B11)</f>
        <v>-3201.4479240936726</v>
      </c>
      <c r="D11" s="3">
        <f>-INDEX('SRR Res WEMO'!$G$27:$R$27,1,$B11)</f>
        <v>-555.5760607793062</v>
      </c>
      <c r="E11" s="3">
        <f t="shared" si="0"/>
        <v>-3757.0239848729789</v>
      </c>
      <c r="F11" s="70"/>
      <c r="G11" s="3">
        <f>-INDEX('SRR SGS NEMO'!$G$27:$R$27,1,$B11)</f>
        <v>-460.80023628966399</v>
      </c>
      <c r="H11" s="3">
        <f>-INDEX(' SRR SGS WEMO'!$G$27:$R$27,1,$B11)</f>
        <v>-86.543365006602627</v>
      </c>
      <c r="I11" s="3">
        <f t="shared" si="1"/>
        <v>-547.34360129626657</v>
      </c>
      <c r="J11" s="70"/>
      <c r="K11" s="3">
        <f>-INDEX('SRR Res SEMO'!$G$27:$R$27,1,$B11)</f>
        <v>-5159.3994662733166</v>
      </c>
      <c r="L11" s="70"/>
      <c r="M11" s="3">
        <f>-INDEX('SRR SGS SEMO'!$G$27:$R$27,1,$B11)</f>
        <v>-499.21997454229552</v>
      </c>
      <c r="N11" s="292"/>
    </row>
    <row r="12" spans="1:14" x14ac:dyDescent="0.25">
      <c r="A12" s="195" t="s">
        <v>287</v>
      </c>
      <c r="B12" s="70">
        <f t="shared" si="2"/>
        <v>4</v>
      </c>
      <c r="C12" s="3">
        <f>-INDEX('SRR Res NEMO'!$G$27:$R$27,1,$B12)</f>
        <v>-2509.9753285583893</v>
      </c>
      <c r="D12" s="3">
        <f>-INDEX('SRR Res WEMO'!$G$27:$R$27,1,$B12)</f>
        <v>-505.91176872583026</v>
      </c>
      <c r="E12" s="3">
        <f t="shared" si="0"/>
        <v>-3015.8870972842196</v>
      </c>
      <c r="F12" s="70"/>
      <c r="G12" s="3">
        <f>-INDEX('SRR SGS NEMO'!$G$27:$R$27,1,$B12)</f>
        <v>-382.49990286815125</v>
      </c>
      <c r="H12" s="3">
        <f>-INDEX(' SRR SGS WEMO'!$G$27:$R$27,1,$B12)</f>
        <v>-81.562624534562715</v>
      </c>
      <c r="I12" s="3">
        <f t="shared" si="1"/>
        <v>-464.06252740271395</v>
      </c>
      <c r="J12" s="70"/>
      <c r="K12" s="3">
        <f>-INDEX('SRR Res SEMO'!$G$27:$R$27,1,$B12)</f>
        <v>-4420.2014388069274</v>
      </c>
      <c r="L12" s="70"/>
      <c r="M12" s="3">
        <f>-INDEX('SRR SGS SEMO'!$G$27:$R$27,1,$B12)</f>
        <v>-464.7544299813116</v>
      </c>
      <c r="N12" s="292"/>
    </row>
    <row r="13" spans="1:14" x14ac:dyDescent="0.25">
      <c r="A13" s="195" t="s">
        <v>288</v>
      </c>
      <c r="B13" s="70">
        <f t="shared" si="2"/>
        <v>5</v>
      </c>
      <c r="C13" s="3">
        <f>-INDEX('SRR Res NEMO'!$G$27:$R$27,1,$B13)</f>
        <v>-2554.862115188912</v>
      </c>
      <c r="D13" s="3">
        <f>-INDEX('SRR Res WEMO'!$G$27:$R$27,1,$B13)</f>
        <v>-492.22693359772353</v>
      </c>
      <c r="E13" s="3">
        <f t="shared" si="0"/>
        <v>-3047.0890487866354</v>
      </c>
      <c r="F13" s="70"/>
      <c r="G13" s="3">
        <f>-INDEX('SRR SGS NEMO'!$G$27:$R$27,1,$B13)</f>
        <v>-400.75288236085458</v>
      </c>
      <c r="H13" s="3">
        <f>-INDEX(' SRR SGS WEMO'!$G$27:$R$27,1,$B13)</f>
        <v>-80.604879264053238</v>
      </c>
      <c r="I13" s="3">
        <f t="shared" si="1"/>
        <v>-481.35776162490782</v>
      </c>
      <c r="J13" s="70"/>
      <c r="K13" s="3">
        <f>-INDEX('SRR Res SEMO'!$G$27:$R$27,1,$B13)</f>
        <v>-4485.2292156368558</v>
      </c>
      <c r="L13" s="70"/>
      <c r="M13" s="3">
        <f>-INDEX('SRR SGS SEMO'!$G$27:$R$27,1,$B13)</f>
        <v>-506.58256978307628</v>
      </c>
      <c r="N13" s="292"/>
    </row>
    <row r="14" spans="1:14" x14ac:dyDescent="0.25">
      <c r="A14" s="195" t="s">
        <v>289</v>
      </c>
      <c r="B14" s="70">
        <f t="shared" si="2"/>
        <v>6</v>
      </c>
      <c r="C14" s="3">
        <f>-INDEX('SRR Res NEMO'!$G$27:$R$27,1,$B14)</f>
        <v>-2959.3412774421049</v>
      </c>
      <c r="D14" s="3">
        <f>-INDEX('SRR Res WEMO'!$G$27:$R$27,1,$B14)</f>
        <v>-569.07709102521108</v>
      </c>
      <c r="E14" s="3">
        <f t="shared" si="0"/>
        <v>-3528.4183684673162</v>
      </c>
      <c r="F14" s="70"/>
      <c r="G14" s="3">
        <f>-INDEX('SRR SGS NEMO'!$G$27:$R$27,1,$B14)</f>
        <v>-422.24712733641496</v>
      </c>
      <c r="H14" s="3">
        <f>-INDEX(' SRR SGS WEMO'!$G$27:$R$27,1,$B14)</f>
        <v>-86.281279892159631</v>
      </c>
      <c r="I14" s="3">
        <f t="shared" si="1"/>
        <v>-508.52840722857457</v>
      </c>
      <c r="J14" s="70"/>
      <c r="K14" s="3">
        <f>-INDEX('SRR Res SEMO'!$G$27:$R$27,1,$B14)</f>
        <v>-4396.9133027518446</v>
      </c>
      <c r="L14" s="70"/>
      <c r="M14" s="3">
        <f>-INDEX('SRR SGS SEMO'!$G$27:$R$27,1,$B14)</f>
        <v>-461.11892941236044</v>
      </c>
      <c r="N14" s="292"/>
    </row>
    <row r="15" spans="1:14" x14ac:dyDescent="0.25">
      <c r="A15" s="195" t="s">
        <v>290</v>
      </c>
      <c r="B15" s="70">
        <f t="shared" si="2"/>
        <v>7</v>
      </c>
      <c r="C15" s="3">
        <f>-INDEX('SRR Res NEMO'!$G$27:$R$27,1,$B15)</f>
        <v>-9321.6297717312227</v>
      </c>
      <c r="D15" s="3">
        <f>-INDEX('SRR Res WEMO'!$G$27:$R$27,1,$B15)</f>
        <v>-1837.2827360778315</v>
      </c>
      <c r="E15" s="3">
        <f t="shared" si="0"/>
        <v>-11158.912507809055</v>
      </c>
      <c r="F15" s="3"/>
      <c r="G15" s="3">
        <f>-INDEX('SRR SGS NEMO'!$G$27:$R$27,1,$B15)</f>
        <v>-1015.4022688490213</v>
      </c>
      <c r="H15" s="3">
        <f>-INDEX(' SRR SGS WEMO'!$G$27:$R$27,1,$B15)</f>
        <v>-193.56330862386781</v>
      </c>
      <c r="I15" s="3">
        <f t="shared" si="1"/>
        <v>-1208.9655774728892</v>
      </c>
      <c r="J15" s="3"/>
      <c r="K15" s="3">
        <f>-INDEX('SRR Res SEMO'!$G$27:$R$27,1,$B15)</f>
        <v>-9504.4817777562912</v>
      </c>
      <c r="L15" s="3"/>
      <c r="M15" s="3">
        <f>-INDEX('SRR SGS SEMO'!$G$27:$R$27,1,$B15)</f>
        <v>-746.51957171459935</v>
      </c>
      <c r="N15" s="292"/>
    </row>
    <row r="16" spans="1:14" x14ac:dyDescent="0.25">
      <c r="A16" s="195" t="s">
        <v>291</v>
      </c>
      <c r="B16" s="70">
        <f t="shared" si="2"/>
        <v>8</v>
      </c>
      <c r="C16" s="3">
        <f>-INDEX('SRR Res NEMO'!$G$27:$R$27,1,$B16)</f>
        <v>-20898.348324157152</v>
      </c>
      <c r="D16" s="3">
        <f>-INDEX('SRR Res WEMO'!$G$27:$R$27,1,$B16)</f>
        <v>-3931.6604227899484</v>
      </c>
      <c r="E16" s="3">
        <f t="shared" si="0"/>
        <v>-24830.0087469471</v>
      </c>
      <c r="F16" s="3"/>
      <c r="G16" s="3">
        <f>-INDEX('SRR SGS NEMO'!$G$27:$R$27,1,$B16)</f>
        <v>-2361.8934473360355</v>
      </c>
      <c r="H16" s="3">
        <f>-INDEX(' SRR SGS WEMO'!$G$27:$R$27,1,$B16)</f>
        <v>-488.97238907689052</v>
      </c>
      <c r="I16" s="3">
        <f t="shared" si="1"/>
        <v>-2850.865836412926</v>
      </c>
      <c r="J16" s="3"/>
      <c r="K16" s="3">
        <f>-INDEX('SRR Res SEMO'!$G$27:$R$27,1,$B16)</f>
        <v>-22285.590508790672</v>
      </c>
      <c r="L16" s="3"/>
      <c r="M16" s="3">
        <f>-INDEX('SRR SGS SEMO'!$G$27:$R$27,1,$B16)</f>
        <v>-1754.8552621841338</v>
      </c>
      <c r="N16" s="292"/>
    </row>
    <row r="17" spans="1:14" x14ac:dyDescent="0.25">
      <c r="A17" s="195" t="s">
        <v>292</v>
      </c>
      <c r="B17" s="70">
        <f t="shared" si="2"/>
        <v>9</v>
      </c>
      <c r="C17" s="3">
        <f>-INDEX('SRR Res NEMO'!$G$27:$R$27,1,$B17)</f>
        <v>-32204.593916389422</v>
      </c>
      <c r="D17" s="3">
        <f>-INDEX('SRR Res WEMO'!$G$27:$R$27,1,$B17)</f>
        <v>-6270.152635969579</v>
      </c>
      <c r="E17" s="3">
        <f t="shared" si="0"/>
        <v>-38474.746552359</v>
      </c>
      <c r="F17" s="3"/>
      <c r="G17" s="3">
        <f>-INDEX('SRR SGS NEMO'!$G$27:$R$27,1,$B17)</f>
        <v>-3999.8816183306781</v>
      </c>
      <c r="H17" s="3">
        <f>-INDEX(' SRR SGS WEMO'!$G$27:$R$27,1,$B17)</f>
        <v>-841.70808122978599</v>
      </c>
      <c r="I17" s="3">
        <f t="shared" si="1"/>
        <v>-4841.5896995604644</v>
      </c>
      <c r="J17" s="3"/>
      <c r="K17" s="3">
        <f>-INDEX('SRR Res SEMO'!$G$27:$R$27,1,$B17)</f>
        <v>-46219.070065798303</v>
      </c>
      <c r="L17" s="3"/>
      <c r="M17" s="3">
        <f>-INDEX('SRR SGS SEMO'!$G$27:$R$27,1,$B17)</f>
        <v>-4182.7643399801036</v>
      </c>
      <c r="N17" s="292"/>
    </row>
    <row r="18" spans="1:14" x14ac:dyDescent="0.25">
      <c r="A18" s="195" t="s">
        <v>297</v>
      </c>
      <c r="B18" s="70">
        <f t="shared" si="2"/>
        <v>10</v>
      </c>
      <c r="C18" s="3">
        <f>-INDEX('SRR Res NEMO'!$G$27:$R$27,1,$B18)</f>
        <v>-46629</v>
      </c>
      <c r="D18" s="3">
        <f>-INDEX('SRR Res WEMO'!$G$27:$R$27,1,$B18)</f>
        <v>-9034</v>
      </c>
      <c r="E18" s="3">
        <f t="shared" si="0"/>
        <v>-55663</v>
      </c>
      <c r="F18" s="3"/>
      <c r="G18" s="3">
        <f>-INDEX('SRR SGS NEMO'!$G$27:$R$27,1,$B18)</f>
        <v>-6604</v>
      </c>
      <c r="H18" s="3">
        <f>-INDEX(' SRR SGS WEMO'!$G$27:$R$27,1,$B18)</f>
        <v>-1363</v>
      </c>
      <c r="I18" s="3">
        <f t="shared" si="1"/>
        <v>-7967</v>
      </c>
      <c r="J18" s="3"/>
      <c r="K18" s="3">
        <f>-INDEX('SRR Res SEMO'!$G$27:$R$27,1,$B18)</f>
        <v>-60360</v>
      </c>
      <c r="L18" s="3"/>
      <c r="M18" s="3">
        <f>-INDEX('SRR SGS SEMO'!$G$27:$R$27,1,$B18)</f>
        <v>-6127</v>
      </c>
      <c r="N18" s="292"/>
    </row>
    <row r="19" spans="1:14" x14ac:dyDescent="0.25">
      <c r="A19" s="195" t="s">
        <v>298</v>
      </c>
      <c r="B19" s="70">
        <f t="shared" si="2"/>
        <v>11</v>
      </c>
      <c r="C19" s="3">
        <f>-INDEX('SRR Res NEMO'!$G$27:$R$27,1,$B19)</f>
        <v>-39569</v>
      </c>
      <c r="D19" s="3">
        <f>-INDEX('SRR Res WEMO'!$G$27:$R$27,1,$B19)</f>
        <v>-7610</v>
      </c>
      <c r="E19" s="3">
        <f t="shared" si="0"/>
        <v>-47179</v>
      </c>
      <c r="F19" s="3"/>
      <c r="G19" s="3">
        <f>-INDEX('SRR SGS NEMO'!$G$27:$R$27,1,$B19)</f>
        <v>-5434</v>
      </c>
      <c r="H19" s="3">
        <f>-INDEX(' SRR SGS WEMO'!$G$27:$R$27,1,$B19)</f>
        <v>-1182</v>
      </c>
      <c r="I19" s="3">
        <f t="shared" si="1"/>
        <v>-6616</v>
      </c>
      <c r="J19" s="3"/>
      <c r="K19" s="3">
        <f>-INDEX('SRR Res SEMO'!$G$27:$R$27,1,$B19)</f>
        <v>-50661</v>
      </c>
      <c r="L19" s="3"/>
      <c r="M19" s="3">
        <f>-INDEX('SRR SGS SEMO'!$G$27:$R$27,1,$B19)</f>
        <v>-4957</v>
      </c>
      <c r="N19" s="292"/>
    </row>
    <row r="20" spans="1:14" x14ac:dyDescent="0.25">
      <c r="A20" s="195" t="s">
        <v>299</v>
      </c>
      <c r="B20" s="70">
        <f t="shared" si="2"/>
        <v>12</v>
      </c>
      <c r="C20" s="3">
        <f>-INDEX('SRR Res NEMO'!$G$27:$R$27,1,$B20)</f>
        <v>-29788</v>
      </c>
      <c r="D20" s="3">
        <f>-INDEX('SRR Res WEMO'!$G$27:$R$27,1,$B20)</f>
        <v>-6027</v>
      </c>
      <c r="E20" s="3">
        <f t="shared" si="0"/>
        <v>-35815</v>
      </c>
      <c r="F20" s="3"/>
      <c r="G20" s="3">
        <f>-INDEX('SRR SGS NEMO'!$G$27:$R$27,1,$B20)</f>
        <v>-3992</v>
      </c>
      <c r="H20" s="3">
        <f>-INDEX(' SRR SGS WEMO'!$G$27:$R$27,1,$B20)</f>
        <v>-895</v>
      </c>
      <c r="I20" s="3">
        <f t="shared" si="1"/>
        <v>-4887</v>
      </c>
      <c r="J20" s="3"/>
      <c r="K20" s="3">
        <f>-INDEX('SRR Res SEMO'!$G$27:$R$27,1,$B20)</f>
        <v>-39833</v>
      </c>
      <c r="L20" s="3"/>
      <c r="M20" s="3">
        <f>-INDEX('SRR SGS SEMO'!$G$27:$R$27,1,$B20)</f>
        <v>-3695</v>
      </c>
      <c r="N20" s="292"/>
    </row>
    <row r="21" spans="1:14" ht="6.75" customHeight="1" x14ac:dyDescent="0.25"/>
    <row r="22" spans="1:14" x14ac:dyDescent="0.25">
      <c r="A22" s="153" t="s">
        <v>171</v>
      </c>
      <c r="B22" s="70"/>
      <c r="C22" s="155">
        <f>SUM(C9:C21)</f>
        <v>-209890.75820501609</v>
      </c>
      <c r="D22" s="155">
        <f>SUM(D9:D21)</f>
        <v>-40525.462002070904</v>
      </c>
      <c r="E22" s="155">
        <f>SUM(E9:E21)</f>
        <v>-250416.220207087</v>
      </c>
      <c r="F22" s="155"/>
      <c r="G22" s="155">
        <f>SUM(G9:G21)</f>
        <v>-27165.018501785777</v>
      </c>
      <c r="H22" s="155">
        <f>SUM(H9:H21)</f>
        <v>-5703.2453809778499</v>
      </c>
      <c r="I22" s="155">
        <f>SUM(I9:I21)</f>
        <v>-32868.263882763626</v>
      </c>
      <c r="J22" s="155"/>
      <c r="K22" s="155">
        <f>SUM(K9:K21)</f>
        <v>-271343.57701303618</v>
      </c>
      <c r="L22" s="155"/>
      <c r="M22" s="155">
        <f>SUM(M9:M21)</f>
        <v>-25118.022531250659</v>
      </c>
      <c r="N22" s="128"/>
    </row>
    <row r="23" spans="1:14" ht="6" customHeight="1" x14ac:dyDescent="0.25">
      <c r="A23" s="18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316"/>
    </row>
    <row r="24" spans="1:14" ht="6.75" customHeight="1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316"/>
    </row>
    <row r="25" spans="1:14" ht="14.25" customHeight="1" x14ac:dyDescent="0.25">
      <c r="A25" t="s">
        <v>281</v>
      </c>
      <c r="B25" s="70"/>
      <c r="C25" s="70">
        <f>C7+C22</f>
        <v>-4710.7582050160854</v>
      </c>
      <c r="D25" s="70">
        <f>D7+D22</f>
        <v>-576.46200207090442</v>
      </c>
      <c r="E25" s="70">
        <f>SUM(C25:D25)</f>
        <v>-5287.2202070869898</v>
      </c>
      <c r="F25" s="70"/>
      <c r="G25" s="70">
        <f>G7+G22</f>
        <v>-2067.0185017857766</v>
      </c>
      <c r="H25" s="70">
        <f>H7+H22</f>
        <v>22.754619022150109</v>
      </c>
      <c r="I25" s="70">
        <f>SUM(G25:H25)</f>
        <v>-2044.2638827636265</v>
      </c>
      <c r="J25" s="70"/>
      <c r="K25" s="70">
        <f>K7+K22</f>
        <v>-2643.577013036178</v>
      </c>
      <c r="L25" s="70"/>
      <c r="M25" s="70">
        <f>M7+M22</f>
        <v>-1728.0225312506591</v>
      </c>
      <c r="N25" s="316"/>
    </row>
    <row r="26" spans="1:14" ht="14.25" customHeight="1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316"/>
    </row>
    <row r="27" spans="1:14" x14ac:dyDescent="0.25">
      <c r="A27" s="5" t="s">
        <v>172</v>
      </c>
    </row>
    <row r="28" spans="1:14" x14ac:dyDescent="0.25">
      <c r="A28" t="s">
        <v>169</v>
      </c>
      <c r="C28" s="70">
        <v>-25241.281343027717</v>
      </c>
      <c r="D28" s="70">
        <v>937.7198713530961</v>
      </c>
      <c r="E28" s="196">
        <f>SUM(C28:D28)</f>
        <v>-24303.56147167462</v>
      </c>
      <c r="G28" s="70">
        <v>1559.1677431819007</v>
      </c>
      <c r="H28" s="70">
        <v>366.76236707299904</v>
      </c>
      <c r="I28" s="196">
        <f>SUM(G28:H28)</f>
        <v>1925.9301102548998</v>
      </c>
      <c r="K28" s="70">
        <v>872.62714534349652</v>
      </c>
      <c r="M28" s="70">
        <v>262.81523083650063</v>
      </c>
      <c r="N28" s="316"/>
    </row>
    <row r="29" spans="1:14" x14ac:dyDescent="0.25">
      <c r="A29" s="189"/>
    </row>
    <row r="30" spans="1:14" x14ac:dyDescent="0.25">
      <c r="A30" s="195" t="str">
        <f>A9</f>
        <v>April 2020</v>
      </c>
      <c r="B30" s="70">
        <v>1</v>
      </c>
      <c r="C30" s="70">
        <f>-INDEX('SRR Res NEMO'!$G$28:$R$28,1,$B30)</f>
        <v>1396.9144475195569</v>
      </c>
      <c r="D30" s="70">
        <f>-INDEX('SRR Res WEMO'!$G$28:$R$28,1,$B30)</f>
        <v>244.45155508692716</v>
      </c>
      <c r="E30" s="70">
        <f>SUM(C30:D30)</f>
        <v>1641.366002606484</v>
      </c>
      <c r="F30" s="70"/>
      <c r="G30" s="70">
        <f>-INDEX('SRR SGS NEMO'!$G$28:$R$28,1,$B30)</f>
        <v>-92.232563405152632</v>
      </c>
      <c r="H30" s="70">
        <f>-INDEX(' SRR SGS WEMO'!$G$28:$R$28,1,$B30)</f>
        <v>-35.844129078282577</v>
      </c>
      <c r="I30" s="70">
        <f>SUM(G30:H30)</f>
        <v>-128.07669248343521</v>
      </c>
      <c r="J30" s="70"/>
      <c r="K30" s="70">
        <f>-INDEX('SRR Res SEMO'!$G$28:$R$28,1,$B30)</f>
        <v>-50.845152889715202</v>
      </c>
      <c r="L30" s="70"/>
      <c r="M30" s="70">
        <f>-INDEX('SRR SGS SEMO'!$G$28:$R$28,1,$B30)</f>
        <v>-12.178638169161223</v>
      </c>
      <c r="N30" s="316"/>
    </row>
    <row r="31" spans="1:14" x14ac:dyDescent="0.25">
      <c r="A31" s="195" t="str">
        <f t="shared" ref="A31:A41" si="3">A10</f>
        <v>May 2020</v>
      </c>
      <c r="B31" s="70">
        <f>B30+1</f>
        <v>2</v>
      </c>
      <c r="C31" s="3">
        <f>-INDEX('SRR Res NEMO'!$G$28:$R$28,1,$B31)</f>
        <v>798.55151314783734</v>
      </c>
      <c r="D31" s="3">
        <f>-INDEX('SRR Res WEMO'!$G$28:$R$28,1,$B31)</f>
        <v>151.98162414206399</v>
      </c>
      <c r="E31" s="70">
        <f t="shared" ref="E31:E41" si="4">SUM(C31:D31)</f>
        <v>950.53313728990133</v>
      </c>
      <c r="F31" s="70"/>
      <c r="G31" s="3">
        <f>-INDEX('SRR SGS NEMO'!$G$28:$R$28,1,$B31)</f>
        <v>-49.993325636927473</v>
      </c>
      <c r="H31" s="3">
        <f>-INDEX(' SRR SGS WEMO'!$G$28:$R$28,1,$B31)</f>
        <v>-10.63273687733815</v>
      </c>
      <c r="I31" s="3">
        <f t="shared" ref="I31:I41" si="5">SUM(G31:H31)</f>
        <v>-60.626062514265627</v>
      </c>
      <c r="J31" s="70"/>
      <c r="K31" s="3">
        <f>-INDEX('SRR Res SEMO'!$G$28:$R$28,1,$B31)</f>
        <v>-31.996030588587931</v>
      </c>
      <c r="L31" s="70"/>
      <c r="M31" s="3">
        <f>-INDEX('SRR SGS SEMO'!$G$28:$R$28,1,$B31)</f>
        <v>-8.1826335702893171</v>
      </c>
      <c r="N31" s="292"/>
    </row>
    <row r="32" spans="1:14" x14ac:dyDescent="0.25">
      <c r="A32" s="195" t="str">
        <f t="shared" si="3"/>
        <v>June 2020</v>
      </c>
      <c r="B32" s="70">
        <f t="shared" ref="B32:B41" si="6">B31+1</f>
        <v>3</v>
      </c>
      <c r="C32" s="3">
        <f>-INDEX('SRR Res NEMO'!$G$28:$R$28,1,$B32)</f>
        <v>317.89876850147641</v>
      </c>
      <c r="D32" s="3">
        <f>-INDEX('SRR Res WEMO'!$G$28:$R$28,1,$B32)</f>
        <v>55.1678333423596</v>
      </c>
      <c r="E32" s="70">
        <f t="shared" si="4"/>
        <v>373.066601843836</v>
      </c>
      <c r="F32" s="70"/>
      <c r="G32" s="3">
        <f>-INDEX('SRR SGS NEMO'!$G$28:$R$28,1,$B32)</f>
        <v>-28.947707151530171</v>
      </c>
      <c r="H32" s="3">
        <f>-INDEX(' SRR SGS WEMO'!$G$28:$R$28,1,$B32)</f>
        <v>-5.436698570927601</v>
      </c>
      <c r="I32" s="3">
        <f t="shared" si="5"/>
        <v>-34.384405722457771</v>
      </c>
      <c r="J32" s="70"/>
      <c r="K32" s="3">
        <f>-INDEX('SRR Res SEMO'!$G$28:$R$28,1,$B32)</f>
        <v>-17.628927561298347</v>
      </c>
      <c r="L32" s="70"/>
      <c r="M32" s="3">
        <f>-INDEX('SRR SGS SEMO'!$G$28:$R$28,1,$B32)</f>
        <v>-5.8437120765820536</v>
      </c>
      <c r="N32" s="292"/>
    </row>
    <row r="33" spans="1:14" x14ac:dyDescent="0.25">
      <c r="A33" s="195" t="str">
        <f t="shared" si="3"/>
        <v>July 2020</v>
      </c>
      <c r="B33" s="70">
        <f t="shared" si="6"/>
        <v>4</v>
      </c>
      <c r="C33" s="3">
        <f>-INDEX('SRR Res NEMO'!$G$28:$R$28,1,$B33)</f>
        <v>249.23662193995881</v>
      </c>
      <c r="D33" s="3">
        <f>-INDEX('SRR Res WEMO'!$G$28:$R$28,1,$B33)</f>
        <v>50.236246867540622</v>
      </c>
      <c r="E33" s="70">
        <f t="shared" si="4"/>
        <v>299.47286880749942</v>
      </c>
      <c r="F33" s="70"/>
      <c r="G33" s="3">
        <f>-INDEX('SRR SGS NEMO'!$G$28:$R$28,1,$B33)</f>
        <v>-24.028840051973603</v>
      </c>
      <c r="H33" s="3">
        <f>-INDEX(' SRR SGS WEMO'!$G$28:$R$28,1,$B33)</f>
        <v>-5.1238059002481702</v>
      </c>
      <c r="I33" s="3">
        <f t="shared" si="5"/>
        <v>-29.152645952221775</v>
      </c>
      <c r="J33" s="70"/>
      <c r="K33" s="3">
        <f>-INDEX('SRR Res SEMO'!$G$28:$R$28,1,$B33)</f>
        <v>-15.103193982256016</v>
      </c>
      <c r="L33" s="70"/>
      <c r="M33" s="3">
        <f>-INDEX('SRR SGS SEMO'!$G$28:$R$28,1,$B33)</f>
        <v>-5.4402692472728775</v>
      </c>
      <c r="N33" s="292"/>
    </row>
    <row r="34" spans="1:14" x14ac:dyDescent="0.25">
      <c r="A34" s="195" t="str">
        <f t="shared" si="3"/>
        <v>August 2020</v>
      </c>
      <c r="B34" s="70">
        <f t="shared" si="6"/>
        <v>5</v>
      </c>
      <c r="C34" s="3">
        <f>-INDEX('SRR Res NEMO'!$G$28:$R$28,1,$B34)</f>
        <v>253.69380960321627</v>
      </c>
      <c r="D34" s="3">
        <f>-INDEX('SRR Res WEMO'!$G$28:$R$28,1,$B34)</f>
        <v>48.877364156492781</v>
      </c>
      <c r="E34" s="70">
        <f t="shared" si="4"/>
        <v>302.57117375970904</v>
      </c>
      <c r="F34" s="70"/>
      <c r="G34" s="3">
        <f>-INDEX('SRR SGS NEMO'!$G$28:$R$28,1,$B34)</f>
        <v>-25.175501584207531</v>
      </c>
      <c r="H34" s="3">
        <f>-INDEX(' SRR SGS WEMO'!$G$28:$R$28,1,$B34)</f>
        <v>-5.0636398512033445</v>
      </c>
      <c r="I34" s="3">
        <f t="shared" si="5"/>
        <v>-30.239141435410875</v>
      </c>
      <c r="J34" s="70"/>
      <c r="K34" s="3">
        <f>-INDEX('SRR Res SEMO'!$G$28:$R$28,1,$B34)</f>
        <v>-15.325384563679462</v>
      </c>
      <c r="L34" s="70"/>
      <c r="M34" s="3">
        <f>-INDEX('SRR SGS SEMO'!$G$28:$R$28,1,$B34)</f>
        <v>-5.9298963018085846</v>
      </c>
      <c r="N34" s="292"/>
    </row>
    <row r="35" spans="1:14" x14ac:dyDescent="0.25">
      <c r="A35" s="195" t="str">
        <f t="shared" si="3"/>
        <v>September 2020</v>
      </c>
      <c r="B35" s="70">
        <f t="shared" si="6"/>
        <v>6</v>
      </c>
      <c r="C35" s="3">
        <f>-INDEX('SRR Res NEMO'!$G$28:$R$28,1,$B35)</f>
        <v>293.85795739306383</v>
      </c>
      <c r="D35" s="3">
        <f>-INDEX('SRR Res WEMO'!$G$28:$R$28,1,$B35)</f>
        <v>56.508464516264894</v>
      </c>
      <c r="E35" s="70">
        <f t="shared" si="4"/>
        <v>350.36642190932872</v>
      </c>
      <c r="F35" s="70"/>
      <c r="G35" s="3">
        <f>-INDEX('SRR SGS NEMO'!$G$28:$R$28,1,$B35)</f>
        <v>-26.525781076261964</v>
      </c>
      <c r="H35" s="3">
        <f>-INDEX(' SRR SGS WEMO'!$G$28:$R$28,1,$B35)</f>
        <v>-5.4202342496356692</v>
      </c>
      <c r="I35" s="3">
        <f t="shared" si="5"/>
        <v>-31.946015325897633</v>
      </c>
      <c r="J35" s="70"/>
      <c r="K35" s="3">
        <f>-INDEX('SRR Res SEMO'!$G$28:$R$28,1,$B35)</f>
        <v>-15.023621763388993</v>
      </c>
      <c r="L35" s="70"/>
      <c r="M35" s="3">
        <f>-INDEX('SRR SGS SEMO'!$G$28:$R$28,1,$B35)</f>
        <v>-5.3977132205460245</v>
      </c>
      <c r="N35" s="292"/>
    </row>
    <row r="36" spans="1:14" x14ac:dyDescent="0.25">
      <c r="A36" s="195" t="str">
        <f t="shared" si="3"/>
        <v>October 2020</v>
      </c>
      <c r="B36" s="70">
        <f t="shared" si="6"/>
        <v>7</v>
      </c>
      <c r="C36" s="3">
        <f>-INDEX('SRR Res NEMO'!$G$28:$R$28,1,$B36)</f>
        <v>925.62324770563669</v>
      </c>
      <c r="D36" s="3">
        <f>-INDEX('SRR Res WEMO'!$G$28:$R$28,1,$B36)</f>
        <v>182.43930029051319</v>
      </c>
      <c r="E36" s="70">
        <f t="shared" si="4"/>
        <v>1108.06254799615</v>
      </c>
      <c r="F36" s="3"/>
      <c r="G36" s="3">
        <f>-INDEX('SRR SGS NEMO'!$G$28:$R$28,1,$B36)</f>
        <v>-63.788091248207763</v>
      </c>
      <c r="H36" s="3">
        <f>-INDEX(' SRR SGS WEMO'!$G$28:$R$28,1,$B36)</f>
        <v>-12.159746310986566</v>
      </c>
      <c r="I36" s="3">
        <f t="shared" si="5"/>
        <v>-75.947837559194326</v>
      </c>
      <c r="J36" s="3"/>
      <c r="K36" s="3">
        <f>-INDEX('SRR Res SEMO'!$G$28:$R$28,1,$B36)</f>
        <v>-32.475450265682085</v>
      </c>
      <c r="L36" s="3"/>
      <c r="M36" s="3">
        <f>-INDEX('SRR SGS SEMO'!$G$28:$R$28,1,$B36)</f>
        <v>-8.7385234147193902</v>
      </c>
      <c r="N36" s="292"/>
    </row>
    <row r="37" spans="1:14" x14ac:dyDescent="0.25">
      <c r="A37" s="195" t="str">
        <f t="shared" si="3"/>
        <v>November 2020</v>
      </c>
      <c r="B37" s="70">
        <f t="shared" si="6"/>
        <v>8</v>
      </c>
      <c r="C37" s="3">
        <f>-INDEX('SRR Res NEMO'!$G$28:$R$28,1,$B37)</f>
        <v>2075.1732820533816</v>
      </c>
      <c r="D37" s="3">
        <f>-INDEX('SRR Res WEMO'!$G$28:$R$28,1,$B37)</f>
        <v>390.40772681778225</v>
      </c>
      <c r="E37" s="70">
        <f t="shared" si="4"/>
        <v>2465.5810088711637</v>
      </c>
      <c r="F37" s="3"/>
      <c r="G37" s="3">
        <f>-INDEX('SRR SGS NEMO'!$G$28:$R$28,1,$B37)</f>
        <v>-148.37535758905864</v>
      </c>
      <c r="H37" s="3">
        <f>-INDEX(' SRR SGS WEMO'!$G$28:$R$28,1,$B37)</f>
        <v>-30.717496236881587</v>
      </c>
      <c r="I37" s="3">
        <f t="shared" si="5"/>
        <v>-179.09285382594021</v>
      </c>
      <c r="J37" s="3"/>
      <c r="K37" s="3">
        <f>-INDEX('SRR Res SEMO'!$G$28:$R$28,1,$B37)</f>
        <v>-76.146664608624178</v>
      </c>
      <c r="L37" s="3"/>
      <c r="M37" s="3">
        <f>-INDEX('SRR SGS SEMO'!$G$28:$R$28,1,$B37)</f>
        <v>-20.541784005499892</v>
      </c>
      <c r="N37" s="292"/>
    </row>
    <row r="38" spans="1:14" x14ac:dyDescent="0.25">
      <c r="A38" s="195" t="str">
        <f t="shared" si="3"/>
        <v>December 2020</v>
      </c>
      <c r="B38" s="70">
        <f t="shared" si="6"/>
        <v>9</v>
      </c>
      <c r="C38" s="3">
        <f>-INDEX('SRR Res NEMO'!$G$28:$R$28,1,$B38)</f>
        <v>3197.8657747521065</v>
      </c>
      <c r="D38" s="3">
        <f>-INDEX('SRR Res WEMO'!$G$28:$R$28,1,$B38)</f>
        <v>622.6163437767957</v>
      </c>
      <c r="E38" s="70">
        <f t="shared" si="4"/>
        <v>3820.482118528902</v>
      </c>
      <c r="F38" s="3"/>
      <c r="G38" s="3">
        <f>-INDEX('SRR SGS NEMO'!$G$28:$R$28,1,$B38)</f>
        <v>-251.27461448487594</v>
      </c>
      <c r="H38" s="3">
        <f>-INDEX(' SRR SGS WEMO'!$G$28:$R$28,1,$B38)</f>
        <v>-52.876533308025017</v>
      </c>
      <c r="I38" s="3">
        <f t="shared" si="5"/>
        <v>-304.15114779290093</v>
      </c>
      <c r="J38" s="3"/>
      <c r="K38" s="3">
        <f>-INDEX('SRR Res SEMO'!$G$28:$R$28,1,$B38)</f>
        <v>-157.92392960978921</v>
      </c>
      <c r="L38" s="3"/>
      <c r="M38" s="3">
        <f>-INDEX('SRR SGS SEMO'!$G$28:$R$28,1,$B38)</f>
        <v>-48.962124381037995</v>
      </c>
      <c r="N38" s="292"/>
    </row>
    <row r="39" spans="1:14" x14ac:dyDescent="0.25">
      <c r="A39" s="195" t="str">
        <f t="shared" si="3"/>
        <v>January 2021</v>
      </c>
      <c r="B39" s="70">
        <f t="shared" si="6"/>
        <v>10</v>
      </c>
      <c r="C39" s="3">
        <f>-INDEX('SRR Res NEMO'!$G$28:$R$28,1,$B39)</f>
        <v>4630</v>
      </c>
      <c r="D39" s="3">
        <f>-INDEX('SRR Res WEMO'!$G$28:$R$28,1,$B39)</f>
        <v>897</v>
      </c>
      <c r="E39" s="70">
        <f t="shared" si="4"/>
        <v>5527</v>
      </c>
      <c r="F39" s="3"/>
      <c r="G39" s="3">
        <f>-INDEX('SRR SGS NEMO'!$G$28:$R$28,1,$B39)</f>
        <v>-415</v>
      </c>
      <c r="H39" s="3">
        <f>-INDEX(' SRR SGS WEMO'!$G$28:$R$28,1,$B39)</f>
        <v>-86</v>
      </c>
      <c r="I39" s="3">
        <f t="shared" si="5"/>
        <v>-501</v>
      </c>
      <c r="J39" s="3"/>
      <c r="K39" s="3">
        <f>-INDEX('SRR Res SEMO'!$G$28:$R$28,1,$B39)</f>
        <v>-206</v>
      </c>
      <c r="L39" s="3"/>
      <c r="M39" s="3">
        <f>-INDEX('SRR SGS SEMO'!$G$28:$R$28,1,$B39)</f>
        <v>-72</v>
      </c>
      <c r="N39" s="292"/>
    </row>
    <row r="40" spans="1:14" x14ac:dyDescent="0.25">
      <c r="A40" s="195" t="str">
        <f t="shared" si="3"/>
        <v>February 2021</v>
      </c>
      <c r="B40" s="70">
        <f t="shared" si="6"/>
        <v>11</v>
      </c>
      <c r="C40" s="3">
        <f>-INDEX('SRR Res NEMO'!$G$28:$R$28,1,$B40)</f>
        <v>3929</v>
      </c>
      <c r="D40" s="3">
        <f>-INDEX('SRR Res WEMO'!$G$28:$R$28,1,$B40)</f>
        <v>756</v>
      </c>
      <c r="E40" s="70">
        <f t="shared" si="4"/>
        <v>4685</v>
      </c>
      <c r="F40" s="3"/>
      <c r="G40" s="3">
        <f>-INDEX('SRR SGS NEMO'!$G$28:$R$28,1,$B40)</f>
        <v>-341</v>
      </c>
      <c r="H40" s="3">
        <f>-INDEX(' SRR SGS WEMO'!$G$28:$R$28,1,$B40)</f>
        <v>-74</v>
      </c>
      <c r="I40" s="3">
        <f t="shared" si="5"/>
        <v>-415</v>
      </c>
      <c r="J40" s="3"/>
      <c r="K40" s="3">
        <f>-INDEX('SRR Res SEMO'!$G$28:$R$28,1,$B40)</f>
        <v>-173</v>
      </c>
      <c r="L40" s="3"/>
      <c r="M40" s="3">
        <f>-INDEX('SRR SGS SEMO'!$G$28:$R$28,1,$B40)</f>
        <v>-58</v>
      </c>
      <c r="N40" s="292"/>
    </row>
    <row r="41" spans="1:14" x14ac:dyDescent="0.25">
      <c r="A41" s="195" t="str">
        <f t="shared" si="3"/>
        <v>March 2021</v>
      </c>
      <c r="B41" s="70">
        <f t="shared" si="6"/>
        <v>12</v>
      </c>
      <c r="C41" s="3">
        <f>-INDEX('SRR Res NEMO'!$G$28:$R$28,1,$B41)</f>
        <v>2958</v>
      </c>
      <c r="D41" s="3">
        <f>-INDEX('SRR Res WEMO'!$G$28:$R$28,1,$B41)</f>
        <v>598</v>
      </c>
      <c r="E41" s="70">
        <f t="shared" si="4"/>
        <v>3556</v>
      </c>
      <c r="F41" s="3"/>
      <c r="G41" s="3">
        <f>-INDEX('SRR SGS NEMO'!$G$28:$R$28,1,$B41)</f>
        <v>-251</v>
      </c>
      <c r="H41" s="3">
        <f>-INDEX(' SRR SGS WEMO'!$G$28:$R$28,1,$B41)</f>
        <v>-56</v>
      </c>
      <c r="I41" s="3">
        <f t="shared" si="5"/>
        <v>-307</v>
      </c>
      <c r="J41" s="3"/>
      <c r="K41" s="3">
        <f>-INDEX('SRR Res SEMO'!$G$28:$R$28,1,$B41)</f>
        <v>-136</v>
      </c>
      <c r="L41" s="3"/>
      <c r="M41" s="3">
        <f>-INDEX('SRR SGS SEMO'!$G$28:$R$28,1,$B41)</f>
        <v>-43</v>
      </c>
      <c r="N41" s="292"/>
    </row>
    <row r="42" spans="1:14" ht="6.75" customHeight="1" x14ac:dyDescent="0.25"/>
    <row r="43" spans="1:14" x14ac:dyDescent="0.25">
      <c r="A43" s="153" t="s">
        <v>171</v>
      </c>
      <c r="B43" s="70"/>
      <c r="C43" s="155">
        <f>SUM(C30:C42)</f>
        <v>21025.815422616233</v>
      </c>
      <c r="D43" s="155">
        <f>SUM(D30:D42)</f>
        <v>4053.6864589967399</v>
      </c>
      <c r="E43" s="155">
        <f>SUM(E30:E42)</f>
        <v>25079.501881612974</v>
      </c>
      <c r="F43" s="155"/>
      <c r="G43" s="155">
        <f>SUM(G30:G42)</f>
        <v>-1717.3417822281958</v>
      </c>
      <c r="H43" s="155">
        <f>SUM(H30:H42)</f>
        <v>-379.27502038352867</v>
      </c>
      <c r="I43" s="155">
        <f>SUM(I30:I42)</f>
        <v>-2096.6168026117243</v>
      </c>
      <c r="J43" s="155"/>
      <c r="K43" s="155">
        <f>SUM(K30:K42)</f>
        <v>-927.46835583302141</v>
      </c>
      <c r="L43" s="155"/>
      <c r="M43" s="155">
        <f>SUM(M30:M42)</f>
        <v>-294.21529438691732</v>
      </c>
      <c r="N43" s="128"/>
    </row>
    <row r="44" spans="1:14" ht="5.25" customHeight="1" x14ac:dyDescent="0.25">
      <c r="A44" s="18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316"/>
    </row>
    <row r="45" spans="1:14" x14ac:dyDescent="0.25">
      <c r="A45" t="s">
        <v>282</v>
      </c>
      <c r="B45" s="70"/>
      <c r="C45" s="70">
        <f>C28+C43</f>
        <v>-4215.4659204114832</v>
      </c>
      <c r="D45" s="70">
        <f>D28+D43</f>
        <v>4991.406330349836</v>
      </c>
      <c r="E45" s="70">
        <f>SUM(B45:D45)</f>
        <v>775.94040993835279</v>
      </c>
      <c r="G45" s="70">
        <f>G28+G43</f>
        <v>-158.17403904629509</v>
      </c>
      <c r="H45" s="70">
        <f>H28+H43</f>
        <v>-12.512653310529629</v>
      </c>
      <c r="I45" s="70">
        <f>SUM(F45:H45)</f>
        <v>-170.68669235682472</v>
      </c>
      <c r="K45" s="70">
        <f>K28+K43</f>
        <v>-54.841210489524883</v>
      </c>
      <c r="M45" s="70">
        <f>M28+M43</f>
        <v>-31.400063550416689</v>
      </c>
      <c r="N45" s="316"/>
    </row>
    <row r="46" spans="1:14" ht="12" customHeight="1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316"/>
    </row>
    <row r="47" spans="1:14" ht="12" customHeight="1" x14ac:dyDescent="0.25">
      <c r="A47" t="s">
        <v>213</v>
      </c>
      <c r="C47" s="196">
        <f>C22+C43</f>
        <v>-188864.94278239986</v>
      </c>
      <c r="D47" s="196">
        <f t="shared" ref="D47:M47" si="7">D22+D43</f>
        <v>-36471.775543074167</v>
      </c>
      <c r="E47" s="70">
        <f t="shared" si="7"/>
        <v>-225336.71832547401</v>
      </c>
      <c r="F47" s="70"/>
      <c r="G47" s="196">
        <f t="shared" si="7"/>
        <v>-28882.360284013972</v>
      </c>
      <c r="H47" s="196">
        <f t="shared" si="7"/>
        <v>-6082.5204013613784</v>
      </c>
      <c r="I47" s="70">
        <f t="shared" si="7"/>
        <v>-34964.880685375349</v>
      </c>
      <c r="J47" s="70"/>
      <c r="K47" s="196">
        <f t="shared" si="7"/>
        <v>-272271.04536886921</v>
      </c>
      <c r="L47" s="70"/>
      <c r="M47" s="196">
        <f t="shared" si="7"/>
        <v>-25412.237825637578</v>
      </c>
      <c r="N47" s="317"/>
    </row>
    <row r="48" spans="1:14" s="243" customFormat="1" ht="12" customHeight="1" x14ac:dyDescent="0.25">
      <c r="C48" s="196"/>
      <c r="D48" s="196"/>
      <c r="E48" s="70"/>
      <c r="F48" s="70"/>
      <c r="G48" s="196"/>
      <c r="H48" s="196"/>
      <c r="I48" s="70"/>
      <c r="J48" s="70"/>
      <c r="K48" s="196"/>
      <c r="L48" s="70"/>
      <c r="M48" s="196"/>
      <c r="N48" s="317"/>
    </row>
    <row r="49" spans="1:14" s="243" customFormat="1" ht="12" customHeight="1" x14ac:dyDescent="0.25">
      <c r="A49" s="243" t="s">
        <v>23</v>
      </c>
      <c r="C49" s="244">
        <v>11089284.458101537</v>
      </c>
      <c r="D49" s="244">
        <v>2140376.9890333959</v>
      </c>
      <c r="E49" s="279">
        <f>SUM(C49:D49)</f>
        <v>13229661.447134933</v>
      </c>
      <c r="F49" s="70"/>
      <c r="G49" s="244">
        <v>3249867.6799999997</v>
      </c>
      <c r="H49" s="244">
        <v>700365.64440726885</v>
      </c>
      <c r="I49" s="70">
        <f>SUM(G49:H49)</f>
        <v>3950233.3244072683</v>
      </c>
      <c r="J49" s="70"/>
      <c r="K49" s="244">
        <v>15300894.639401933</v>
      </c>
      <c r="L49" s="70"/>
      <c r="M49" s="244">
        <v>3908443.5557121718</v>
      </c>
      <c r="N49" s="292"/>
    </row>
    <row r="50" spans="1:14" s="243" customFormat="1" ht="12" customHeight="1" x14ac:dyDescent="0.25">
      <c r="A50" s="243" t="s">
        <v>215</v>
      </c>
      <c r="C50" s="196"/>
      <c r="D50" s="196"/>
      <c r="E50" s="70"/>
      <c r="F50" s="70"/>
      <c r="G50" s="196"/>
      <c r="H50" s="196"/>
      <c r="I50" s="70"/>
      <c r="J50" s="70"/>
      <c r="K50" s="196"/>
      <c r="L50" s="70"/>
      <c r="M50" s="196"/>
      <c r="N50" s="317"/>
    </row>
    <row r="51" spans="1:14" s="243" customFormat="1" ht="12" customHeight="1" x14ac:dyDescent="0.25">
      <c r="A51" s="243" t="s">
        <v>25</v>
      </c>
      <c r="C51" s="358"/>
      <c r="D51" s="359"/>
      <c r="E51" s="254">
        <v>1.8530000000000001E-2</v>
      </c>
      <c r="F51" s="70"/>
      <c r="G51" s="358"/>
      <c r="H51" s="359"/>
      <c r="I51" s="290">
        <v>7.7999999999999996E-3</v>
      </c>
      <c r="J51" s="70"/>
      <c r="K51" s="290">
        <v>1.7559999999999999E-2</v>
      </c>
      <c r="L51" s="70"/>
      <c r="M51" s="290">
        <v>5.9800000000000001E-3</v>
      </c>
      <c r="N51" s="318"/>
    </row>
    <row r="52" spans="1:14" s="243" customFormat="1" ht="12" customHeight="1" x14ac:dyDescent="0.25">
      <c r="A52" s="243" t="s">
        <v>108</v>
      </c>
      <c r="C52" s="358"/>
      <c r="D52" s="359"/>
      <c r="E52" s="290">
        <v>-1.8400000000000001E-3</v>
      </c>
      <c r="F52" s="70"/>
      <c r="G52" s="358"/>
      <c r="H52" s="359"/>
      <c r="I52" s="290">
        <v>4.8999999999999998E-4</v>
      </c>
      <c r="J52" s="70"/>
      <c r="K52" s="290">
        <v>6.0000000000000002E-5</v>
      </c>
      <c r="L52" s="70"/>
      <c r="M52" s="290">
        <v>6.9999999999999994E-5</v>
      </c>
      <c r="N52" s="319"/>
    </row>
    <row r="53" spans="1:14" s="243" customFormat="1" ht="12" customHeight="1" x14ac:dyDescent="0.25">
      <c r="A53" s="243" t="s">
        <v>17</v>
      </c>
      <c r="C53" s="358"/>
      <c r="D53" s="359"/>
      <c r="E53" s="254">
        <f>SUM(E51:E52)</f>
        <v>1.669E-2</v>
      </c>
      <c r="F53" s="70"/>
      <c r="G53" s="358"/>
      <c r="H53" s="359"/>
      <c r="I53" s="254">
        <f>SUM(I51:I52)</f>
        <v>8.2899999999999988E-3</v>
      </c>
      <c r="J53" s="70"/>
      <c r="K53" s="254">
        <f>SUM(K51:K52)</f>
        <v>1.762E-2</v>
      </c>
      <c r="L53" s="70"/>
      <c r="M53" s="254">
        <f>SUM(M51:M52)</f>
        <v>6.0499999999999998E-3</v>
      </c>
      <c r="N53" s="318"/>
    </row>
    <row r="54" spans="1:14" s="293" customFormat="1" ht="12" customHeight="1" x14ac:dyDescent="0.25">
      <c r="C54" s="359"/>
      <c r="D54" s="359"/>
      <c r="E54" s="70"/>
      <c r="F54" s="70"/>
      <c r="G54" s="359"/>
      <c r="H54" s="359"/>
      <c r="I54" s="70"/>
      <c r="J54" s="70"/>
      <c r="K54" s="290"/>
      <c r="L54" s="70"/>
      <c r="M54" s="290"/>
      <c r="N54" s="318"/>
    </row>
    <row r="55" spans="1:14" s="243" customFormat="1" ht="12.75" customHeight="1" x14ac:dyDescent="0.25">
      <c r="A55" s="243" t="s">
        <v>214</v>
      </c>
      <c r="C55" s="360"/>
      <c r="D55" s="360"/>
      <c r="E55" s="70">
        <f>ROUND(E49*E53,0)</f>
        <v>220803</v>
      </c>
      <c r="F55" s="70"/>
      <c r="G55" s="360"/>
      <c r="H55" s="360"/>
      <c r="I55" s="70">
        <f>ROUND(I49*I53,0)</f>
        <v>32747</v>
      </c>
      <c r="J55" s="70"/>
      <c r="K55" s="196">
        <f>ROUND(K53*K49,0)</f>
        <v>269602</v>
      </c>
      <c r="L55" s="70"/>
      <c r="M55" s="196">
        <f>ROUND(M53*M49,0)</f>
        <v>23646</v>
      </c>
      <c r="N55" s="317"/>
    </row>
    <row r="56" spans="1:14" s="243" customFormat="1" ht="12" customHeight="1" x14ac:dyDescent="0.25">
      <c r="C56" s="360"/>
      <c r="D56" s="360"/>
      <c r="E56" s="70"/>
      <c r="F56" s="70"/>
      <c r="G56" s="360"/>
      <c r="H56" s="360"/>
      <c r="I56" s="70"/>
      <c r="J56" s="70"/>
      <c r="K56" s="196"/>
      <c r="L56" s="70"/>
      <c r="M56" s="196"/>
      <c r="N56" s="317"/>
    </row>
    <row r="57" spans="1:14" s="334" customFormat="1" ht="13.5" customHeight="1" x14ac:dyDescent="0.25">
      <c r="A57" s="334" t="s">
        <v>274</v>
      </c>
      <c r="C57" s="361"/>
      <c r="D57" s="361"/>
      <c r="E57" s="288">
        <f>E55+E47</f>
        <v>-4533.7183254740085</v>
      </c>
      <c r="F57" s="337"/>
      <c r="G57" s="361"/>
      <c r="H57" s="361"/>
      <c r="I57" s="288">
        <f>I55+I47</f>
        <v>-2217.8806853753485</v>
      </c>
      <c r="J57" s="337"/>
      <c r="K57" s="288">
        <f>K55+K47</f>
        <v>-2669.0453688692069</v>
      </c>
      <c r="L57" s="337"/>
      <c r="M57" s="288">
        <f>M55+M47</f>
        <v>-1766.2378256375778</v>
      </c>
      <c r="N57" s="338"/>
    </row>
    <row r="58" spans="1:14" s="293" customFormat="1" ht="12" customHeight="1" x14ac:dyDescent="0.25">
      <c r="C58" s="360"/>
      <c r="D58" s="360"/>
      <c r="E58" s="288"/>
      <c r="F58" s="70"/>
      <c r="G58" s="360"/>
      <c r="H58" s="360"/>
      <c r="I58" s="288"/>
      <c r="J58" s="70"/>
      <c r="K58" s="288"/>
      <c r="L58" s="70"/>
      <c r="M58" s="288"/>
      <c r="N58" s="317"/>
    </row>
    <row r="59" spans="1:14" s="293" customFormat="1" ht="12" customHeight="1" x14ac:dyDescent="0.25">
      <c r="A59" s="293" t="s">
        <v>284</v>
      </c>
      <c r="C59" s="360"/>
      <c r="D59" s="360"/>
      <c r="E59" s="288">
        <f>SUM('SRR Res NEMO'!D28:F28)+SUM('SRR Res WEMO'!D28:F28)</f>
        <v>-21891.324155471411</v>
      </c>
      <c r="F59" s="70"/>
      <c r="G59" s="360"/>
      <c r="H59" s="360"/>
      <c r="I59" s="288">
        <f>SUM('SRR SGS NEMO'!D28:F28)+SUM(' SRR SGS WEMO'!D28:F28)</f>
        <v>1641.6319644081027</v>
      </c>
      <c r="J59" s="70"/>
      <c r="K59" s="288">
        <f>SUM('SRR Res SEMO'!D28:F28)</f>
        <v>1683.8835531137963</v>
      </c>
      <c r="L59" s="70"/>
      <c r="M59" s="288">
        <f>SUM('SRR SGS SEMO'!D28:F28)</f>
        <v>229.50381049199984</v>
      </c>
      <c r="N59" s="317"/>
    </row>
    <row r="60" spans="1:14" s="293" customFormat="1" ht="12" customHeight="1" x14ac:dyDescent="0.25">
      <c r="C60" s="360"/>
      <c r="D60" s="360"/>
      <c r="E60" s="288"/>
      <c r="F60" s="70"/>
      <c r="G60" s="360"/>
      <c r="H60" s="360"/>
      <c r="I60" s="288"/>
      <c r="J60" s="70"/>
      <c r="K60" s="288"/>
      <c r="L60" s="70"/>
      <c r="M60" s="288"/>
      <c r="N60" s="317"/>
    </row>
    <row r="61" spans="1:14" s="293" customFormat="1" ht="12" customHeight="1" x14ac:dyDescent="0.25">
      <c r="A61" s="293" t="s">
        <v>276</v>
      </c>
      <c r="B61" s="70"/>
      <c r="C61" s="362"/>
      <c r="D61" s="362"/>
      <c r="E61" s="279">
        <f>'WNA Excess Limit Balance'!K16</f>
        <v>0</v>
      </c>
      <c r="F61" s="279"/>
      <c r="G61" s="362"/>
      <c r="H61" s="362"/>
      <c r="I61" s="279">
        <f>'WNA Excess Limit Balance'!K29</f>
        <v>0</v>
      </c>
      <c r="J61" s="70"/>
      <c r="K61" s="279">
        <f>'WNA Excess Limit Balance'!K42</f>
        <v>0</v>
      </c>
      <c r="L61" s="70"/>
      <c r="M61" s="279">
        <f>'WNA Excess Limit Balance'!K55</f>
        <v>0</v>
      </c>
      <c r="N61" s="292"/>
    </row>
    <row r="62" spans="1:14" s="293" customFormat="1" x14ac:dyDescent="0.25">
      <c r="A62" s="293" t="s">
        <v>275</v>
      </c>
      <c r="B62" s="70"/>
      <c r="C62" s="251"/>
      <c r="D62" s="251"/>
      <c r="E62" s="155">
        <f>SUM(E57:E59)</f>
        <v>-26425.04248094542</v>
      </c>
      <c r="F62" s="70"/>
      <c r="G62" s="251"/>
      <c r="H62" s="251"/>
      <c r="I62" s="155">
        <f>I57+I59</f>
        <v>-576.24872096724584</v>
      </c>
      <c r="J62" s="70"/>
      <c r="K62" s="155">
        <f>K57+K59</f>
        <v>-985.16181575541054</v>
      </c>
      <c r="L62" s="70"/>
      <c r="M62" s="155">
        <f>M57+M59</f>
        <v>-1536.7340151455778</v>
      </c>
      <c r="N62" s="128"/>
    </row>
    <row r="63" spans="1:14" s="243" customFormat="1" ht="12" customHeight="1" x14ac:dyDescent="0.25">
      <c r="C63" s="360"/>
      <c r="D63" s="360"/>
      <c r="E63" s="70"/>
      <c r="F63" s="70"/>
      <c r="G63" s="360"/>
      <c r="H63" s="360"/>
      <c r="I63" s="70"/>
      <c r="J63" s="70"/>
      <c r="K63" s="196"/>
      <c r="L63" s="70"/>
      <c r="M63" s="196"/>
      <c r="N63" s="317"/>
    </row>
    <row r="64" spans="1:14" x14ac:dyDescent="0.25">
      <c r="A64" t="s">
        <v>23</v>
      </c>
      <c r="B64" s="22"/>
      <c r="C64" s="240"/>
      <c r="D64" s="240"/>
      <c r="E64" s="3">
        <f>Assumptions!B20+Assumptions!D20</f>
        <v>13229661.447134933</v>
      </c>
      <c r="F64" s="22"/>
      <c r="G64" s="240"/>
      <c r="H64" s="363"/>
      <c r="I64" s="3">
        <f>Assumptions!C20+Assumptions!E20</f>
        <v>3950233.3244072683</v>
      </c>
      <c r="J64" s="22"/>
      <c r="K64" s="3">
        <f>Assumptions!F20</f>
        <v>15300894.639401933</v>
      </c>
      <c r="L64" s="22"/>
      <c r="M64" s="3">
        <f>Assumptions!G20</f>
        <v>3908443.5557121718</v>
      </c>
      <c r="N64" s="292"/>
    </row>
    <row r="65" spans="1:14" ht="15.75" thickBot="1" x14ac:dyDescent="0.3"/>
    <row r="66" spans="1:14" ht="15.75" thickBot="1" x14ac:dyDescent="0.3">
      <c r="A66" s="153" t="s">
        <v>17</v>
      </c>
      <c r="B66" s="197"/>
      <c r="C66" s="102"/>
      <c r="D66" s="102"/>
      <c r="E66" s="102">
        <f>ROUND(E62/E64,5)</f>
        <v>-2E-3</v>
      </c>
      <c r="F66" s="197"/>
      <c r="G66" s="102"/>
      <c r="H66" s="102"/>
      <c r="I66" s="285">
        <f>ROUND(I62/I64,5)</f>
        <v>-1.4999999999999999E-4</v>
      </c>
      <c r="J66" s="197"/>
      <c r="K66" s="285">
        <f>ROUND(K62/K64,5)</f>
        <v>-6.0000000000000002E-5</v>
      </c>
      <c r="L66" s="197"/>
      <c r="M66" s="285">
        <f>ROUND(M62/M64,5)</f>
        <v>-3.8999999999999999E-4</v>
      </c>
      <c r="N66" s="286"/>
    </row>
    <row r="68" spans="1:14" x14ac:dyDescent="0.25">
      <c r="A68" t="s">
        <v>273</v>
      </c>
      <c r="K68" s="234"/>
    </row>
    <row r="69" spans="1:14" x14ac:dyDescent="0.25">
      <c r="K69" s="234"/>
    </row>
    <row r="70" spans="1:14" x14ac:dyDescent="0.25">
      <c r="E70">
        <f>E62/E64</f>
        <v>-1.9974088215740497E-3</v>
      </c>
    </row>
  </sheetData>
  <mergeCells count="1">
    <mergeCell ref="C1:E1"/>
  </mergeCells>
  <pageMargins left="0.45" right="0.45" top="0.75" bottom="0.5" header="0.3" footer="0.3"/>
  <pageSetup scale="57" orientation="landscape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Y31"/>
  <sheetViews>
    <sheetView topLeftCell="J4" zoomScale="85" zoomScaleNormal="85" workbookViewId="0">
      <selection activeCell="U4" sqref="U1:X1048576"/>
    </sheetView>
  </sheetViews>
  <sheetFormatPr defaultRowHeight="15" x14ac:dyDescent="0.25"/>
  <cols>
    <col min="1" max="1" width="5.7109375" customWidth="1"/>
    <col min="2" max="2" width="25.85546875" customWidth="1"/>
    <col min="3" max="3" width="10" customWidth="1"/>
    <col min="4" max="6" width="11.28515625" style="293" customWidth="1"/>
    <col min="7" max="18" width="13.85546875" style="170" customWidth="1"/>
    <col min="19" max="19" width="14.42578125" customWidth="1"/>
    <col min="20" max="20" width="14.42578125" style="289" customWidth="1"/>
  </cols>
  <sheetData>
    <row r="1" spans="1:25" ht="18.75" x14ac:dyDescent="0.3">
      <c r="A1" s="396" t="s">
        <v>163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11"/>
    </row>
    <row r="2" spans="1:25" x14ac:dyDescent="0.25">
      <c r="A2" s="180"/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11"/>
    </row>
    <row r="3" spans="1:25" ht="15.75" x14ac:dyDescent="0.25">
      <c r="A3" s="180"/>
      <c r="B3" s="180"/>
      <c r="C3" s="180"/>
      <c r="D3" s="182">
        <v>43831</v>
      </c>
      <c r="E3" s="182">
        <f>EDATE(D3,1)</f>
        <v>43862</v>
      </c>
      <c r="F3" s="182">
        <f>EDATE(E3,1)</f>
        <v>43891</v>
      </c>
      <c r="G3" s="182">
        <f>EDATE(F3,1)</f>
        <v>43922</v>
      </c>
      <c r="H3" s="182">
        <f>EDATE(G3,1)</f>
        <v>43952</v>
      </c>
      <c r="I3" s="182">
        <f t="shared" ref="I3:R3" si="0">EDATE(H3,1)</f>
        <v>43983</v>
      </c>
      <c r="J3" s="182">
        <f t="shared" si="0"/>
        <v>44013</v>
      </c>
      <c r="K3" s="182">
        <f t="shared" si="0"/>
        <v>44044</v>
      </c>
      <c r="L3" s="182">
        <f t="shared" si="0"/>
        <v>44075</v>
      </c>
      <c r="M3" s="182">
        <f t="shared" si="0"/>
        <v>44105</v>
      </c>
      <c r="N3" s="182">
        <f t="shared" si="0"/>
        <v>44136</v>
      </c>
      <c r="O3" s="182">
        <f t="shared" si="0"/>
        <v>44166</v>
      </c>
      <c r="P3" s="182">
        <f t="shared" si="0"/>
        <v>44197</v>
      </c>
      <c r="Q3" s="182">
        <f t="shared" si="0"/>
        <v>44228</v>
      </c>
      <c r="R3" s="182">
        <f t="shared" si="0"/>
        <v>44256</v>
      </c>
      <c r="S3" s="231" t="s">
        <v>17</v>
      </c>
      <c r="T3" s="322"/>
    </row>
    <row r="4" spans="1:25" x14ac:dyDescent="0.25"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25" x14ac:dyDescent="0.25">
      <c r="A5" s="183" t="s">
        <v>135</v>
      </c>
      <c r="B5" s="17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25" x14ac:dyDescent="0.25">
      <c r="B6" t="s">
        <v>158</v>
      </c>
      <c r="D6" s="355">
        <v>2516391</v>
      </c>
      <c r="E6" s="355">
        <v>846654</v>
      </c>
      <c r="F6" s="355">
        <v>487541</v>
      </c>
      <c r="G6" s="187"/>
      <c r="H6" s="188"/>
      <c r="I6" s="188"/>
      <c r="J6" s="188"/>
      <c r="K6" s="188"/>
      <c r="L6" s="188"/>
      <c r="M6" s="187"/>
      <c r="N6" s="188"/>
      <c r="O6" s="188"/>
      <c r="P6" s="142">
        <v>2516391</v>
      </c>
      <c r="Q6" s="142">
        <v>2135402</v>
      </c>
      <c r="R6" s="142">
        <v>1607542</v>
      </c>
      <c r="U6" s="217"/>
      <c r="V6" s="217"/>
      <c r="W6" s="217"/>
      <c r="X6" s="217"/>
      <c r="Y6" s="217"/>
    </row>
    <row r="7" spans="1:25" x14ac:dyDescent="0.25">
      <c r="B7" t="s">
        <v>99</v>
      </c>
      <c r="D7" s="329">
        <v>2220044.5179100032</v>
      </c>
      <c r="E7" s="329">
        <v>2141731.0959199984</v>
      </c>
      <c r="F7" s="329">
        <v>1521652.0808499991</v>
      </c>
      <c r="G7" s="329">
        <v>924140.78684999864</v>
      </c>
      <c r="H7" s="329">
        <v>427823.64974999923</v>
      </c>
      <c r="I7" s="329">
        <v>164729.38130000001</v>
      </c>
      <c r="J7" s="329">
        <v>133790.03415999957</v>
      </c>
      <c r="K7" s="329">
        <v>136973.3280099993</v>
      </c>
      <c r="L7" s="329">
        <v>151870.12832999954</v>
      </c>
      <c r="M7" s="329">
        <v>502681.03240999917</v>
      </c>
      <c r="N7" s="329">
        <v>1128506.7412400001</v>
      </c>
      <c r="O7" s="329">
        <v>1738070.2530699968</v>
      </c>
      <c r="P7" s="186"/>
      <c r="Q7" s="186"/>
      <c r="R7" s="186"/>
      <c r="U7" s="217"/>
      <c r="V7" s="217"/>
      <c r="W7" s="217"/>
      <c r="X7" s="217"/>
      <c r="Y7" s="217"/>
    </row>
    <row r="8" spans="1:25" x14ac:dyDescent="0.25">
      <c r="B8" t="s">
        <v>160</v>
      </c>
      <c r="D8" s="281">
        <f>D7-D6</f>
        <v>-296346.4820899968</v>
      </c>
      <c r="E8" s="281">
        <f t="shared" ref="E8:F8" si="1">E7-E6</f>
        <v>1295077.0959199984</v>
      </c>
      <c r="F8" s="281">
        <f t="shared" si="1"/>
        <v>1034111.0808499991</v>
      </c>
      <c r="G8" s="187"/>
      <c r="H8" s="188"/>
      <c r="I8" s="188"/>
      <c r="J8" s="188"/>
      <c r="K8" s="188"/>
      <c r="L8" s="188"/>
      <c r="M8" s="187"/>
      <c r="N8" s="188"/>
      <c r="O8" s="188"/>
      <c r="P8" s="186"/>
      <c r="Q8" s="186"/>
      <c r="R8" s="186"/>
    </row>
    <row r="9" spans="1:25" x14ac:dyDescent="0.25">
      <c r="J9" s="261"/>
      <c r="K9" s="261"/>
      <c r="L9" s="261"/>
    </row>
    <row r="10" spans="1:25" x14ac:dyDescent="0.25">
      <c r="A10" s="183" t="s">
        <v>157</v>
      </c>
      <c r="B10" s="179"/>
      <c r="J10" s="261"/>
      <c r="K10" s="261"/>
      <c r="L10" s="261"/>
    </row>
    <row r="11" spans="1:25" x14ac:dyDescent="0.25">
      <c r="B11" s="177">
        <v>43556</v>
      </c>
      <c r="C11" s="151" t="s">
        <v>152</v>
      </c>
      <c r="D11" s="250">
        <v>-1.1270000000000001E-2</v>
      </c>
      <c r="E11" s="369">
        <f>D11</f>
        <v>-1.1270000000000001E-2</v>
      </c>
      <c r="F11" s="369">
        <f>E11</f>
        <v>-1.1270000000000001E-2</v>
      </c>
      <c r="G11" s="187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5"/>
    </row>
    <row r="12" spans="1:25" x14ac:dyDescent="0.25">
      <c r="B12" s="151"/>
      <c r="C12" s="151" t="s">
        <v>108</v>
      </c>
      <c r="D12" s="250">
        <v>0</v>
      </c>
      <c r="E12" s="369">
        <f>D12</f>
        <v>0</v>
      </c>
      <c r="F12" s="369">
        <f>E12</f>
        <v>0</v>
      </c>
      <c r="G12" s="187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5"/>
    </row>
    <row r="13" spans="1:25" x14ac:dyDescent="0.25">
      <c r="B13" s="151"/>
      <c r="C13" s="151"/>
      <c r="D13" s="151"/>
      <c r="E13" s="151"/>
      <c r="F13" s="151"/>
      <c r="G13" s="171"/>
      <c r="H13" s="172"/>
      <c r="I13" s="172"/>
      <c r="J13" s="172"/>
      <c r="K13" s="172"/>
      <c r="L13" s="172"/>
      <c r="M13" s="66"/>
      <c r="N13" s="66"/>
      <c r="O13" s="66"/>
      <c r="P13" s="66"/>
      <c r="Q13" s="66"/>
      <c r="R13" s="66"/>
    </row>
    <row r="14" spans="1:25" x14ac:dyDescent="0.25">
      <c r="B14" s="177">
        <v>43922</v>
      </c>
      <c r="C14" s="151" t="s">
        <v>152</v>
      </c>
      <c r="D14" s="187"/>
      <c r="E14" s="187"/>
      <c r="F14" s="187"/>
      <c r="G14" s="187"/>
      <c r="H14" s="188"/>
      <c r="I14" s="188"/>
      <c r="J14" s="188"/>
      <c r="K14" s="188"/>
      <c r="L14" s="188"/>
      <c r="M14" s="187"/>
      <c r="N14" s="188"/>
      <c r="O14" s="188"/>
      <c r="P14" s="172">
        <v>1.8530000000000001E-2</v>
      </c>
      <c r="Q14" s="172">
        <f t="shared" ref="Q14:R14" si="2">P14</f>
        <v>1.8530000000000001E-2</v>
      </c>
      <c r="R14" s="172">
        <f t="shared" si="2"/>
        <v>1.8530000000000001E-2</v>
      </c>
    </row>
    <row r="15" spans="1:25" x14ac:dyDescent="0.25">
      <c r="B15" s="151"/>
      <c r="C15" s="151" t="s">
        <v>108</v>
      </c>
      <c r="D15" s="187"/>
      <c r="E15" s="187"/>
      <c r="F15" s="187"/>
      <c r="G15" s="187"/>
      <c r="H15" s="188"/>
      <c r="I15" s="188"/>
      <c r="J15" s="188"/>
      <c r="K15" s="188"/>
      <c r="L15" s="188"/>
      <c r="M15" s="188"/>
      <c r="N15" s="188"/>
      <c r="O15" s="188"/>
      <c r="P15" s="172">
        <v>-1.8400000000000001E-3</v>
      </c>
      <c r="Q15" s="172">
        <f t="shared" ref="Q15:R15" si="3">P15</f>
        <v>-1.8400000000000001E-3</v>
      </c>
      <c r="R15" s="172">
        <f t="shared" si="3"/>
        <v>-1.8400000000000001E-3</v>
      </c>
    </row>
    <row r="16" spans="1:25" x14ac:dyDescent="0.25">
      <c r="B16" s="151"/>
      <c r="C16" s="151"/>
      <c r="D16" s="151"/>
      <c r="E16" s="151"/>
      <c r="F16" s="151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20" x14ac:dyDescent="0.25">
      <c r="A17" s="183" t="s">
        <v>159</v>
      </c>
      <c r="B17" s="179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0" x14ac:dyDescent="0.25">
      <c r="B18" t="str">
        <f>TEXT(B11,"MMMM YYYY")&amp;" True-up"</f>
        <v>April 2019 True-up</v>
      </c>
      <c r="C18" s="151" t="s">
        <v>25</v>
      </c>
      <c r="D18" s="187"/>
      <c r="E18" s="187"/>
      <c r="F18" s="187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70">
        <f>SUM(D18:R18)</f>
        <v>0</v>
      </c>
      <c r="T18" s="316"/>
    </row>
    <row r="19" spans="1:20" x14ac:dyDescent="0.25">
      <c r="C19" s="151" t="s">
        <v>108</v>
      </c>
      <c r="D19" s="206">
        <f>(D11+D12)*D8</f>
        <v>3339.824853154264</v>
      </c>
      <c r="E19" s="206">
        <f>(E11+E12)*E8</f>
        <v>-14595.518871018383</v>
      </c>
      <c r="F19" s="206">
        <f>(F11+F12)*F8</f>
        <v>-11654.431881179491</v>
      </c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70">
        <f>SUM(D19:R19)</f>
        <v>-22910.125899043611</v>
      </c>
      <c r="T19" s="316"/>
    </row>
    <row r="20" spans="1:20" x14ac:dyDescent="0.25">
      <c r="C20" s="151"/>
      <c r="D20" s="151"/>
      <c r="E20" s="151"/>
      <c r="F20" s="151"/>
      <c r="G20" s="66"/>
      <c r="H20" s="66"/>
      <c r="I20" s="66"/>
      <c r="J20" s="173"/>
      <c r="K20" s="173"/>
      <c r="L20" s="173"/>
      <c r="M20" s="66"/>
      <c r="N20" s="66"/>
      <c r="O20" s="66"/>
      <c r="P20" s="66"/>
      <c r="Q20" s="66"/>
      <c r="R20" s="66"/>
    </row>
    <row r="21" spans="1:20" x14ac:dyDescent="0.25">
      <c r="B21" t="str">
        <f>TEXT(B14,"MMMM YYYY")&amp;" Actual"</f>
        <v>April 2020 Actual</v>
      </c>
      <c r="C21" s="151" t="s">
        <v>25</v>
      </c>
      <c r="D21" s="185"/>
      <c r="E21" s="185"/>
      <c r="F21" s="185"/>
      <c r="G21" s="302">
        <v>12212.625015591388</v>
      </c>
      <c r="H21" s="302">
        <v>8041.9345318638188</v>
      </c>
      <c r="I21" s="302">
        <v>3201.4479240936726</v>
      </c>
      <c r="J21" s="302">
        <v>2509.9753285583893</v>
      </c>
      <c r="K21" s="302">
        <v>2554.862115188912</v>
      </c>
      <c r="L21" s="302">
        <v>2959.3412774421049</v>
      </c>
      <c r="M21" s="302">
        <v>9321.6297717312227</v>
      </c>
      <c r="N21" s="302">
        <v>20898.348324157152</v>
      </c>
      <c r="O21" s="302">
        <v>32204.593916389422</v>
      </c>
      <c r="P21" s="185"/>
      <c r="Q21" s="185"/>
      <c r="R21" s="185"/>
      <c r="S21" s="70">
        <f t="shared" ref="S21:S22" si="4">SUM(D21:R21)</f>
        <v>93904.758205016085</v>
      </c>
      <c r="T21" s="316"/>
    </row>
    <row r="22" spans="1:20" x14ac:dyDescent="0.25">
      <c r="C22" s="151" t="s">
        <v>108</v>
      </c>
      <c r="D22" s="185"/>
      <c r="E22" s="185"/>
      <c r="F22" s="185"/>
      <c r="G22" s="173">
        <v>-1396.9144475195569</v>
      </c>
      <c r="H22" s="173">
        <v>-798.55151314783734</v>
      </c>
      <c r="I22" s="173">
        <v>-317.89876850147641</v>
      </c>
      <c r="J22" s="173">
        <v>-249.23662193995881</v>
      </c>
      <c r="K22" s="173">
        <v>-253.69380960321627</v>
      </c>
      <c r="L22" s="173">
        <v>-293.85795739306383</v>
      </c>
      <c r="M22" s="173">
        <v>-925.62324770563669</v>
      </c>
      <c r="N22" s="173">
        <v>-2075.1732820533816</v>
      </c>
      <c r="O22" s="173">
        <v>-3197.8657747521065</v>
      </c>
      <c r="P22" s="185"/>
      <c r="Q22" s="185"/>
      <c r="R22" s="185"/>
      <c r="S22" s="70">
        <f t="shared" si="4"/>
        <v>-9508.8154226162333</v>
      </c>
      <c r="T22" s="316"/>
    </row>
    <row r="23" spans="1:20" x14ac:dyDescent="0.25">
      <c r="G23" s="174"/>
      <c r="H23" s="174"/>
      <c r="I23" s="174"/>
      <c r="J23" s="174"/>
      <c r="K23" s="174"/>
      <c r="L23" s="174"/>
      <c r="M23" s="174"/>
      <c r="N23" s="174"/>
      <c r="O23" s="174"/>
      <c r="P23" s="66"/>
      <c r="Q23" s="66"/>
      <c r="R23" s="66"/>
    </row>
    <row r="24" spans="1:20" x14ac:dyDescent="0.25">
      <c r="B24" t="str">
        <f>TEXT(B14,"MMMM YYYY")&amp;" Estimates"</f>
        <v>April 2020 Estimates</v>
      </c>
      <c r="C24" s="151" t="s">
        <v>25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3">
        <f>ROUND(P6*P14,0)</f>
        <v>46629</v>
      </c>
      <c r="Q24" s="173">
        <f>ROUND(Q6*Q14,0)</f>
        <v>39569</v>
      </c>
      <c r="R24" s="173">
        <f>ROUND(R6*R14,0)</f>
        <v>29788</v>
      </c>
      <c r="S24" s="70">
        <f t="shared" ref="S24:S25" si="5">SUM(D24:R24)</f>
        <v>115986</v>
      </c>
      <c r="T24" s="316"/>
    </row>
    <row r="25" spans="1:20" x14ac:dyDescent="0.25">
      <c r="C25" s="151" t="s">
        <v>108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73">
        <f>ROUND(P6*P15,0)</f>
        <v>-4630</v>
      </c>
      <c r="Q25" s="173">
        <f>ROUND(Q6*Q15,0)</f>
        <v>-3929</v>
      </c>
      <c r="R25" s="173">
        <f>ROUND(R6*R15,0)</f>
        <v>-2958</v>
      </c>
      <c r="S25" s="70">
        <f t="shared" si="5"/>
        <v>-11517</v>
      </c>
      <c r="T25" s="303"/>
    </row>
    <row r="26" spans="1:20" x14ac:dyDescent="0.25">
      <c r="C26" s="151"/>
      <c r="D26" s="151"/>
      <c r="E26" s="151"/>
      <c r="F26" s="151"/>
      <c r="G26" s="66"/>
      <c r="H26" s="66"/>
      <c r="I26" s="66"/>
      <c r="J26" s="66"/>
      <c r="K26" s="66"/>
      <c r="L26" s="66"/>
      <c r="M26" s="66"/>
      <c r="N26" s="66"/>
      <c r="O26" s="66"/>
      <c r="P26" s="173"/>
      <c r="Q26" s="173"/>
      <c r="R26" s="173"/>
    </row>
    <row r="27" spans="1:20" x14ac:dyDescent="0.25">
      <c r="B27" t="s">
        <v>17</v>
      </c>
      <c r="C27" s="151" t="s">
        <v>25</v>
      </c>
      <c r="D27" s="185"/>
      <c r="E27" s="185"/>
      <c r="F27" s="185"/>
      <c r="G27" s="199">
        <f>G18+G21+G24</f>
        <v>12212.625015591388</v>
      </c>
      <c r="H27" s="199">
        <f t="shared" ref="H27:R27" si="6">H18+H21+H24</f>
        <v>8041.9345318638188</v>
      </c>
      <c r="I27" s="199">
        <f t="shared" si="6"/>
        <v>3201.4479240936726</v>
      </c>
      <c r="J27" s="199">
        <f t="shared" si="6"/>
        <v>2509.9753285583893</v>
      </c>
      <c r="K27" s="199">
        <f t="shared" si="6"/>
        <v>2554.862115188912</v>
      </c>
      <c r="L27" s="199">
        <f t="shared" si="6"/>
        <v>2959.3412774421049</v>
      </c>
      <c r="M27" s="199">
        <f t="shared" si="6"/>
        <v>9321.6297717312227</v>
      </c>
      <c r="N27" s="199">
        <f t="shared" si="6"/>
        <v>20898.348324157152</v>
      </c>
      <c r="O27" s="199">
        <f t="shared" si="6"/>
        <v>32204.593916389422</v>
      </c>
      <c r="P27" s="199">
        <f t="shared" si="6"/>
        <v>46629</v>
      </c>
      <c r="Q27" s="199">
        <f t="shared" si="6"/>
        <v>39569</v>
      </c>
      <c r="R27" s="199">
        <f t="shared" si="6"/>
        <v>29788</v>
      </c>
      <c r="S27" s="199">
        <f t="shared" ref="S27" si="7">S18+S21+S24</f>
        <v>209890.75820501609</v>
      </c>
      <c r="T27" s="323"/>
    </row>
    <row r="28" spans="1:20" ht="15.75" customHeight="1" x14ac:dyDescent="0.25">
      <c r="C28" s="151" t="s">
        <v>108</v>
      </c>
      <c r="D28" s="199">
        <f t="shared" ref="D28:F28" si="8">D19+D22+D25</f>
        <v>3339.824853154264</v>
      </c>
      <c r="E28" s="199">
        <f t="shared" si="8"/>
        <v>-14595.518871018383</v>
      </c>
      <c r="F28" s="199">
        <f t="shared" si="8"/>
        <v>-11654.431881179491</v>
      </c>
      <c r="G28" s="199">
        <f>G19+G22+G25</f>
        <v>-1396.9144475195569</v>
      </c>
      <c r="H28" s="199">
        <f t="shared" ref="H28:R28" si="9">H19+H22+H25</f>
        <v>-798.55151314783734</v>
      </c>
      <c r="I28" s="199">
        <f t="shared" si="9"/>
        <v>-317.89876850147641</v>
      </c>
      <c r="J28" s="199">
        <f t="shared" si="9"/>
        <v>-249.23662193995881</v>
      </c>
      <c r="K28" s="199">
        <f t="shared" si="9"/>
        <v>-253.69380960321627</v>
      </c>
      <c r="L28" s="199">
        <f t="shared" si="9"/>
        <v>-293.85795739306383</v>
      </c>
      <c r="M28" s="199">
        <f t="shared" si="9"/>
        <v>-925.62324770563669</v>
      </c>
      <c r="N28" s="199">
        <f t="shared" si="9"/>
        <v>-2075.1732820533816</v>
      </c>
      <c r="O28" s="199">
        <f t="shared" si="9"/>
        <v>-3197.8657747521065</v>
      </c>
      <c r="P28" s="199">
        <f t="shared" si="9"/>
        <v>-4630</v>
      </c>
      <c r="Q28" s="199">
        <f t="shared" si="9"/>
        <v>-3929</v>
      </c>
      <c r="R28" s="199">
        <f t="shared" si="9"/>
        <v>-2958</v>
      </c>
      <c r="S28" s="199">
        <f t="shared" ref="S28" si="10">S19+S22+S25</f>
        <v>-43935.941321659848</v>
      </c>
      <c r="T28" s="323"/>
    </row>
    <row r="29" spans="1:20" x14ac:dyDescent="0.25">
      <c r="A29" s="189"/>
      <c r="C29" s="151"/>
      <c r="D29" s="151"/>
      <c r="E29" s="151"/>
      <c r="F29" s="151"/>
    </row>
    <row r="30" spans="1:20" x14ac:dyDescent="0.25">
      <c r="H30" s="354"/>
      <c r="I30" s="354"/>
    </row>
    <row r="31" spans="1:20" x14ac:dyDescent="0.25">
      <c r="H31" s="354"/>
      <c r="I31" s="354"/>
    </row>
  </sheetData>
  <mergeCells count="1">
    <mergeCell ref="A1:R1"/>
  </mergeCells>
  <pageMargins left="0.45" right="0.45" top="0.75" bottom="0.5" header="0.3" footer="0.3"/>
  <pageSetup scale="53" orientation="landscape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T28"/>
  <sheetViews>
    <sheetView topLeftCell="F7" zoomScale="85" zoomScaleNormal="85" workbookViewId="0">
      <selection activeCell="U7" sqref="U1:X1048576"/>
    </sheetView>
  </sheetViews>
  <sheetFormatPr defaultRowHeight="15" x14ac:dyDescent="0.25"/>
  <cols>
    <col min="1" max="1" width="5" customWidth="1"/>
    <col min="2" max="2" width="25.85546875" customWidth="1"/>
    <col min="3" max="3" width="10" customWidth="1"/>
    <col min="4" max="6" width="10" style="293" customWidth="1"/>
    <col min="7" max="18" width="13" style="170" customWidth="1"/>
    <col min="19" max="19" width="14.42578125" customWidth="1"/>
    <col min="20" max="20" width="14.42578125" style="289" customWidth="1"/>
  </cols>
  <sheetData>
    <row r="1" spans="1:20" ht="18.75" x14ac:dyDescent="0.3">
      <c r="A1" s="396" t="s">
        <v>165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11"/>
    </row>
    <row r="2" spans="1:20" x14ac:dyDescent="0.25">
      <c r="A2" s="180"/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11"/>
    </row>
    <row r="3" spans="1:20" ht="15.75" x14ac:dyDescent="0.25">
      <c r="A3" s="180"/>
      <c r="B3" s="180"/>
      <c r="C3" s="180"/>
      <c r="D3" s="182">
        <v>43831</v>
      </c>
      <c r="E3" s="182">
        <f>EDATE(D3,1)</f>
        <v>43862</v>
      </c>
      <c r="F3" s="182">
        <f>EDATE(E3,1)</f>
        <v>43891</v>
      </c>
      <c r="G3" s="182">
        <f>EDATE(F3,1)</f>
        <v>43922</v>
      </c>
      <c r="H3" s="182">
        <f>EDATE(G3,1)</f>
        <v>43952</v>
      </c>
      <c r="I3" s="182">
        <f t="shared" ref="I3:R3" si="0">EDATE(H3,1)</f>
        <v>43983</v>
      </c>
      <c r="J3" s="182">
        <f t="shared" si="0"/>
        <v>44013</v>
      </c>
      <c r="K3" s="182">
        <f t="shared" si="0"/>
        <v>44044</v>
      </c>
      <c r="L3" s="182">
        <f t="shared" si="0"/>
        <v>44075</v>
      </c>
      <c r="M3" s="182">
        <f t="shared" si="0"/>
        <v>44105</v>
      </c>
      <c r="N3" s="182">
        <f t="shared" si="0"/>
        <v>44136</v>
      </c>
      <c r="O3" s="182">
        <f t="shared" si="0"/>
        <v>44166</v>
      </c>
      <c r="P3" s="182">
        <f t="shared" si="0"/>
        <v>44197</v>
      </c>
      <c r="Q3" s="182">
        <f t="shared" si="0"/>
        <v>44228</v>
      </c>
      <c r="R3" s="182">
        <f t="shared" si="0"/>
        <v>44256</v>
      </c>
      <c r="S3" s="231" t="s">
        <v>17</v>
      </c>
      <c r="T3" s="322"/>
    </row>
    <row r="4" spans="1:20" x14ac:dyDescent="0.25"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20" x14ac:dyDescent="0.25">
      <c r="A5" s="183" t="s">
        <v>135</v>
      </c>
      <c r="B5" s="17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20" x14ac:dyDescent="0.25">
      <c r="B6" t="s">
        <v>158</v>
      </c>
      <c r="C6" s="289"/>
      <c r="D6" s="292">
        <v>487541</v>
      </c>
      <c r="E6" s="292">
        <v>410704</v>
      </c>
      <c r="F6" s="292">
        <v>325270</v>
      </c>
      <c r="G6" s="186"/>
      <c r="H6" s="186"/>
      <c r="I6" s="186"/>
      <c r="J6" s="186"/>
      <c r="K6" s="186"/>
      <c r="L6" s="186"/>
      <c r="M6" s="186"/>
      <c r="N6" s="186"/>
      <c r="O6" s="186"/>
      <c r="P6" s="142">
        <v>487541</v>
      </c>
      <c r="Q6" s="142">
        <v>410704</v>
      </c>
      <c r="R6" s="142">
        <v>325270</v>
      </c>
    </row>
    <row r="7" spans="1:20" x14ac:dyDescent="0.25">
      <c r="B7" t="s">
        <v>99</v>
      </c>
      <c r="C7" s="289"/>
      <c r="D7" s="329">
        <v>431573.4499999999</v>
      </c>
      <c r="E7" s="329">
        <v>417625.5895</v>
      </c>
      <c r="F7" s="329">
        <v>283916.51564</v>
      </c>
      <c r="G7" s="329">
        <v>157414.66702000023</v>
      </c>
      <c r="H7" s="329">
        <v>82347.504220000017</v>
      </c>
      <c r="I7" s="329">
        <v>29828.48</v>
      </c>
      <c r="J7" s="329">
        <v>27084.047549999999</v>
      </c>
      <c r="K7" s="329">
        <v>26337.928099999997</v>
      </c>
      <c r="L7" s="329">
        <v>29820.719849999998</v>
      </c>
      <c r="M7" s="329">
        <v>99037.548610000013</v>
      </c>
      <c r="N7" s="329">
        <v>212210.86448999928</v>
      </c>
      <c r="O7" s="329">
        <v>338404.61374000035</v>
      </c>
      <c r="P7" s="186"/>
      <c r="Q7" s="186"/>
      <c r="R7" s="186"/>
    </row>
    <row r="8" spans="1:20" x14ac:dyDescent="0.25">
      <c r="B8" t="s">
        <v>160</v>
      </c>
      <c r="C8" s="289"/>
      <c r="D8" s="266">
        <f>D7-D6</f>
        <v>-55967.550000000105</v>
      </c>
      <c r="E8" s="266">
        <f t="shared" ref="E8:F8" si="1">E7-E6</f>
        <v>6921.5895000000019</v>
      </c>
      <c r="F8" s="266">
        <f t="shared" si="1"/>
        <v>-41353.484360000002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20" x14ac:dyDescent="0.25">
      <c r="J9" s="261"/>
      <c r="K9" s="261"/>
      <c r="L9" s="261"/>
    </row>
    <row r="10" spans="1:20" x14ac:dyDescent="0.25">
      <c r="A10" s="183" t="s">
        <v>157</v>
      </c>
      <c r="B10" s="179"/>
      <c r="J10" s="261"/>
      <c r="K10" s="261"/>
      <c r="L10" s="261"/>
    </row>
    <row r="11" spans="1:20" x14ac:dyDescent="0.25">
      <c r="B11" s="177">
        <v>43556</v>
      </c>
      <c r="C11" s="151" t="s">
        <v>152</v>
      </c>
      <c r="D11" s="250">
        <v>-1.1270000000000001E-2</v>
      </c>
      <c r="E11" s="369">
        <f>D11</f>
        <v>-1.1270000000000001E-2</v>
      </c>
      <c r="F11" s="369">
        <f>E11</f>
        <v>-1.1270000000000001E-2</v>
      </c>
      <c r="G11" s="187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5"/>
    </row>
    <row r="12" spans="1:20" x14ac:dyDescent="0.25">
      <c r="B12" s="151"/>
      <c r="C12" s="151" t="s">
        <v>108</v>
      </c>
      <c r="D12" s="250">
        <v>0</v>
      </c>
      <c r="E12" s="369">
        <f>D12</f>
        <v>0</v>
      </c>
      <c r="F12" s="369">
        <f>E12</f>
        <v>0</v>
      </c>
      <c r="G12" s="187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5"/>
    </row>
    <row r="13" spans="1:20" x14ac:dyDescent="0.25">
      <c r="B13" s="151"/>
      <c r="C13" s="151"/>
      <c r="D13" s="151"/>
      <c r="E13" s="151"/>
      <c r="F13" s="151"/>
      <c r="G13" s="171"/>
      <c r="H13" s="172"/>
      <c r="I13" s="172"/>
      <c r="J13" s="172"/>
      <c r="K13" s="172"/>
      <c r="L13" s="172"/>
      <c r="M13" s="66"/>
      <c r="N13" s="66"/>
      <c r="O13" s="66"/>
      <c r="P13" s="66"/>
      <c r="Q13" s="66"/>
      <c r="R13" s="66"/>
    </row>
    <row r="14" spans="1:20" x14ac:dyDescent="0.25">
      <c r="B14" s="177">
        <v>43922</v>
      </c>
      <c r="C14" s="151" t="s">
        <v>152</v>
      </c>
      <c r="D14" s="187"/>
      <c r="E14" s="187"/>
      <c r="F14" s="187"/>
      <c r="G14" s="187"/>
      <c r="H14" s="188"/>
      <c r="I14" s="188"/>
      <c r="J14" s="188"/>
      <c r="K14" s="188"/>
      <c r="L14" s="188"/>
      <c r="M14" s="186"/>
      <c r="N14" s="186"/>
      <c r="O14" s="186"/>
      <c r="P14" s="172">
        <v>1.8530000000000001E-2</v>
      </c>
      <c r="Q14" s="172">
        <f t="shared" ref="Q14:R15" si="2">P14</f>
        <v>1.8530000000000001E-2</v>
      </c>
      <c r="R14" s="172">
        <f t="shared" si="2"/>
        <v>1.8530000000000001E-2</v>
      </c>
    </row>
    <row r="15" spans="1:20" x14ac:dyDescent="0.25">
      <c r="B15" s="151"/>
      <c r="C15" s="151" t="s">
        <v>108</v>
      </c>
      <c r="D15" s="187"/>
      <c r="E15" s="187"/>
      <c r="F15" s="187"/>
      <c r="G15" s="187"/>
      <c r="H15" s="188"/>
      <c r="I15" s="188"/>
      <c r="J15" s="188"/>
      <c r="K15" s="188"/>
      <c r="L15" s="188"/>
      <c r="M15" s="186"/>
      <c r="N15" s="186"/>
      <c r="O15" s="186"/>
      <c r="P15" s="172">
        <v>-1.8400000000000001E-3</v>
      </c>
      <c r="Q15" s="172">
        <f t="shared" si="2"/>
        <v>-1.8400000000000001E-3</v>
      </c>
      <c r="R15" s="172">
        <f t="shared" si="2"/>
        <v>-1.8400000000000001E-3</v>
      </c>
    </row>
    <row r="16" spans="1:20" x14ac:dyDescent="0.25">
      <c r="B16" s="151"/>
      <c r="C16" s="151"/>
      <c r="D16" s="151"/>
      <c r="E16" s="151"/>
      <c r="F16" s="151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20" x14ac:dyDescent="0.25">
      <c r="A17" s="183" t="s">
        <v>159</v>
      </c>
      <c r="B17" s="179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0" x14ac:dyDescent="0.25">
      <c r="B18" t="str">
        <f>TEXT(B11,"MMMM YYYY")&amp;" True-up"</f>
        <v>April 2019 True-up</v>
      </c>
      <c r="C18" s="151" t="s">
        <v>25</v>
      </c>
      <c r="D18" s="187"/>
      <c r="E18" s="187"/>
      <c r="F18" s="187"/>
      <c r="G18" s="187"/>
      <c r="H18" s="188"/>
      <c r="I18" s="188"/>
      <c r="J18" s="188"/>
      <c r="K18" s="188"/>
      <c r="L18" s="188"/>
      <c r="M18" s="185"/>
      <c r="N18" s="185"/>
      <c r="O18" s="185"/>
      <c r="P18" s="185"/>
      <c r="Q18" s="185"/>
      <c r="R18" s="185"/>
      <c r="S18" s="70">
        <f>SUM(D18:R18)</f>
        <v>0</v>
      </c>
      <c r="T18" s="316"/>
    </row>
    <row r="19" spans="1:20" x14ac:dyDescent="0.25">
      <c r="C19" s="151" t="s">
        <v>108</v>
      </c>
      <c r="D19" s="206">
        <f>(D11+D12)*D8</f>
        <v>630.75428850000117</v>
      </c>
      <c r="E19" s="206">
        <f>(E11+E12)*E8</f>
        <v>-78.006313665000022</v>
      </c>
      <c r="F19" s="206">
        <f>(F11+F12)*F8</f>
        <v>466.05376873720007</v>
      </c>
      <c r="G19" s="187"/>
      <c r="H19" s="188"/>
      <c r="I19" s="188"/>
      <c r="J19" s="188"/>
      <c r="K19" s="188"/>
      <c r="L19" s="188"/>
      <c r="M19" s="185"/>
      <c r="N19" s="185"/>
      <c r="O19" s="185"/>
      <c r="P19" s="185"/>
      <c r="Q19" s="185"/>
      <c r="R19" s="185"/>
      <c r="S19" s="70">
        <f>SUM(D19:R19)</f>
        <v>1018.8017435722013</v>
      </c>
      <c r="T19" s="316"/>
    </row>
    <row r="20" spans="1:20" x14ac:dyDescent="0.25">
      <c r="C20" s="151"/>
      <c r="D20" s="151"/>
      <c r="E20" s="151"/>
      <c r="F20" s="151"/>
      <c r="G20" s="66"/>
      <c r="H20" s="66"/>
      <c r="I20" s="66"/>
      <c r="J20" s="173"/>
      <c r="K20" s="173"/>
      <c r="L20" s="173"/>
      <c r="M20" s="66"/>
      <c r="N20" s="66"/>
      <c r="O20" s="66"/>
      <c r="P20" s="66"/>
      <c r="Q20" s="66"/>
      <c r="R20" s="66"/>
    </row>
    <row r="21" spans="1:20" x14ac:dyDescent="0.25">
      <c r="B21" t="str">
        <f>TEXT(B14,"MMMM YYYY")&amp;" Actual"</f>
        <v>April 2020 Actual</v>
      </c>
      <c r="C21" s="151" t="s">
        <v>25</v>
      </c>
      <c r="D21" s="185"/>
      <c r="E21" s="185"/>
      <c r="F21" s="185"/>
      <c r="G21" s="302">
        <v>2162.0202795443615</v>
      </c>
      <c r="H21" s="302">
        <v>1530.5540735611119</v>
      </c>
      <c r="I21" s="302">
        <v>555.5760607793062</v>
      </c>
      <c r="J21" s="302">
        <v>505.91176872583026</v>
      </c>
      <c r="K21" s="302">
        <v>492.22693359772353</v>
      </c>
      <c r="L21" s="302">
        <v>569.07709102521108</v>
      </c>
      <c r="M21" s="302">
        <v>1837.2827360778315</v>
      </c>
      <c r="N21" s="302">
        <v>3931.6604227899484</v>
      </c>
      <c r="O21" s="302">
        <v>6270.152635969579</v>
      </c>
      <c r="P21" s="203"/>
      <c r="Q21" s="203"/>
      <c r="R21" s="203"/>
      <c r="S21" s="70">
        <f t="shared" ref="S21:S22" si="3">SUM(D21:R21)</f>
        <v>17854.462002070904</v>
      </c>
      <c r="T21" s="316"/>
    </row>
    <row r="22" spans="1:20" x14ac:dyDescent="0.25">
      <c r="C22" s="151" t="s">
        <v>108</v>
      </c>
      <c r="D22" s="185"/>
      <c r="E22" s="185"/>
      <c r="F22" s="185"/>
      <c r="G22" s="173">
        <v>-244.45155508692716</v>
      </c>
      <c r="H22" s="173">
        <v>-151.98162414206399</v>
      </c>
      <c r="I22" s="173">
        <v>-55.1678333423596</v>
      </c>
      <c r="J22" s="173">
        <v>-50.236246867540622</v>
      </c>
      <c r="K22" s="173">
        <v>-48.877364156492781</v>
      </c>
      <c r="L22" s="173">
        <v>-56.508464516264894</v>
      </c>
      <c r="M22" s="173">
        <v>-182.43930029051319</v>
      </c>
      <c r="N22" s="173">
        <v>-390.40772681778225</v>
      </c>
      <c r="O22" s="173">
        <v>-622.6163437767957</v>
      </c>
      <c r="P22" s="203"/>
      <c r="Q22" s="203"/>
      <c r="R22" s="203"/>
      <c r="S22" s="70">
        <f t="shared" si="3"/>
        <v>-1802.6864589967402</v>
      </c>
      <c r="T22" s="316"/>
    </row>
    <row r="23" spans="1:20" x14ac:dyDescent="0.25">
      <c r="G23" s="174"/>
      <c r="H23" s="174"/>
      <c r="I23" s="174"/>
      <c r="J23" s="174"/>
      <c r="K23" s="174"/>
      <c r="L23" s="174"/>
      <c r="M23" s="174"/>
      <c r="N23" s="174"/>
      <c r="O23" s="174"/>
      <c r="P23" s="66"/>
      <c r="Q23" s="66"/>
      <c r="R23" s="66"/>
    </row>
    <row r="24" spans="1:20" x14ac:dyDescent="0.25">
      <c r="B24" t="str">
        <f>TEXT(B14,"MMMM YYYY")&amp;" Estimates"</f>
        <v>April 2020 Estimates</v>
      </c>
      <c r="C24" s="151" t="s">
        <v>25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3">
        <f>ROUND(P6*P14,0)</f>
        <v>9034</v>
      </c>
      <c r="Q24" s="173">
        <f>ROUND(Q6*Q14,0)</f>
        <v>7610</v>
      </c>
      <c r="R24" s="173">
        <f>ROUND(R6*R14,0)</f>
        <v>6027</v>
      </c>
      <c r="S24" s="70">
        <f t="shared" ref="S24:S25" si="4">SUM(D24:R24)</f>
        <v>22671</v>
      </c>
      <c r="T24" s="316"/>
    </row>
    <row r="25" spans="1:20" x14ac:dyDescent="0.25">
      <c r="C25" s="151" t="s">
        <v>108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73">
        <f>ROUND(P6*P15,0)</f>
        <v>-897</v>
      </c>
      <c r="Q25" s="173">
        <f>ROUND(Q6*Q15,0)</f>
        <v>-756</v>
      </c>
      <c r="R25" s="173">
        <f>ROUND(R6*R15,0)</f>
        <v>-598</v>
      </c>
      <c r="S25" s="70">
        <f t="shared" si="4"/>
        <v>-2251</v>
      </c>
      <c r="T25" s="316"/>
    </row>
    <row r="26" spans="1:20" x14ac:dyDescent="0.25">
      <c r="C26" s="151"/>
      <c r="D26" s="151"/>
      <c r="E26" s="151"/>
      <c r="F26" s="151"/>
      <c r="G26" s="66"/>
      <c r="H26" s="66"/>
      <c r="I26" s="66"/>
      <c r="J26" s="66"/>
      <c r="K26" s="66"/>
      <c r="L26" s="66"/>
      <c r="M26" s="66"/>
      <c r="N26" s="66"/>
      <c r="O26" s="66"/>
      <c r="P26" s="173"/>
      <c r="Q26" s="173"/>
      <c r="R26" s="173"/>
    </row>
    <row r="27" spans="1:20" x14ac:dyDescent="0.25">
      <c r="B27" t="s">
        <v>17</v>
      </c>
      <c r="C27" s="151" t="s">
        <v>25</v>
      </c>
      <c r="D27" s="185"/>
      <c r="E27" s="185"/>
      <c r="F27" s="185"/>
      <c r="G27" s="199">
        <f>G18+G21+G24</f>
        <v>2162.0202795443615</v>
      </c>
      <c r="H27" s="199">
        <f t="shared" ref="H27:S28" si="5">H18+H21+H24</f>
        <v>1530.5540735611119</v>
      </c>
      <c r="I27" s="199">
        <f t="shared" si="5"/>
        <v>555.5760607793062</v>
      </c>
      <c r="J27" s="199">
        <f t="shared" si="5"/>
        <v>505.91176872583026</v>
      </c>
      <c r="K27" s="199">
        <f t="shared" si="5"/>
        <v>492.22693359772353</v>
      </c>
      <c r="L27" s="199">
        <f t="shared" si="5"/>
        <v>569.07709102521108</v>
      </c>
      <c r="M27" s="199">
        <f t="shared" si="5"/>
        <v>1837.2827360778315</v>
      </c>
      <c r="N27" s="199">
        <f t="shared" si="5"/>
        <v>3931.6604227899484</v>
      </c>
      <c r="O27" s="199">
        <f t="shared" si="5"/>
        <v>6270.152635969579</v>
      </c>
      <c r="P27" s="199">
        <f t="shared" si="5"/>
        <v>9034</v>
      </c>
      <c r="Q27" s="199">
        <f t="shared" si="5"/>
        <v>7610</v>
      </c>
      <c r="R27" s="199">
        <f t="shared" si="5"/>
        <v>6027</v>
      </c>
      <c r="S27" s="199">
        <f t="shared" si="5"/>
        <v>40525.462002070904</v>
      </c>
      <c r="T27" s="316"/>
    </row>
    <row r="28" spans="1:20" x14ac:dyDescent="0.25">
      <c r="C28" s="151" t="s">
        <v>108</v>
      </c>
      <c r="D28" s="199">
        <f>D19+D22+D25</f>
        <v>630.75428850000117</v>
      </c>
      <c r="E28" s="199">
        <f t="shared" ref="E28:F28" si="6">E19+E22+E25</f>
        <v>-78.006313665000022</v>
      </c>
      <c r="F28" s="199">
        <f t="shared" si="6"/>
        <v>466.05376873720007</v>
      </c>
      <c r="G28" s="199">
        <f>G19+G22+G25</f>
        <v>-244.45155508692716</v>
      </c>
      <c r="H28" s="199">
        <f t="shared" si="5"/>
        <v>-151.98162414206399</v>
      </c>
      <c r="I28" s="199">
        <f t="shared" si="5"/>
        <v>-55.1678333423596</v>
      </c>
      <c r="J28" s="199">
        <f t="shared" si="5"/>
        <v>-50.236246867540622</v>
      </c>
      <c r="K28" s="199">
        <f t="shared" si="5"/>
        <v>-48.877364156492781</v>
      </c>
      <c r="L28" s="199">
        <f t="shared" si="5"/>
        <v>-56.508464516264894</v>
      </c>
      <c r="M28" s="199">
        <f t="shared" si="5"/>
        <v>-182.43930029051319</v>
      </c>
      <c r="N28" s="199">
        <f t="shared" si="5"/>
        <v>-390.40772681778225</v>
      </c>
      <c r="O28" s="199">
        <f t="shared" si="5"/>
        <v>-622.6163437767957</v>
      </c>
      <c r="P28" s="199">
        <f t="shared" si="5"/>
        <v>-897</v>
      </c>
      <c r="Q28" s="199">
        <f t="shared" si="5"/>
        <v>-756</v>
      </c>
      <c r="R28" s="199">
        <f t="shared" si="5"/>
        <v>-598</v>
      </c>
      <c r="S28" s="199">
        <f t="shared" si="5"/>
        <v>-3034.8847154245386</v>
      </c>
      <c r="T28" s="316"/>
    </row>
  </sheetData>
  <mergeCells count="1">
    <mergeCell ref="A1:R1"/>
  </mergeCells>
  <pageMargins left="0.45" right="0.45" top="0.75" bottom="0.5" header="0.3" footer="0.3"/>
  <pageSetup scale="56" orientation="landscape" horizontalDpi="72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T28"/>
  <sheetViews>
    <sheetView topLeftCell="H7" zoomScale="85" zoomScaleNormal="85" workbookViewId="0">
      <selection activeCell="U7" sqref="U1:Z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6" width="11.42578125" style="293" customWidth="1"/>
    <col min="7" max="18" width="12.85546875" style="170" customWidth="1"/>
    <col min="19" max="19" width="14.42578125" customWidth="1"/>
    <col min="20" max="20" width="14.42578125" style="289" customWidth="1"/>
  </cols>
  <sheetData>
    <row r="1" spans="1:20" ht="18.75" x14ac:dyDescent="0.3">
      <c r="A1" s="396" t="s">
        <v>166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11"/>
    </row>
    <row r="2" spans="1:20" x14ac:dyDescent="0.25">
      <c r="A2" s="180"/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11"/>
    </row>
    <row r="3" spans="1:20" ht="15.75" x14ac:dyDescent="0.25">
      <c r="A3" s="180"/>
      <c r="B3" s="180"/>
      <c r="C3" s="180"/>
      <c r="D3" s="182">
        <v>43831</v>
      </c>
      <c r="E3" s="182">
        <f>EDATE(D3,1)</f>
        <v>43862</v>
      </c>
      <c r="F3" s="182">
        <f>EDATE(E3,1)</f>
        <v>43891</v>
      </c>
      <c r="G3" s="182">
        <f>EDATE(F3,1)</f>
        <v>43922</v>
      </c>
      <c r="H3" s="182">
        <f>EDATE(G3,1)</f>
        <v>43952</v>
      </c>
      <c r="I3" s="182">
        <f t="shared" ref="I3:R3" si="0">EDATE(H3,1)</f>
        <v>43983</v>
      </c>
      <c r="J3" s="182">
        <f t="shared" si="0"/>
        <v>44013</v>
      </c>
      <c r="K3" s="182">
        <f t="shared" si="0"/>
        <v>44044</v>
      </c>
      <c r="L3" s="182">
        <f t="shared" si="0"/>
        <v>44075</v>
      </c>
      <c r="M3" s="182">
        <f t="shared" si="0"/>
        <v>44105</v>
      </c>
      <c r="N3" s="182">
        <f t="shared" si="0"/>
        <v>44136</v>
      </c>
      <c r="O3" s="182">
        <f t="shared" si="0"/>
        <v>44166</v>
      </c>
      <c r="P3" s="182">
        <f t="shared" si="0"/>
        <v>44197</v>
      </c>
      <c r="Q3" s="182">
        <f t="shared" si="0"/>
        <v>44228</v>
      </c>
      <c r="R3" s="182">
        <f t="shared" si="0"/>
        <v>44256</v>
      </c>
      <c r="S3" s="231" t="s">
        <v>17</v>
      </c>
      <c r="T3" s="322"/>
    </row>
    <row r="4" spans="1:20" x14ac:dyDescent="0.25"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20" x14ac:dyDescent="0.25">
      <c r="A5" s="183" t="s">
        <v>135</v>
      </c>
      <c r="B5" s="17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20" x14ac:dyDescent="0.25">
      <c r="B6" t="s">
        <v>158</v>
      </c>
      <c r="D6" s="279">
        <v>846654</v>
      </c>
      <c r="E6" s="279">
        <v>696626</v>
      </c>
      <c r="F6" s="279">
        <v>511849</v>
      </c>
      <c r="G6" s="186"/>
      <c r="H6" s="186"/>
      <c r="I6" s="186"/>
      <c r="J6" s="186"/>
      <c r="K6" s="186"/>
      <c r="L6" s="186"/>
      <c r="M6" s="186"/>
      <c r="N6" s="186"/>
      <c r="O6" s="186"/>
      <c r="P6" s="142">
        <v>846654</v>
      </c>
      <c r="Q6" s="142">
        <v>696626</v>
      </c>
      <c r="R6" s="142">
        <v>511849</v>
      </c>
    </row>
    <row r="7" spans="1:20" x14ac:dyDescent="0.25">
      <c r="B7" t="s">
        <v>99</v>
      </c>
      <c r="D7" s="329">
        <v>677780.11047999968</v>
      </c>
      <c r="E7" s="329">
        <v>655646.79034999979</v>
      </c>
      <c r="F7" s="329">
        <v>434206.99331999995</v>
      </c>
      <c r="G7" s="329">
        <v>224466.31728000013</v>
      </c>
      <c r="H7" s="329">
        <v>100576.29242999994</v>
      </c>
      <c r="I7" s="329">
        <v>56327.196370000005</v>
      </c>
      <c r="J7" s="329">
        <v>48435.79783000001</v>
      </c>
      <c r="K7" s="329">
        <v>51041.803669999987</v>
      </c>
      <c r="L7" s="329">
        <v>51478.374899999973</v>
      </c>
      <c r="M7" s="329">
        <v>130082.71554000009</v>
      </c>
      <c r="N7" s="329">
        <v>302993.50018000032</v>
      </c>
      <c r="O7" s="329">
        <v>512834.76002999977</v>
      </c>
      <c r="P7" s="186"/>
      <c r="Q7" s="186"/>
      <c r="R7" s="186"/>
    </row>
    <row r="8" spans="1:20" x14ac:dyDescent="0.25">
      <c r="B8" t="s">
        <v>160</v>
      </c>
      <c r="D8" s="281">
        <f>D7-D6</f>
        <v>-168873.88952000032</v>
      </c>
      <c r="E8" s="281">
        <f t="shared" ref="E8:F8" si="1">E7-E6</f>
        <v>-40979.209650000208</v>
      </c>
      <c r="F8" s="281">
        <f t="shared" si="1"/>
        <v>-77642.00668000005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20" x14ac:dyDescent="0.25">
      <c r="J9" s="261"/>
      <c r="K9" s="261"/>
      <c r="L9" s="261"/>
    </row>
    <row r="10" spans="1:20" x14ac:dyDescent="0.25">
      <c r="A10" s="183" t="s">
        <v>157</v>
      </c>
      <c r="B10" s="179"/>
      <c r="J10" s="261"/>
      <c r="K10" s="261"/>
      <c r="L10" s="261"/>
    </row>
    <row r="11" spans="1:20" x14ac:dyDescent="0.25">
      <c r="B11" s="177">
        <v>43556</v>
      </c>
      <c r="C11" s="151" t="s">
        <v>152</v>
      </c>
      <c r="D11" s="250">
        <v>-4.7699999999999999E-3</v>
      </c>
      <c r="E11" s="369">
        <f>D11</f>
        <v>-4.7699999999999999E-3</v>
      </c>
      <c r="F11" s="369">
        <f>E11</f>
        <v>-4.7699999999999999E-3</v>
      </c>
      <c r="G11" s="187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5"/>
    </row>
    <row r="12" spans="1:20" x14ac:dyDescent="0.25">
      <c r="B12" s="151"/>
      <c r="C12" s="151" t="s">
        <v>108</v>
      </c>
      <c r="D12" s="250">
        <v>0</v>
      </c>
      <c r="E12" s="369">
        <f>D12</f>
        <v>0</v>
      </c>
      <c r="F12" s="369">
        <f>E12</f>
        <v>0</v>
      </c>
      <c r="G12" s="187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5"/>
    </row>
    <row r="13" spans="1:20" x14ac:dyDescent="0.25">
      <c r="B13" s="151"/>
      <c r="C13" s="151"/>
      <c r="D13" s="151"/>
      <c r="E13" s="151"/>
      <c r="F13" s="151"/>
      <c r="G13" s="171"/>
      <c r="H13" s="172"/>
      <c r="I13" s="172"/>
      <c r="J13" s="172"/>
      <c r="K13" s="172"/>
      <c r="L13" s="172"/>
      <c r="M13" s="66"/>
      <c r="N13" s="66"/>
      <c r="O13" s="66"/>
      <c r="P13" s="66"/>
      <c r="Q13" s="66"/>
      <c r="R13" s="66"/>
    </row>
    <row r="14" spans="1:20" x14ac:dyDescent="0.25">
      <c r="B14" s="177">
        <v>43922</v>
      </c>
      <c r="C14" s="151" t="s">
        <v>152</v>
      </c>
      <c r="D14" s="187"/>
      <c r="E14" s="187"/>
      <c r="F14" s="187"/>
      <c r="G14" s="186"/>
      <c r="H14" s="186"/>
      <c r="I14" s="186"/>
      <c r="J14" s="186"/>
      <c r="K14" s="186"/>
      <c r="L14" s="186"/>
      <c r="M14" s="186"/>
      <c r="N14" s="186"/>
      <c r="O14" s="186"/>
      <c r="P14" s="172">
        <v>7.7999999999999996E-3</v>
      </c>
      <c r="Q14" s="172">
        <f t="shared" ref="Q14:R15" si="2">P14</f>
        <v>7.7999999999999996E-3</v>
      </c>
      <c r="R14" s="172">
        <f t="shared" si="2"/>
        <v>7.7999999999999996E-3</v>
      </c>
    </row>
    <row r="15" spans="1:20" x14ac:dyDescent="0.25">
      <c r="B15" s="151"/>
      <c r="C15" s="151" t="s">
        <v>108</v>
      </c>
      <c r="D15" s="187"/>
      <c r="E15" s="187"/>
      <c r="F15" s="187"/>
      <c r="G15" s="186"/>
      <c r="H15" s="186"/>
      <c r="I15" s="186"/>
      <c r="J15" s="186"/>
      <c r="K15" s="186"/>
      <c r="L15" s="186"/>
      <c r="M15" s="186"/>
      <c r="N15" s="186"/>
      <c r="O15" s="186"/>
      <c r="P15" s="172">
        <v>4.8999999999999998E-4</v>
      </c>
      <c r="Q15" s="172">
        <f t="shared" si="2"/>
        <v>4.8999999999999998E-4</v>
      </c>
      <c r="R15" s="172">
        <f t="shared" si="2"/>
        <v>4.8999999999999998E-4</v>
      </c>
    </row>
    <row r="16" spans="1:20" x14ac:dyDescent="0.25">
      <c r="B16" s="151"/>
      <c r="C16" s="151"/>
      <c r="D16" s="151"/>
      <c r="E16" s="151"/>
      <c r="F16" s="151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20" x14ac:dyDescent="0.25">
      <c r="A17" s="183" t="s">
        <v>159</v>
      </c>
      <c r="B17" s="179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0" x14ac:dyDescent="0.25">
      <c r="B18" t="str">
        <f>TEXT(B11,"MMMM YYYY")&amp;" True-up"</f>
        <v>April 2019 True-up</v>
      </c>
      <c r="C18" s="151" t="s">
        <v>25</v>
      </c>
      <c r="D18" s="187"/>
      <c r="E18" s="187"/>
      <c r="F18" s="18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70">
        <f>SUM(D18:R18)</f>
        <v>0</v>
      </c>
      <c r="T18" s="316"/>
    </row>
    <row r="19" spans="1:20" x14ac:dyDescent="0.25">
      <c r="C19" s="151" t="s">
        <v>108</v>
      </c>
      <c r="D19" s="206">
        <f>(D11+D12)*D8</f>
        <v>805.52845301040145</v>
      </c>
      <c r="E19" s="206">
        <f>(E11+E12)*E8</f>
        <v>195.47083003050099</v>
      </c>
      <c r="F19" s="206">
        <f>(F11+F12)*F8</f>
        <v>370.35237186360024</v>
      </c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70">
        <f>SUM(D19:R19)</f>
        <v>1371.3516549045028</v>
      </c>
      <c r="T19" s="316"/>
    </row>
    <row r="20" spans="1:20" x14ac:dyDescent="0.25">
      <c r="C20" s="151"/>
      <c r="D20" s="151"/>
      <c r="E20" s="151"/>
      <c r="F20" s="151"/>
      <c r="G20" s="66"/>
      <c r="H20" s="66"/>
      <c r="I20" s="66"/>
      <c r="J20" s="173"/>
      <c r="K20" s="173"/>
      <c r="L20" s="173"/>
      <c r="M20" s="66"/>
      <c r="N20" s="66"/>
      <c r="O20" s="66"/>
      <c r="P20" s="66"/>
      <c r="Q20" s="66"/>
      <c r="R20" s="66"/>
      <c r="S20" s="293"/>
    </row>
    <row r="21" spans="1:20" x14ac:dyDescent="0.25">
      <c r="B21" t="str">
        <f>TEXT(B14,"MMMM YYYY")&amp;" Actual"</f>
        <v>April 2020 Actual</v>
      </c>
      <c r="C21" s="151" t="s">
        <v>25</v>
      </c>
      <c r="D21" s="203"/>
      <c r="E21" s="203"/>
      <c r="F21" s="203"/>
      <c r="G21" s="302">
        <v>1295.7288960312148</v>
      </c>
      <c r="H21" s="302">
        <v>795.81212238374337</v>
      </c>
      <c r="I21" s="302">
        <v>460.80023628966399</v>
      </c>
      <c r="J21" s="302">
        <v>382.49990286815125</v>
      </c>
      <c r="K21" s="302">
        <v>400.75288236085458</v>
      </c>
      <c r="L21" s="302">
        <v>422.24712733641496</v>
      </c>
      <c r="M21" s="302">
        <v>1015.4022688490213</v>
      </c>
      <c r="N21" s="302">
        <v>2361.8934473360355</v>
      </c>
      <c r="O21" s="302">
        <v>3999.8816183306781</v>
      </c>
      <c r="P21" s="203"/>
      <c r="Q21" s="203"/>
      <c r="R21" s="203"/>
      <c r="S21" s="70">
        <f t="shared" ref="S21:S22" si="3">SUM(D21:R21)</f>
        <v>11135.018501785777</v>
      </c>
      <c r="T21" s="316"/>
    </row>
    <row r="22" spans="1:20" x14ac:dyDescent="0.25">
      <c r="C22" s="151" t="s">
        <v>108</v>
      </c>
      <c r="D22" s="185"/>
      <c r="E22" s="185"/>
      <c r="F22" s="185"/>
      <c r="G22" s="173">
        <v>92.232563405152632</v>
      </c>
      <c r="H22" s="173">
        <v>49.993325636927473</v>
      </c>
      <c r="I22" s="173">
        <v>28.947707151530171</v>
      </c>
      <c r="J22" s="173">
        <v>24.028840051973603</v>
      </c>
      <c r="K22" s="173">
        <v>25.175501584207531</v>
      </c>
      <c r="L22" s="173">
        <v>26.525781076261964</v>
      </c>
      <c r="M22" s="173">
        <v>63.788091248207763</v>
      </c>
      <c r="N22" s="173">
        <v>148.37535758905864</v>
      </c>
      <c r="O22" s="173">
        <v>251.27461448487594</v>
      </c>
      <c r="P22" s="203"/>
      <c r="Q22" s="203"/>
      <c r="R22" s="203"/>
      <c r="S22" s="70">
        <f t="shared" si="3"/>
        <v>710.34178222819571</v>
      </c>
      <c r="T22" s="316"/>
    </row>
    <row r="23" spans="1:20" x14ac:dyDescent="0.25">
      <c r="G23" s="174"/>
      <c r="H23" s="174"/>
      <c r="I23" s="174"/>
      <c r="J23" s="174"/>
      <c r="K23" s="174"/>
      <c r="L23" s="174"/>
      <c r="M23" s="174"/>
      <c r="N23" s="174"/>
      <c r="O23" s="174"/>
      <c r="P23" s="66"/>
      <c r="Q23" s="66"/>
      <c r="R23" s="66"/>
      <c r="S23" s="293"/>
    </row>
    <row r="24" spans="1:20" x14ac:dyDescent="0.25">
      <c r="B24" t="str">
        <f>TEXT(B14,"MMMM YYYY")&amp;" Estimates"</f>
        <v>April 2020 Estimates</v>
      </c>
      <c r="C24" s="151" t="s">
        <v>25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3">
        <f>ROUND(P6*P14,0)</f>
        <v>6604</v>
      </c>
      <c r="Q24" s="173">
        <f>ROUND(Q6*Q14,0)</f>
        <v>5434</v>
      </c>
      <c r="R24" s="173">
        <f>ROUND(R6*R14,0)</f>
        <v>3992</v>
      </c>
      <c r="S24" s="70">
        <f>SUM(D24:R24)</f>
        <v>16030</v>
      </c>
      <c r="T24" s="316"/>
    </row>
    <row r="25" spans="1:20" x14ac:dyDescent="0.25">
      <c r="C25" s="151" t="s">
        <v>108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73">
        <f>ROUND(P6*P15,0)</f>
        <v>415</v>
      </c>
      <c r="Q25" s="173">
        <f>ROUND(Q6*Q15,0)</f>
        <v>341</v>
      </c>
      <c r="R25" s="173">
        <f>ROUND(R6*R15,0)</f>
        <v>251</v>
      </c>
      <c r="S25" s="70">
        <f>SUM(D25:R25)</f>
        <v>1007</v>
      </c>
      <c r="T25" s="316"/>
    </row>
    <row r="26" spans="1:20" x14ac:dyDescent="0.25">
      <c r="C26" s="151"/>
      <c r="D26" s="151"/>
      <c r="E26" s="151"/>
      <c r="F26" s="151"/>
      <c r="G26" s="66"/>
      <c r="H26" s="66"/>
      <c r="I26" s="66"/>
      <c r="J26" s="66"/>
      <c r="K26" s="66"/>
      <c r="L26" s="66"/>
      <c r="M26" s="66"/>
      <c r="N26" s="66"/>
      <c r="O26" s="66"/>
      <c r="P26" s="173"/>
      <c r="Q26" s="173"/>
      <c r="R26" s="173"/>
      <c r="S26" s="293"/>
    </row>
    <row r="27" spans="1:20" x14ac:dyDescent="0.25">
      <c r="B27" t="s">
        <v>17</v>
      </c>
      <c r="C27" s="151" t="s">
        <v>25</v>
      </c>
      <c r="D27" s="185"/>
      <c r="E27" s="185"/>
      <c r="F27" s="185"/>
      <c r="G27" s="199">
        <f>G18+G21+G24</f>
        <v>1295.7288960312148</v>
      </c>
      <c r="H27" s="199">
        <f t="shared" ref="H27:S28" si="4">H18+H21+H24</f>
        <v>795.81212238374337</v>
      </c>
      <c r="I27" s="199">
        <f t="shared" si="4"/>
        <v>460.80023628966399</v>
      </c>
      <c r="J27" s="199">
        <f t="shared" si="4"/>
        <v>382.49990286815125</v>
      </c>
      <c r="K27" s="199">
        <f t="shared" si="4"/>
        <v>400.75288236085458</v>
      </c>
      <c r="L27" s="199">
        <f t="shared" si="4"/>
        <v>422.24712733641496</v>
      </c>
      <c r="M27" s="199">
        <f t="shared" si="4"/>
        <v>1015.4022688490213</v>
      </c>
      <c r="N27" s="199">
        <f t="shared" si="4"/>
        <v>2361.8934473360355</v>
      </c>
      <c r="O27" s="199">
        <f t="shared" si="4"/>
        <v>3999.8816183306781</v>
      </c>
      <c r="P27" s="199">
        <f t="shared" si="4"/>
        <v>6604</v>
      </c>
      <c r="Q27" s="199">
        <f t="shared" si="4"/>
        <v>5434</v>
      </c>
      <c r="R27" s="199">
        <f t="shared" si="4"/>
        <v>3992</v>
      </c>
      <c r="S27" s="199">
        <f t="shared" si="4"/>
        <v>27165.018501785777</v>
      </c>
      <c r="T27" s="316"/>
    </row>
    <row r="28" spans="1:20" x14ac:dyDescent="0.25">
      <c r="C28" s="151" t="s">
        <v>108</v>
      </c>
      <c r="D28" s="199">
        <f t="shared" ref="D28:F28" si="5">D19+D22+D25</f>
        <v>805.52845301040145</v>
      </c>
      <c r="E28" s="199">
        <f t="shared" si="5"/>
        <v>195.47083003050099</v>
      </c>
      <c r="F28" s="199">
        <f t="shared" si="5"/>
        <v>370.35237186360024</v>
      </c>
      <c r="G28" s="199">
        <f>G19+G22+G25</f>
        <v>92.232563405152632</v>
      </c>
      <c r="H28" s="199">
        <f t="shared" si="4"/>
        <v>49.993325636927473</v>
      </c>
      <c r="I28" s="199">
        <f t="shared" si="4"/>
        <v>28.947707151530171</v>
      </c>
      <c r="J28" s="199">
        <f t="shared" si="4"/>
        <v>24.028840051973603</v>
      </c>
      <c r="K28" s="199">
        <f t="shared" si="4"/>
        <v>25.175501584207531</v>
      </c>
      <c r="L28" s="199">
        <f t="shared" si="4"/>
        <v>26.525781076261964</v>
      </c>
      <c r="M28" s="199">
        <f t="shared" si="4"/>
        <v>63.788091248207763</v>
      </c>
      <c r="N28" s="199">
        <f t="shared" si="4"/>
        <v>148.37535758905864</v>
      </c>
      <c r="O28" s="199">
        <f t="shared" si="4"/>
        <v>251.27461448487594</v>
      </c>
      <c r="P28" s="199">
        <f t="shared" si="4"/>
        <v>415</v>
      </c>
      <c r="Q28" s="199">
        <f t="shared" si="4"/>
        <v>341</v>
      </c>
      <c r="R28" s="199">
        <f t="shared" si="4"/>
        <v>251</v>
      </c>
      <c r="S28" s="199">
        <f t="shared" si="4"/>
        <v>3088.6934371326984</v>
      </c>
      <c r="T28" s="316"/>
    </row>
  </sheetData>
  <mergeCells count="1">
    <mergeCell ref="A1:R1"/>
  </mergeCells>
  <pageMargins left="0.45" right="0.45" top="0.75" bottom="0.5" header="0.3" footer="0.3"/>
  <pageSetup scale="56" orientation="landscape" horizontalDpi="72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T28"/>
  <sheetViews>
    <sheetView topLeftCell="F1" zoomScale="85" zoomScaleNormal="85" workbookViewId="0">
      <selection activeCell="U1" sqref="U1:X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6" width="11.28515625" style="293" customWidth="1"/>
    <col min="7" max="18" width="11.85546875" style="170" customWidth="1"/>
    <col min="19" max="19" width="14.42578125" customWidth="1"/>
    <col min="20" max="20" width="14.42578125" style="289" customWidth="1"/>
  </cols>
  <sheetData>
    <row r="1" spans="1:20" ht="18.75" x14ac:dyDescent="0.3">
      <c r="A1" s="396" t="s">
        <v>167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11"/>
    </row>
    <row r="2" spans="1:20" x14ac:dyDescent="0.25">
      <c r="A2" s="180"/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11"/>
    </row>
    <row r="3" spans="1:20" ht="15.75" x14ac:dyDescent="0.25">
      <c r="A3" s="180"/>
      <c r="B3" s="180"/>
      <c r="C3" s="180"/>
      <c r="D3" s="182">
        <v>43831</v>
      </c>
      <c r="E3" s="182">
        <f>EDATE(D3,1)</f>
        <v>43862</v>
      </c>
      <c r="F3" s="182">
        <f>EDATE(E3,1)</f>
        <v>43891</v>
      </c>
      <c r="G3" s="182">
        <f>EDATE(F3,1)</f>
        <v>43922</v>
      </c>
      <c r="H3" s="182">
        <f>EDATE(G3,1)</f>
        <v>43952</v>
      </c>
      <c r="I3" s="182">
        <f t="shared" ref="I3:R3" si="0">EDATE(H3,1)</f>
        <v>43983</v>
      </c>
      <c r="J3" s="182">
        <f t="shared" si="0"/>
        <v>44013</v>
      </c>
      <c r="K3" s="182">
        <f t="shared" si="0"/>
        <v>44044</v>
      </c>
      <c r="L3" s="182">
        <f t="shared" si="0"/>
        <v>44075</v>
      </c>
      <c r="M3" s="182">
        <f t="shared" si="0"/>
        <v>44105</v>
      </c>
      <c r="N3" s="182">
        <f t="shared" si="0"/>
        <v>44136</v>
      </c>
      <c r="O3" s="182">
        <f t="shared" si="0"/>
        <v>44166</v>
      </c>
      <c r="P3" s="182">
        <f t="shared" si="0"/>
        <v>44197</v>
      </c>
      <c r="Q3" s="182">
        <f t="shared" si="0"/>
        <v>44228</v>
      </c>
      <c r="R3" s="182">
        <f t="shared" si="0"/>
        <v>44256</v>
      </c>
      <c r="S3" s="231" t="s">
        <v>17</v>
      </c>
      <c r="T3" s="322"/>
    </row>
    <row r="4" spans="1:20" x14ac:dyDescent="0.25"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20" x14ac:dyDescent="0.25">
      <c r="A5" s="183" t="s">
        <v>135</v>
      </c>
      <c r="B5" s="17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20" x14ac:dyDescent="0.25">
      <c r="B6" t="s">
        <v>158</v>
      </c>
      <c r="D6" s="279">
        <v>174753</v>
      </c>
      <c r="E6" s="279">
        <v>151587</v>
      </c>
      <c r="F6" s="279">
        <v>114780</v>
      </c>
      <c r="G6" s="186"/>
      <c r="H6" s="186"/>
      <c r="I6" s="186"/>
      <c r="J6" s="186"/>
      <c r="K6" s="186"/>
      <c r="L6" s="186"/>
      <c r="M6" s="186"/>
      <c r="N6" s="186"/>
      <c r="O6" s="186"/>
      <c r="P6" s="142">
        <v>174753</v>
      </c>
      <c r="Q6" s="142">
        <v>151587</v>
      </c>
      <c r="R6" s="142">
        <v>114780</v>
      </c>
    </row>
    <row r="7" spans="1:20" x14ac:dyDescent="0.25">
      <c r="B7" t="s">
        <v>99</v>
      </c>
      <c r="D7" s="329">
        <v>148850.85154999999</v>
      </c>
      <c r="E7" s="329">
        <v>146058.03775000002</v>
      </c>
      <c r="F7" s="329">
        <v>89548.572019999992</v>
      </c>
      <c r="G7" s="329">
        <v>40534.603770000031</v>
      </c>
      <c r="H7" s="329">
        <v>21633.4692</v>
      </c>
      <c r="I7" s="329">
        <v>11038.3</v>
      </c>
      <c r="J7" s="329">
        <v>10373.153249999999</v>
      </c>
      <c r="K7" s="329">
        <v>10246.0951</v>
      </c>
      <c r="L7" s="329">
        <v>10740.992550000001</v>
      </c>
      <c r="M7" s="329">
        <v>24787.215440000004</v>
      </c>
      <c r="N7" s="329">
        <v>62698.44455</v>
      </c>
      <c r="O7" s="329">
        <v>107919.63700000012</v>
      </c>
      <c r="P7" s="186"/>
      <c r="Q7" s="186"/>
      <c r="R7" s="186"/>
    </row>
    <row r="8" spans="1:20" x14ac:dyDescent="0.25">
      <c r="B8" t="s">
        <v>160</v>
      </c>
      <c r="D8" s="281">
        <f>D7-D6</f>
        <v>-25902.148450000008</v>
      </c>
      <c r="E8" s="281">
        <f t="shared" ref="E8:F8" si="1">E7-E6</f>
        <v>-5528.9622499999823</v>
      </c>
      <c r="F8" s="281">
        <f t="shared" si="1"/>
        <v>-25231.427980000008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20" x14ac:dyDescent="0.25">
      <c r="J9" s="261"/>
      <c r="K9" s="261"/>
      <c r="L9" s="261"/>
    </row>
    <row r="10" spans="1:20" x14ac:dyDescent="0.25">
      <c r="A10" s="183" t="s">
        <v>157</v>
      </c>
      <c r="B10" s="179"/>
      <c r="J10" s="261"/>
      <c r="K10" s="261"/>
      <c r="L10" s="261"/>
    </row>
    <row r="11" spans="1:20" x14ac:dyDescent="0.25">
      <c r="B11" s="177">
        <v>43556</v>
      </c>
      <c r="C11" s="151" t="s">
        <v>152</v>
      </c>
      <c r="D11" s="250">
        <v>-4.7699999999999999E-3</v>
      </c>
      <c r="E11" s="369">
        <f>D11</f>
        <v>-4.7699999999999999E-3</v>
      </c>
      <c r="F11" s="369">
        <f>E11</f>
        <v>-4.7699999999999999E-3</v>
      </c>
      <c r="G11" s="187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5"/>
    </row>
    <row r="12" spans="1:20" x14ac:dyDescent="0.25">
      <c r="B12" s="151"/>
      <c r="C12" s="151" t="s">
        <v>108</v>
      </c>
      <c r="D12" s="250">
        <v>0</v>
      </c>
      <c r="E12" s="369">
        <f>D12</f>
        <v>0</v>
      </c>
      <c r="F12" s="369">
        <f>E12</f>
        <v>0</v>
      </c>
      <c r="G12" s="187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5"/>
    </row>
    <row r="13" spans="1:20" x14ac:dyDescent="0.25">
      <c r="B13" s="151"/>
      <c r="C13" s="151"/>
      <c r="D13" s="151"/>
      <c r="E13" s="151"/>
      <c r="F13" s="151"/>
      <c r="G13" s="171"/>
      <c r="H13" s="172"/>
      <c r="I13" s="172"/>
      <c r="J13" s="172"/>
      <c r="K13" s="172"/>
      <c r="L13" s="172"/>
      <c r="M13" s="66"/>
      <c r="N13" s="66"/>
      <c r="O13" s="66"/>
      <c r="P13" s="66"/>
      <c r="Q13" s="66"/>
      <c r="R13" s="66"/>
    </row>
    <row r="14" spans="1:20" x14ac:dyDescent="0.25">
      <c r="B14" s="177">
        <v>43922</v>
      </c>
      <c r="C14" s="151" t="s">
        <v>152</v>
      </c>
      <c r="D14" s="187"/>
      <c r="E14" s="187"/>
      <c r="F14" s="187"/>
      <c r="G14" s="186"/>
      <c r="H14" s="186"/>
      <c r="I14" s="186"/>
      <c r="J14" s="186"/>
      <c r="K14" s="186"/>
      <c r="L14" s="186"/>
      <c r="M14" s="186"/>
      <c r="N14" s="186"/>
      <c r="O14" s="186"/>
      <c r="P14" s="172">
        <v>7.7999999999999996E-3</v>
      </c>
      <c r="Q14" s="172">
        <f t="shared" ref="Q14:R15" si="2">P14</f>
        <v>7.7999999999999996E-3</v>
      </c>
      <c r="R14" s="172">
        <f t="shared" si="2"/>
        <v>7.7999999999999996E-3</v>
      </c>
    </row>
    <row r="15" spans="1:20" x14ac:dyDescent="0.25">
      <c r="B15" s="151"/>
      <c r="C15" s="151" t="s">
        <v>108</v>
      </c>
      <c r="D15" s="187"/>
      <c r="E15" s="187"/>
      <c r="F15" s="187"/>
      <c r="G15" s="186"/>
      <c r="H15" s="186"/>
      <c r="I15" s="186"/>
      <c r="J15" s="186"/>
      <c r="K15" s="186"/>
      <c r="L15" s="186"/>
      <c r="M15" s="186"/>
      <c r="N15" s="186"/>
      <c r="O15" s="186"/>
      <c r="P15" s="172">
        <v>4.8999999999999998E-4</v>
      </c>
      <c r="Q15" s="172">
        <f t="shared" si="2"/>
        <v>4.8999999999999998E-4</v>
      </c>
      <c r="R15" s="172">
        <f t="shared" si="2"/>
        <v>4.8999999999999998E-4</v>
      </c>
    </row>
    <row r="16" spans="1:20" x14ac:dyDescent="0.25">
      <c r="B16" s="151"/>
      <c r="C16" s="151"/>
      <c r="D16" s="151"/>
      <c r="E16" s="151"/>
      <c r="F16" s="151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20" x14ac:dyDescent="0.25">
      <c r="A17" s="183" t="s">
        <v>159</v>
      </c>
      <c r="B17" s="179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0" x14ac:dyDescent="0.25">
      <c r="B18" t="str">
        <f>TEXT(B11,"MMMM YYYY")&amp;" True-up"</f>
        <v>April 2019 True-up</v>
      </c>
      <c r="C18" s="151" t="s">
        <v>25</v>
      </c>
      <c r="D18" s="187"/>
      <c r="E18" s="187"/>
      <c r="F18" s="187"/>
      <c r="G18" s="185"/>
      <c r="H18" s="185"/>
      <c r="I18" s="185"/>
      <c r="J18" s="173">
        <f>ROUND(J6*J11,0)</f>
        <v>0</v>
      </c>
      <c r="K18" s="173">
        <f t="shared" ref="K18:L18" si="3">ROUND(K6*K11,0)</f>
        <v>0</v>
      </c>
      <c r="L18" s="173">
        <f t="shared" si="3"/>
        <v>0</v>
      </c>
      <c r="M18" s="185"/>
      <c r="N18" s="185"/>
      <c r="O18" s="185"/>
      <c r="P18" s="185"/>
      <c r="Q18" s="185"/>
      <c r="R18" s="185"/>
      <c r="S18" s="70">
        <f>SUM(D18:R18)</f>
        <v>0</v>
      </c>
      <c r="T18" s="316"/>
    </row>
    <row r="19" spans="1:20" x14ac:dyDescent="0.25">
      <c r="C19" s="151" t="s">
        <v>108</v>
      </c>
      <c r="D19" s="206">
        <f>(D11+D12)*D8</f>
        <v>123.55324810650004</v>
      </c>
      <c r="E19" s="206">
        <f>(E11+E12)*E8</f>
        <v>26.373149932499913</v>
      </c>
      <c r="F19" s="206">
        <f>(F11+F12)*F8</f>
        <v>120.35391146460003</v>
      </c>
      <c r="G19" s="185"/>
      <c r="H19" s="185"/>
      <c r="I19" s="185"/>
      <c r="J19" s="173">
        <f>J6*J12</f>
        <v>0</v>
      </c>
      <c r="K19" s="173">
        <f t="shared" ref="K19:L19" si="4">K6*K12</f>
        <v>0</v>
      </c>
      <c r="L19" s="173">
        <f t="shared" si="4"/>
        <v>0</v>
      </c>
      <c r="M19" s="185"/>
      <c r="N19" s="185"/>
      <c r="O19" s="185"/>
      <c r="P19" s="185"/>
      <c r="Q19" s="185"/>
      <c r="R19" s="185"/>
      <c r="S19" s="70">
        <f>SUM(D19:R19)</f>
        <v>270.28030950359994</v>
      </c>
      <c r="T19" s="316"/>
    </row>
    <row r="20" spans="1:20" x14ac:dyDescent="0.25">
      <c r="C20" s="151"/>
      <c r="D20" s="151"/>
      <c r="E20" s="151"/>
      <c r="F20" s="151"/>
      <c r="G20" s="66"/>
      <c r="H20" s="66"/>
      <c r="I20" s="66"/>
      <c r="J20" s="173"/>
      <c r="K20" s="173"/>
      <c r="L20" s="173"/>
      <c r="M20" s="66"/>
      <c r="N20" s="66"/>
      <c r="O20" s="66"/>
      <c r="P20" s="66"/>
      <c r="Q20" s="66"/>
      <c r="R20" s="66"/>
      <c r="S20" s="293"/>
    </row>
    <row r="21" spans="1:20" x14ac:dyDescent="0.25">
      <c r="B21" t="str">
        <f>TEXT(B14,"MMMM YYYY")&amp;" Actual"</f>
        <v>April 2020 Actual</v>
      </c>
      <c r="C21" s="151" t="s">
        <v>25</v>
      </c>
      <c r="D21" s="203"/>
      <c r="E21" s="203"/>
      <c r="F21" s="203"/>
      <c r="G21" s="302">
        <v>234.75364183311584</v>
      </c>
      <c r="H21" s="302">
        <v>169.25581151681135</v>
      </c>
      <c r="I21" s="302">
        <v>86.543365006602627</v>
      </c>
      <c r="J21" s="302">
        <v>81.562624534562715</v>
      </c>
      <c r="K21" s="302">
        <v>80.604879264053238</v>
      </c>
      <c r="L21" s="302">
        <v>86.281279892159631</v>
      </c>
      <c r="M21" s="302">
        <v>193.56330862386781</v>
      </c>
      <c r="N21" s="302">
        <v>488.97238907689052</v>
      </c>
      <c r="O21" s="302">
        <v>841.70808122978599</v>
      </c>
      <c r="P21" s="203"/>
      <c r="Q21" s="203"/>
      <c r="R21" s="203"/>
      <c r="S21" s="70">
        <f t="shared" ref="S21:S22" si="5">SUM(D21:R21)</f>
        <v>2263.2453809778499</v>
      </c>
      <c r="T21" s="316"/>
    </row>
    <row r="22" spans="1:20" x14ac:dyDescent="0.25">
      <c r="C22" s="151" t="s">
        <v>108</v>
      </c>
      <c r="D22" s="185"/>
      <c r="E22" s="185"/>
      <c r="F22" s="185"/>
      <c r="G22" s="173">
        <v>35.844129078282577</v>
      </c>
      <c r="H22" s="173">
        <v>10.63273687733815</v>
      </c>
      <c r="I22" s="173">
        <v>5.436698570927601</v>
      </c>
      <c r="J22" s="173">
        <v>5.1238059002481702</v>
      </c>
      <c r="K22" s="173">
        <v>5.0636398512033445</v>
      </c>
      <c r="L22" s="173">
        <v>5.4202342496356692</v>
      </c>
      <c r="M22" s="173">
        <v>12.159746310986566</v>
      </c>
      <c r="N22" s="173">
        <v>30.717496236881587</v>
      </c>
      <c r="O22" s="173">
        <v>52.876533308025017</v>
      </c>
      <c r="P22" s="203"/>
      <c r="Q22" s="203"/>
      <c r="R22" s="203"/>
      <c r="S22" s="70">
        <f t="shared" si="5"/>
        <v>163.27502038352867</v>
      </c>
      <c r="T22" s="316"/>
    </row>
    <row r="23" spans="1:20" x14ac:dyDescent="0.25">
      <c r="G23" s="174"/>
      <c r="H23" s="174"/>
      <c r="I23" s="174"/>
      <c r="J23" s="174"/>
      <c r="K23" s="174"/>
      <c r="L23" s="174"/>
      <c r="M23" s="174"/>
      <c r="N23" s="174"/>
      <c r="O23" s="174"/>
      <c r="P23" s="66"/>
      <c r="Q23" s="66"/>
      <c r="R23" s="66"/>
      <c r="S23" s="293"/>
    </row>
    <row r="24" spans="1:20" x14ac:dyDescent="0.25">
      <c r="B24" t="str">
        <f>TEXT(B14,"MMMM YYYY")&amp;" Estimates"</f>
        <v>April 2020 Estimates</v>
      </c>
      <c r="C24" s="151" t="s">
        <v>25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3">
        <f>ROUND(P6*P14,0)</f>
        <v>1363</v>
      </c>
      <c r="Q24" s="173">
        <f>ROUND(Q6*Q14,0)</f>
        <v>1182</v>
      </c>
      <c r="R24" s="173">
        <f>ROUND(R6*R14,0)</f>
        <v>895</v>
      </c>
      <c r="S24" s="70">
        <f>SUM(D24:R24)</f>
        <v>3440</v>
      </c>
      <c r="T24" s="316"/>
    </row>
    <row r="25" spans="1:20" x14ac:dyDescent="0.25">
      <c r="C25" s="151" t="s">
        <v>108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73">
        <f>ROUND(P6*P15,0)</f>
        <v>86</v>
      </c>
      <c r="Q25" s="173">
        <f>ROUND(Q6*Q15,0)</f>
        <v>74</v>
      </c>
      <c r="R25" s="173">
        <f>ROUND(R6*R15,0)</f>
        <v>56</v>
      </c>
      <c r="S25" s="70">
        <f>SUM(D25:R25)</f>
        <v>216</v>
      </c>
      <c r="T25" s="303"/>
    </row>
    <row r="26" spans="1:20" x14ac:dyDescent="0.25">
      <c r="C26" s="151"/>
      <c r="D26" s="151"/>
      <c r="E26" s="151"/>
      <c r="F26" s="151"/>
      <c r="G26" s="66"/>
      <c r="H26" s="66"/>
      <c r="I26" s="66"/>
      <c r="J26" s="66"/>
      <c r="K26" s="66"/>
      <c r="L26" s="66"/>
      <c r="M26" s="66"/>
      <c r="N26" s="66"/>
      <c r="O26" s="66"/>
      <c r="P26" s="173"/>
      <c r="Q26" s="173"/>
      <c r="R26" s="173"/>
      <c r="S26" s="293"/>
    </row>
    <row r="27" spans="1:20" x14ac:dyDescent="0.25">
      <c r="B27" t="s">
        <v>17</v>
      </c>
      <c r="C27" s="151" t="s">
        <v>25</v>
      </c>
      <c r="D27" s="185"/>
      <c r="E27" s="185"/>
      <c r="F27" s="185"/>
      <c r="G27" s="199">
        <f>G18+G21+G24</f>
        <v>234.75364183311584</v>
      </c>
      <c r="H27" s="199">
        <f t="shared" ref="H27:S28" si="6">H18+H21+H24</f>
        <v>169.25581151681135</v>
      </c>
      <c r="I27" s="199">
        <f t="shared" si="6"/>
        <v>86.543365006602627</v>
      </c>
      <c r="J27" s="199">
        <f t="shared" si="6"/>
        <v>81.562624534562715</v>
      </c>
      <c r="K27" s="199">
        <f t="shared" si="6"/>
        <v>80.604879264053238</v>
      </c>
      <c r="L27" s="199">
        <f t="shared" si="6"/>
        <v>86.281279892159631</v>
      </c>
      <c r="M27" s="199">
        <f t="shared" si="6"/>
        <v>193.56330862386781</v>
      </c>
      <c r="N27" s="199">
        <f t="shared" si="6"/>
        <v>488.97238907689052</v>
      </c>
      <c r="O27" s="199">
        <f t="shared" si="6"/>
        <v>841.70808122978599</v>
      </c>
      <c r="P27" s="199">
        <f t="shared" si="6"/>
        <v>1363</v>
      </c>
      <c r="Q27" s="199">
        <f t="shared" si="6"/>
        <v>1182</v>
      </c>
      <c r="R27" s="199">
        <f t="shared" si="6"/>
        <v>895</v>
      </c>
      <c r="S27" s="199">
        <f t="shared" si="6"/>
        <v>5703.2453809778499</v>
      </c>
      <c r="T27" s="316"/>
    </row>
    <row r="28" spans="1:20" x14ac:dyDescent="0.25">
      <c r="C28" s="151" t="s">
        <v>108</v>
      </c>
      <c r="D28" s="199">
        <f t="shared" ref="D28:F28" si="7">D19+D22+D25</f>
        <v>123.55324810650004</v>
      </c>
      <c r="E28" s="199">
        <f t="shared" si="7"/>
        <v>26.373149932499913</v>
      </c>
      <c r="F28" s="199">
        <f t="shared" si="7"/>
        <v>120.35391146460003</v>
      </c>
      <c r="G28" s="199">
        <f>G19+G22+G25</f>
        <v>35.844129078282577</v>
      </c>
      <c r="H28" s="199">
        <f t="shared" si="6"/>
        <v>10.63273687733815</v>
      </c>
      <c r="I28" s="199">
        <f t="shared" si="6"/>
        <v>5.436698570927601</v>
      </c>
      <c r="J28" s="199">
        <f t="shared" si="6"/>
        <v>5.1238059002481702</v>
      </c>
      <c r="K28" s="199">
        <f t="shared" si="6"/>
        <v>5.0636398512033445</v>
      </c>
      <c r="L28" s="199">
        <f t="shared" si="6"/>
        <v>5.4202342496356692</v>
      </c>
      <c r="M28" s="199">
        <f t="shared" si="6"/>
        <v>12.159746310986566</v>
      </c>
      <c r="N28" s="199">
        <f t="shared" si="6"/>
        <v>30.717496236881587</v>
      </c>
      <c r="O28" s="199">
        <f t="shared" si="6"/>
        <v>52.876533308025017</v>
      </c>
      <c r="P28" s="199">
        <f t="shared" si="6"/>
        <v>86</v>
      </c>
      <c r="Q28" s="199">
        <f t="shared" si="6"/>
        <v>74</v>
      </c>
      <c r="R28" s="199">
        <f t="shared" si="6"/>
        <v>56</v>
      </c>
      <c r="S28" s="199">
        <f t="shared" si="6"/>
        <v>649.55532988712866</v>
      </c>
      <c r="T28" s="316"/>
    </row>
  </sheetData>
  <mergeCells count="1">
    <mergeCell ref="A1:R1"/>
  </mergeCells>
  <pageMargins left="0.45" right="0.45" top="0.75" bottom="0.5" header="0.3" footer="0.3"/>
  <pageSetup scale="59" orientation="landscape" horizontalDpi="72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T28"/>
  <sheetViews>
    <sheetView topLeftCell="R1" zoomScale="85" zoomScaleNormal="85" workbookViewId="0">
      <selection activeCell="U1" sqref="U1:AO1048576"/>
    </sheetView>
  </sheetViews>
  <sheetFormatPr defaultRowHeight="15" x14ac:dyDescent="0.25"/>
  <cols>
    <col min="1" max="1" width="5.7109375" customWidth="1"/>
    <col min="2" max="2" width="25.85546875" customWidth="1"/>
    <col min="3" max="3" width="9.5703125" customWidth="1"/>
    <col min="4" max="6" width="12.140625" style="293" customWidth="1"/>
    <col min="7" max="18" width="12.42578125" style="170" customWidth="1"/>
    <col min="19" max="19" width="14.42578125" customWidth="1"/>
    <col min="20" max="20" width="14.42578125" style="289" customWidth="1"/>
  </cols>
  <sheetData>
    <row r="1" spans="1:20" ht="18.75" x14ac:dyDescent="0.3">
      <c r="A1" s="396" t="s">
        <v>161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11"/>
    </row>
    <row r="2" spans="1:20" x14ac:dyDescent="0.25">
      <c r="A2" s="180"/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11"/>
    </row>
    <row r="3" spans="1:20" ht="15.75" x14ac:dyDescent="0.25">
      <c r="A3" s="180"/>
      <c r="B3" s="180"/>
      <c r="C3" s="180"/>
      <c r="D3" s="182">
        <v>43831</v>
      </c>
      <c r="E3" s="182">
        <f>EDATE(D3,1)</f>
        <v>43862</v>
      </c>
      <c r="F3" s="182">
        <f>EDATE(E3,1)</f>
        <v>43891</v>
      </c>
      <c r="G3" s="182">
        <f>EDATE(F3,1)</f>
        <v>43922</v>
      </c>
      <c r="H3" s="182">
        <f>EDATE(G3,1)</f>
        <v>43952</v>
      </c>
      <c r="I3" s="182">
        <f t="shared" ref="I3:R3" si="0">EDATE(H3,1)</f>
        <v>43983</v>
      </c>
      <c r="J3" s="182">
        <f t="shared" si="0"/>
        <v>44013</v>
      </c>
      <c r="K3" s="182">
        <f t="shared" si="0"/>
        <v>44044</v>
      </c>
      <c r="L3" s="182">
        <f t="shared" si="0"/>
        <v>44075</v>
      </c>
      <c r="M3" s="182">
        <f t="shared" si="0"/>
        <v>44105</v>
      </c>
      <c r="N3" s="182">
        <f t="shared" si="0"/>
        <v>44136</v>
      </c>
      <c r="O3" s="182">
        <f t="shared" si="0"/>
        <v>44166</v>
      </c>
      <c r="P3" s="182">
        <f t="shared" si="0"/>
        <v>44197</v>
      </c>
      <c r="Q3" s="182">
        <f t="shared" si="0"/>
        <v>44228</v>
      </c>
      <c r="R3" s="182">
        <f t="shared" si="0"/>
        <v>44256</v>
      </c>
      <c r="S3" s="231" t="s">
        <v>17</v>
      </c>
      <c r="T3" s="322"/>
    </row>
    <row r="4" spans="1:20" x14ac:dyDescent="0.25"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20" x14ac:dyDescent="0.25">
      <c r="A5" s="183" t="s">
        <v>135</v>
      </c>
      <c r="B5" s="179"/>
      <c r="G5" s="169"/>
      <c r="H5" s="169"/>
      <c r="I5" s="169"/>
      <c r="J5" s="357"/>
      <c r="K5" s="357"/>
      <c r="L5" s="357"/>
      <c r="M5" s="169"/>
      <c r="N5" s="169"/>
      <c r="O5" s="169"/>
      <c r="P5" s="169"/>
      <c r="Q5" s="169"/>
      <c r="R5" s="169"/>
    </row>
    <row r="6" spans="1:20" x14ac:dyDescent="0.25">
      <c r="B6" t="s">
        <v>158</v>
      </c>
      <c r="C6" s="289"/>
      <c r="D6" s="292">
        <v>3437383</v>
      </c>
      <c r="E6" s="292">
        <v>2885041</v>
      </c>
      <c r="F6" s="292">
        <v>2268398</v>
      </c>
      <c r="G6" s="186"/>
      <c r="H6" s="186"/>
      <c r="I6" s="186"/>
      <c r="J6" s="186"/>
      <c r="K6" s="186"/>
      <c r="L6" s="186"/>
      <c r="M6" s="186"/>
      <c r="N6" s="186"/>
      <c r="O6" s="186"/>
      <c r="P6" s="142">
        <v>3437383</v>
      </c>
      <c r="Q6" s="142">
        <v>2885041</v>
      </c>
      <c r="R6" s="142">
        <v>2268398</v>
      </c>
    </row>
    <row r="7" spans="1:20" x14ac:dyDescent="0.25">
      <c r="B7" t="s">
        <v>99</v>
      </c>
      <c r="C7" s="289"/>
      <c r="D7" s="329">
        <v>2794944.0651600021</v>
      </c>
      <c r="E7" s="329">
        <v>2762595.7709499998</v>
      </c>
      <c r="F7" s="329">
        <v>1974235.9040700004</v>
      </c>
      <c r="G7" s="329">
        <v>990349.01731998206</v>
      </c>
      <c r="H7" s="329">
        <v>534161.6558500001</v>
      </c>
      <c r="I7" s="329">
        <v>293992.03000000003</v>
      </c>
      <c r="J7" s="329">
        <v>251613.99279999992</v>
      </c>
      <c r="K7" s="329">
        <v>255312.85214999999</v>
      </c>
      <c r="L7" s="329">
        <v>250636.41759999993</v>
      </c>
      <c r="M7" s="329">
        <v>541645.53022000543</v>
      </c>
      <c r="N7" s="329">
        <v>1270084.1825199991</v>
      </c>
      <c r="O7" s="329">
        <v>2633988.9945500549</v>
      </c>
      <c r="P7" s="186"/>
      <c r="Q7" s="186"/>
      <c r="R7" s="186"/>
    </row>
    <row r="8" spans="1:20" x14ac:dyDescent="0.25">
      <c r="B8" t="s">
        <v>160</v>
      </c>
      <c r="C8" s="289"/>
      <c r="D8" s="281">
        <f>D7-D6</f>
        <v>-642438.93483999791</v>
      </c>
      <c r="E8" s="281">
        <f t="shared" ref="E8:F8" si="1">E7-E6</f>
        <v>-122445.2290500002</v>
      </c>
      <c r="F8" s="281">
        <f t="shared" si="1"/>
        <v>-294162.0959299996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20" x14ac:dyDescent="0.25">
      <c r="J9" s="261"/>
      <c r="K9" s="261"/>
      <c r="L9" s="261"/>
    </row>
    <row r="10" spans="1:20" x14ac:dyDescent="0.25">
      <c r="A10" s="183" t="s">
        <v>157</v>
      </c>
      <c r="B10" s="179"/>
      <c r="J10" s="261"/>
      <c r="K10" s="261"/>
      <c r="L10" s="261"/>
    </row>
    <row r="11" spans="1:20" x14ac:dyDescent="0.25">
      <c r="B11" s="177">
        <v>43556</v>
      </c>
      <c r="C11" s="151" t="s">
        <v>152</v>
      </c>
      <c r="D11" s="250">
        <v>-1.5900000000000001E-3</v>
      </c>
      <c r="E11" s="369">
        <f>D11</f>
        <v>-1.5900000000000001E-3</v>
      </c>
      <c r="F11" s="369">
        <f>E11</f>
        <v>-1.5900000000000001E-3</v>
      </c>
      <c r="G11" s="187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5"/>
    </row>
    <row r="12" spans="1:20" x14ac:dyDescent="0.25">
      <c r="B12" s="151"/>
      <c r="C12" s="151" t="s">
        <v>108</v>
      </c>
      <c r="D12" s="250">
        <v>0</v>
      </c>
      <c r="E12" s="369">
        <f>D12</f>
        <v>0</v>
      </c>
      <c r="F12" s="369">
        <f>E12</f>
        <v>0</v>
      </c>
      <c r="G12" s="187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5"/>
    </row>
    <row r="13" spans="1:20" x14ac:dyDescent="0.25">
      <c r="B13" s="151"/>
      <c r="C13" s="151"/>
      <c r="D13" s="151"/>
      <c r="E13" s="151"/>
      <c r="F13" s="151"/>
      <c r="G13" s="171"/>
      <c r="H13" s="172"/>
      <c r="I13" s="172"/>
      <c r="J13" s="172"/>
      <c r="K13" s="172"/>
      <c r="L13" s="172"/>
      <c r="M13" s="66"/>
      <c r="N13" s="66"/>
      <c r="O13" s="66"/>
      <c r="P13" s="66"/>
      <c r="Q13" s="66"/>
      <c r="R13" s="66"/>
    </row>
    <row r="14" spans="1:20" x14ac:dyDescent="0.25">
      <c r="B14" s="177">
        <v>43922</v>
      </c>
      <c r="C14" s="151" t="s">
        <v>152</v>
      </c>
      <c r="D14" s="187"/>
      <c r="E14" s="187"/>
      <c r="F14" s="187"/>
      <c r="G14" s="186"/>
      <c r="H14" s="186"/>
      <c r="I14" s="186"/>
      <c r="J14" s="186"/>
      <c r="K14" s="186"/>
      <c r="L14" s="186"/>
      <c r="M14" s="186"/>
      <c r="N14" s="186"/>
      <c r="O14" s="186"/>
      <c r="P14" s="172">
        <v>1.7559999999999999E-2</v>
      </c>
      <c r="Q14" s="250">
        <f t="shared" ref="Q14:R15" si="2">P14</f>
        <v>1.7559999999999999E-2</v>
      </c>
      <c r="R14" s="250">
        <f t="shared" si="2"/>
        <v>1.7559999999999999E-2</v>
      </c>
    </row>
    <row r="15" spans="1:20" x14ac:dyDescent="0.25">
      <c r="B15" s="151"/>
      <c r="C15" s="151" t="s">
        <v>108</v>
      </c>
      <c r="D15" s="187"/>
      <c r="E15" s="187"/>
      <c r="F15" s="187"/>
      <c r="G15" s="186"/>
      <c r="H15" s="186"/>
      <c r="I15" s="186"/>
      <c r="J15" s="186"/>
      <c r="K15" s="186"/>
      <c r="L15" s="186"/>
      <c r="M15" s="186"/>
      <c r="N15" s="186"/>
      <c r="O15" s="186"/>
      <c r="P15" s="172">
        <v>6.0000000000000002E-5</v>
      </c>
      <c r="Q15" s="172">
        <f t="shared" si="2"/>
        <v>6.0000000000000002E-5</v>
      </c>
      <c r="R15" s="172">
        <f t="shared" si="2"/>
        <v>6.0000000000000002E-5</v>
      </c>
    </row>
    <row r="16" spans="1:20" x14ac:dyDescent="0.25">
      <c r="B16" s="151"/>
      <c r="C16" s="151"/>
      <c r="D16" s="151"/>
      <c r="E16" s="151"/>
      <c r="F16" s="151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20" x14ac:dyDescent="0.25">
      <c r="A17" s="183" t="s">
        <v>159</v>
      </c>
      <c r="B17" s="179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0" x14ac:dyDescent="0.25">
      <c r="B18" t="str">
        <f>TEXT(B11,"MMMM YYYY")&amp;" True-up"</f>
        <v>April 2019 True-up</v>
      </c>
      <c r="C18" s="151" t="s">
        <v>25</v>
      </c>
      <c r="D18" s="187"/>
      <c r="E18" s="187"/>
      <c r="F18" s="187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70">
        <f>SUM(D18:R18)</f>
        <v>0</v>
      </c>
      <c r="T18" s="316"/>
    </row>
    <row r="19" spans="1:20" x14ac:dyDescent="0.25">
      <c r="C19" s="151" t="s">
        <v>108</v>
      </c>
      <c r="D19" s="206">
        <f>(D11+D12)*D8</f>
        <v>1021.4779063955967</v>
      </c>
      <c r="E19" s="206">
        <f>(E11+E12)*E8</f>
        <v>194.68791418950033</v>
      </c>
      <c r="F19" s="206">
        <f>(F11+F12)*F8</f>
        <v>467.7177325286994</v>
      </c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70">
        <f>SUM(D19:R19)</f>
        <v>1683.8835531137963</v>
      </c>
      <c r="T19" s="316"/>
    </row>
    <row r="20" spans="1:20" x14ac:dyDescent="0.25">
      <c r="C20" s="151"/>
      <c r="D20" s="151"/>
      <c r="E20" s="151"/>
      <c r="F20" s="151"/>
      <c r="G20" s="66"/>
      <c r="H20" s="66"/>
      <c r="I20" s="66"/>
      <c r="J20" s="173"/>
      <c r="K20" s="173"/>
      <c r="L20" s="173"/>
      <c r="M20" s="66"/>
      <c r="N20" s="66"/>
      <c r="O20" s="66"/>
      <c r="P20" s="66"/>
      <c r="Q20" s="66"/>
      <c r="R20" s="66"/>
      <c r="S20" s="293"/>
    </row>
    <row r="21" spans="1:20" x14ac:dyDescent="0.25">
      <c r="B21" t="str">
        <f>TEXT(B14,"MMMM YYYY")&amp;" Actual"</f>
        <v>April 2020 Actual</v>
      </c>
      <c r="C21" s="151" t="s">
        <v>25</v>
      </c>
      <c r="D21" s="203"/>
      <c r="E21" s="203"/>
      <c r="F21" s="203"/>
      <c r="G21" s="302">
        <v>14654.519618295233</v>
      </c>
      <c r="H21" s="302">
        <v>9364.1716189267336</v>
      </c>
      <c r="I21" s="302">
        <v>5159.3994662733166</v>
      </c>
      <c r="J21" s="302">
        <v>4420.2014388069274</v>
      </c>
      <c r="K21" s="302">
        <v>4485.2292156368558</v>
      </c>
      <c r="L21" s="302">
        <v>4396.9133027518446</v>
      </c>
      <c r="M21" s="302">
        <v>9504.4817777562912</v>
      </c>
      <c r="N21" s="302">
        <v>22285.590508790672</v>
      </c>
      <c r="O21" s="302">
        <v>46219.070065798303</v>
      </c>
      <c r="P21" s="203"/>
      <c r="Q21" s="203"/>
      <c r="R21" s="203"/>
      <c r="S21" s="70">
        <f t="shared" ref="S21:S22" si="3">SUM(D21:R21)</f>
        <v>120489.57701303618</v>
      </c>
      <c r="T21" s="316"/>
    </row>
    <row r="22" spans="1:20" x14ac:dyDescent="0.25">
      <c r="C22" s="151" t="s">
        <v>108</v>
      </c>
      <c r="D22" s="185"/>
      <c r="E22" s="185"/>
      <c r="F22" s="185"/>
      <c r="G22" s="173">
        <v>50.845152889715202</v>
      </c>
      <c r="H22" s="173">
        <v>31.996030588587931</v>
      </c>
      <c r="I22" s="173">
        <v>17.628927561298347</v>
      </c>
      <c r="J22" s="173">
        <v>15.103193982256016</v>
      </c>
      <c r="K22" s="173">
        <v>15.325384563679462</v>
      </c>
      <c r="L22" s="173">
        <v>15.023621763388993</v>
      </c>
      <c r="M22" s="173">
        <v>32.475450265682085</v>
      </c>
      <c r="N22" s="173">
        <v>76.146664608624178</v>
      </c>
      <c r="O22" s="173">
        <v>157.92392960978921</v>
      </c>
      <c r="P22" s="203"/>
      <c r="Q22" s="203"/>
      <c r="R22" s="203"/>
      <c r="S22" s="70">
        <f t="shared" si="3"/>
        <v>412.46835583302141</v>
      </c>
      <c r="T22" s="316"/>
    </row>
    <row r="23" spans="1:20" x14ac:dyDescent="0.25">
      <c r="G23" s="174"/>
      <c r="H23" s="174"/>
      <c r="I23" s="174"/>
      <c r="J23" s="174"/>
      <c r="K23" s="174"/>
      <c r="L23" s="174"/>
      <c r="M23" s="174"/>
      <c r="N23" s="174"/>
      <c r="O23" s="174"/>
      <c r="P23" s="66"/>
      <c r="Q23" s="66"/>
      <c r="R23" s="66"/>
      <c r="S23" s="293"/>
    </row>
    <row r="24" spans="1:20" x14ac:dyDescent="0.25">
      <c r="B24" t="str">
        <f>TEXT(B14,"MMMM YYYY")&amp;" Estimates"</f>
        <v>April 2020 Estimates</v>
      </c>
      <c r="C24" s="151" t="s">
        <v>25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3">
        <f>ROUND(P6*P14,0)</f>
        <v>60360</v>
      </c>
      <c r="Q24" s="173">
        <f>ROUND(Q6*Q14,0)</f>
        <v>50661</v>
      </c>
      <c r="R24" s="173">
        <f>ROUND(R6*R14,0)</f>
        <v>39833</v>
      </c>
      <c r="S24" s="70">
        <f>SUM(D24:R24)</f>
        <v>150854</v>
      </c>
      <c r="T24" s="316"/>
    </row>
    <row r="25" spans="1:20" x14ac:dyDescent="0.25">
      <c r="C25" s="151" t="s">
        <v>108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73">
        <f>ROUND(P6*P15,0)</f>
        <v>206</v>
      </c>
      <c r="Q25" s="173">
        <f>ROUND(Q6*Q15,0)</f>
        <v>173</v>
      </c>
      <c r="R25" s="173">
        <f>ROUND(R6*R15,0)</f>
        <v>136</v>
      </c>
      <c r="S25" s="70">
        <f>SUM(D25:R25)</f>
        <v>515</v>
      </c>
      <c r="T25" s="303"/>
    </row>
    <row r="26" spans="1:20" x14ac:dyDescent="0.25">
      <c r="C26" s="151"/>
      <c r="D26" s="151"/>
      <c r="E26" s="151"/>
      <c r="F26" s="151"/>
      <c r="G26" s="66"/>
      <c r="H26" s="66"/>
      <c r="I26" s="66"/>
      <c r="J26" s="66"/>
      <c r="K26" s="66"/>
      <c r="L26" s="66"/>
      <c r="M26" s="66"/>
      <c r="N26" s="66"/>
      <c r="O26" s="66"/>
      <c r="P26" s="173"/>
      <c r="Q26" s="173"/>
      <c r="R26" s="173"/>
      <c r="S26" s="293"/>
    </row>
    <row r="27" spans="1:20" x14ac:dyDescent="0.25">
      <c r="B27" t="s">
        <v>17</v>
      </c>
      <c r="C27" s="151" t="s">
        <v>25</v>
      </c>
      <c r="D27" s="185"/>
      <c r="E27" s="185"/>
      <c r="F27" s="185"/>
      <c r="G27" s="199">
        <f>G18+G21+G24</f>
        <v>14654.519618295233</v>
      </c>
      <c r="H27" s="199">
        <f t="shared" ref="H27:S28" si="4">H18+H21+H24</f>
        <v>9364.1716189267336</v>
      </c>
      <c r="I27" s="199">
        <f t="shared" si="4"/>
        <v>5159.3994662733166</v>
      </c>
      <c r="J27" s="199">
        <f t="shared" si="4"/>
        <v>4420.2014388069274</v>
      </c>
      <c r="K27" s="199">
        <f t="shared" si="4"/>
        <v>4485.2292156368558</v>
      </c>
      <c r="L27" s="199">
        <f t="shared" si="4"/>
        <v>4396.9133027518446</v>
      </c>
      <c r="M27" s="199">
        <f t="shared" si="4"/>
        <v>9504.4817777562912</v>
      </c>
      <c r="N27" s="199">
        <f t="shared" si="4"/>
        <v>22285.590508790672</v>
      </c>
      <c r="O27" s="199">
        <f t="shared" si="4"/>
        <v>46219.070065798303</v>
      </c>
      <c r="P27" s="199">
        <f t="shared" si="4"/>
        <v>60360</v>
      </c>
      <c r="Q27" s="199">
        <f t="shared" si="4"/>
        <v>50661</v>
      </c>
      <c r="R27" s="199">
        <f t="shared" si="4"/>
        <v>39833</v>
      </c>
      <c r="S27" s="199">
        <f t="shared" si="4"/>
        <v>271343.57701303618</v>
      </c>
      <c r="T27" s="316"/>
    </row>
    <row r="28" spans="1:20" x14ac:dyDescent="0.25">
      <c r="C28" s="151" t="s">
        <v>108</v>
      </c>
      <c r="D28" s="199">
        <f t="shared" ref="D28:F28" si="5">D19+D22+D25</f>
        <v>1021.4779063955967</v>
      </c>
      <c r="E28" s="199">
        <f t="shared" si="5"/>
        <v>194.68791418950033</v>
      </c>
      <c r="F28" s="199">
        <f t="shared" si="5"/>
        <v>467.7177325286994</v>
      </c>
      <c r="G28" s="199">
        <f>G19+G22+G25</f>
        <v>50.845152889715202</v>
      </c>
      <c r="H28" s="199">
        <f t="shared" si="4"/>
        <v>31.996030588587931</v>
      </c>
      <c r="I28" s="199">
        <f t="shared" si="4"/>
        <v>17.628927561298347</v>
      </c>
      <c r="J28" s="199">
        <f t="shared" si="4"/>
        <v>15.103193982256016</v>
      </c>
      <c r="K28" s="199">
        <f t="shared" si="4"/>
        <v>15.325384563679462</v>
      </c>
      <c r="L28" s="199">
        <f t="shared" si="4"/>
        <v>15.023621763388993</v>
      </c>
      <c r="M28" s="199">
        <f t="shared" si="4"/>
        <v>32.475450265682085</v>
      </c>
      <c r="N28" s="199">
        <f t="shared" si="4"/>
        <v>76.146664608624178</v>
      </c>
      <c r="O28" s="199">
        <f t="shared" si="4"/>
        <v>157.92392960978921</v>
      </c>
      <c r="P28" s="199">
        <f t="shared" si="4"/>
        <v>206</v>
      </c>
      <c r="Q28" s="199">
        <f t="shared" si="4"/>
        <v>173</v>
      </c>
      <c r="R28" s="199">
        <f t="shared" si="4"/>
        <v>136</v>
      </c>
      <c r="S28" s="199">
        <f t="shared" si="4"/>
        <v>2611.3519089468177</v>
      </c>
      <c r="T28" s="316"/>
    </row>
  </sheetData>
  <mergeCells count="1">
    <mergeCell ref="A1:R1"/>
  </mergeCells>
  <pageMargins left="0.45" right="0.45" top="0.75" bottom="0.5" header="0.3" footer="0.3"/>
  <pageSetup scale="56" orientation="landscape" horizontalDpi="72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T28"/>
  <sheetViews>
    <sheetView topLeftCell="R4" zoomScale="85" zoomScaleNormal="85" workbookViewId="0">
      <selection activeCell="U4" sqref="U1:AG1048576"/>
    </sheetView>
  </sheetViews>
  <sheetFormatPr defaultRowHeight="15" x14ac:dyDescent="0.25"/>
  <cols>
    <col min="1" max="1" width="5.140625" customWidth="1"/>
    <col min="2" max="2" width="25.85546875" customWidth="1"/>
    <col min="3" max="3" width="9.5703125" customWidth="1"/>
    <col min="4" max="6" width="12.140625" style="293" customWidth="1"/>
    <col min="7" max="18" width="12.28515625" style="170" customWidth="1"/>
    <col min="19" max="19" width="14.42578125" customWidth="1"/>
    <col min="20" max="20" width="14.42578125" style="289" customWidth="1"/>
  </cols>
  <sheetData>
    <row r="1" spans="1:20" ht="18.75" x14ac:dyDescent="0.3">
      <c r="A1" s="396" t="s">
        <v>162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11"/>
    </row>
    <row r="2" spans="1:20" x14ac:dyDescent="0.25">
      <c r="A2" s="180"/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11"/>
    </row>
    <row r="3" spans="1:20" ht="15.75" x14ac:dyDescent="0.25">
      <c r="A3" s="180"/>
      <c r="B3" s="180"/>
      <c r="C3" s="180"/>
      <c r="D3" s="182">
        <v>43831</v>
      </c>
      <c r="E3" s="182">
        <f>EDATE(D3,1)</f>
        <v>43862</v>
      </c>
      <c r="F3" s="182">
        <f>EDATE(E3,1)</f>
        <v>43891</v>
      </c>
      <c r="G3" s="182">
        <f>EDATE(F3,1)</f>
        <v>43922</v>
      </c>
      <c r="H3" s="182">
        <f>EDATE(G3,1)</f>
        <v>43952</v>
      </c>
      <c r="I3" s="182">
        <f t="shared" ref="I3:R3" si="0">EDATE(H3,1)</f>
        <v>43983</v>
      </c>
      <c r="J3" s="182">
        <f t="shared" si="0"/>
        <v>44013</v>
      </c>
      <c r="K3" s="182">
        <f t="shared" si="0"/>
        <v>44044</v>
      </c>
      <c r="L3" s="182">
        <f t="shared" si="0"/>
        <v>44075</v>
      </c>
      <c r="M3" s="182">
        <f t="shared" si="0"/>
        <v>44105</v>
      </c>
      <c r="N3" s="182">
        <f t="shared" si="0"/>
        <v>44136</v>
      </c>
      <c r="O3" s="182">
        <f t="shared" si="0"/>
        <v>44166</v>
      </c>
      <c r="P3" s="182">
        <f t="shared" si="0"/>
        <v>44197</v>
      </c>
      <c r="Q3" s="182">
        <f t="shared" si="0"/>
        <v>44228</v>
      </c>
      <c r="R3" s="182">
        <f t="shared" si="0"/>
        <v>44256</v>
      </c>
      <c r="S3" s="231" t="s">
        <v>17</v>
      </c>
      <c r="T3" s="322"/>
    </row>
    <row r="4" spans="1:20" x14ac:dyDescent="0.25"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304"/>
      <c r="T4" s="299"/>
    </row>
    <row r="5" spans="1:20" x14ac:dyDescent="0.25">
      <c r="A5" s="183" t="s">
        <v>135</v>
      </c>
      <c r="B5" s="17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20" x14ac:dyDescent="0.25">
      <c r="B6" t="s">
        <v>158</v>
      </c>
      <c r="C6" s="299"/>
      <c r="D6" s="356">
        <v>1024543</v>
      </c>
      <c r="E6" s="356">
        <v>828989</v>
      </c>
      <c r="F6" s="356">
        <v>617967</v>
      </c>
      <c r="G6" s="186"/>
      <c r="H6" s="186"/>
      <c r="I6" s="186"/>
      <c r="J6" s="186"/>
      <c r="K6" s="186"/>
      <c r="L6" s="186"/>
      <c r="M6" s="186"/>
      <c r="N6" s="186"/>
      <c r="O6" s="186"/>
      <c r="P6" s="142">
        <v>1024543</v>
      </c>
      <c r="Q6" s="142">
        <v>828989</v>
      </c>
      <c r="R6" s="142">
        <v>617967</v>
      </c>
    </row>
    <row r="7" spans="1:20" x14ac:dyDescent="0.25">
      <c r="B7" t="s">
        <v>99</v>
      </c>
      <c r="C7" s="299"/>
      <c r="D7" s="329">
        <v>766589.6628200002</v>
      </c>
      <c r="E7" s="329">
        <v>776462.66634</v>
      </c>
      <c r="F7" s="329">
        <v>511167.01540000009</v>
      </c>
      <c r="G7" s="329">
        <v>203625.81150999965</v>
      </c>
      <c r="H7" s="329">
        <v>117090.83952999997</v>
      </c>
      <c r="I7" s="329">
        <v>83531.77</v>
      </c>
      <c r="J7" s="329">
        <v>77685.433510000003</v>
      </c>
      <c r="K7" s="329">
        <v>84676.247800000026</v>
      </c>
      <c r="L7" s="329">
        <v>77184.936369999981</v>
      </c>
      <c r="M7" s="329">
        <v>124925.5433500002</v>
      </c>
      <c r="N7" s="329">
        <v>293679.06653999991</v>
      </c>
      <c r="O7" s="329">
        <v>699970.08100999845</v>
      </c>
      <c r="P7" s="186"/>
      <c r="Q7" s="186"/>
      <c r="R7" s="186"/>
    </row>
    <row r="8" spans="1:20" x14ac:dyDescent="0.25">
      <c r="B8" t="s">
        <v>160</v>
      </c>
      <c r="C8" s="299"/>
      <c r="D8" s="370">
        <f>D7-D6</f>
        <v>-257953.3371799998</v>
      </c>
      <c r="E8" s="370">
        <f t="shared" ref="E8:F8" si="1">E7-E6</f>
        <v>-52526.333660000004</v>
      </c>
      <c r="F8" s="370">
        <f t="shared" si="1"/>
        <v>-106799.98459999991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20" x14ac:dyDescent="0.25">
      <c r="J9" s="261"/>
      <c r="K9" s="261"/>
      <c r="L9" s="261"/>
    </row>
    <row r="10" spans="1:20" x14ac:dyDescent="0.25">
      <c r="A10" s="183" t="s">
        <v>157</v>
      </c>
      <c r="B10" s="179"/>
      <c r="J10" s="261"/>
      <c r="K10" s="261"/>
      <c r="L10" s="261"/>
    </row>
    <row r="11" spans="1:20" x14ac:dyDescent="0.25">
      <c r="B11" s="177">
        <v>43556</v>
      </c>
      <c r="C11" s="151" t="s">
        <v>152</v>
      </c>
      <c r="D11" s="250">
        <v>-5.5000000000000003E-4</v>
      </c>
      <c r="E11" s="250">
        <f>D11</f>
        <v>-5.5000000000000003E-4</v>
      </c>
      <c r="F11" s="250">
        <f>E11</f>
        <v>-5.5000000000000003E-4</v>
      </c>
      <c r="G11" s="187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5"/>
    </row>
    <row r="12" spans="1:20" x14ac:dyDescent="0.25">
      <c r="B12" s="151"/>
      <c r="C12" s="151" t="s">
        <v>108</v>
      </c>
      <c r="D12" s="250">
        <v>0</v>
      </c>
      <c r="E12" s="250">
        <f>D12</f>
        <v>0</v>
      </c>
      <c r="F12" s="250">
        <f>E12</f>
        <v>0</v>
      </c>
      <c r="G12" s="187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5"/>
    </row>
    <row r="13" spans="1:20" x14ac:dyDescent="0.25">
      <c r="B13" s="151"/>
      <c r="C13" s="151"/>
      <c r="D13" s="151"/>
      <c r="E13" s="151"/>
      <c r="F13" s="151"/>
      <c r="G13" s="171"/>
      <c r="H13" s="172"/>
      <c r="I13" s="172"/>
      <c r="J13" s="172"/>
      <c r="K13" s="172"/>
      <c r="L13" s="172"/>
      <c r="M13" s="66"/>
      <c r="N13" s="66"/>
      <c r="O13" s="66"/>
      <c r="P13" s="66"/>
      <c r="Q13" s="66"/>
      <c r="R13" s="66"/>
    </row>
    <row r="14" spans="1:20" x14ac:dyDescent="0.25">
      <c r="B14" s="177">
        <v>43922</v>
      </c>
      <c r="C14" s="151" t="s">
        <v>152</v>
      </c>
      <c r="D14" s="187"/>
      <c r="E14" s="187"/>
      <c r="F14" s="187"/>
      <c r="G14" s="186"/>
      <c r="H14" s="186"/>
      <c r="I14" s="186"/>
      <c r="J14" s="186"/>
      <c r="K14" s="186"/>
      <c r="L14" s="186"/>
      <c r="M14" s="186"/>
      <c r="N14" s="186"/>
      <c r="O14" s="186"/>
      <c r="P14" s="172">
        <v>5.9800000000000001E-3</v>
      </c>
      <c r="Q14" s="172">
        <f t="shared" ref="Q14:R15" si="2">P14</f>
        <v>5.9800000000000001E-3</v>
      </c>
      <c r="R14" s="172">
        <f t="shared" si="2"/>
        <v>5.9800000000000001E-3</v>
      </c>
    </row>
    <row r="15" spans="1:20" x14ac:dyDescent="0.25">
      <c r="B15" s="151"/>
      <c r="C15" s="151" t="s">
        <v>108</v>
      </c>
      <c r="D15" s="187"/>
      <c r="E15" s="187"/>
      <c r="F15" s="187"/>
      <c r="G15" s="186"/>
      <c r="H15" s="186"/>
      <c r="I15" s="186"/>
      <c r="J15" s="186"/>
      <c r="K15" s="186"/>
      <c r="L15" s="186"/>
      <c r="M15" s="186"/>
      <c r="N15" s="186"/>
      <c r="O15" s="186"/>
      <c r="P15" s="172">
        <v>6.9999999999999994E-5</v>
      </c>
      <c r="Q15" s="172">
        <f t="shared" si="2"/>
        <v>6.9999999999999994E-5</v>
      </c>
      <c r="R15" s="172">
        <f t="shared" si="2"/>
        <v>6.9999999999999994E-5</v>
      </c>
    </row>
    <row r="16" spans="1:20" x14ac:dyDescent="0.25">
      <c r="B16" s="151"/>
      <c r="C16" s="151"/>
      <c r="D16" s="151"/>
      <c r="E16" s="151"/>
      <c r="F16" s="151"/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20" x14ac:dyDescent="0.25">
      <c r="A17" s="183" t="s">
        <v>159</v>
      </c>
      <c r="B17" s="179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</row>
    <row r="18" spans="1:20" x14ac:dyDescent="0.25">
      <c r="B18" t="str">
        <f>TEXT(B11,"MMMM YYYY")&amp;" True-up"</f>
        <v>April 2019 True-up</v>
      </c>
      <c r="C18" s="151" t="s">
        <v>25</v>
      </c>
      <c r="D18" s="187"/>
      <c r="E18" s="187"/>
      <c r="F18" s="187"/>
      <c r="G18" s="185"/>
      <c r="H18" s="185"/>
      <c r="I18" s="185"/>
      <c r="J18" s="188"/>
      <c r="K18" s="188"/>
      <c r="L18" s="188"/>
      <c r="M18" s="185"/>
      <c r="N18" s="185"/>
      <c r="O18" s="185"/>
      <c r="P18" s="185"/>
      <c r="Q18" s="185"/>
      <c r="R18" s="185"/>
      <c r="S18" s="70">
        <f>SUM(D18:R18)</f>
        <v>0</v>
      </c>
      <c r="T18" s="316"/>
    </row>
    <row r="19" spans="1:20" x14ac:dyDescent="0.25">
      <c r="C19" s="151" t="s">
        <v>108</v>
      </c>
      <c r="D19" s="206">
        <f>(D11+D12)*D8</f>
        <v>141.87433544899989</v>
      </c>
      <c r="E19" s="206">
        <f>(E11+E12)*E8</f>
        <v>28.889483513000005</v>
      </c>
      <c r="F19" s="206">
        <f>(F11+F12)*F8</f>
        <v>58.739991529999955</v>
      </c>
      <c r="G19" s="185"/>
      <c r="H19" s="185"/>
      <c r="I19" s="185"/>
      <c r="J19" s="188"/>
      <c r="K19" s="188"/>
      <c r="L19" s="188"/>
      <c r="M19" s="185"/>
      <c r="N19" s="185"/>
      <c r="O19" s="185"/>
      <c r="P19" s="185"/>
      <c r="Q19" s="185"/>
      <c r="R19" s="185"/>
      <c r="S19" s="70">
        <f>SUM(D19:R19)</f>
        <v>229.50381049199984</v>
      </c>
      <c r="T19" s="316"/>
    </row>
    <row r="20" spans="1:20" x14ac:dyDescent="0.25">
      <c r="C20" s="151"/>
      <c r="D20" s="151"/>
      <c r="E20" s="151"/>
      <c r="F20" s="151"/>
      <c r="G20" s="66"/>
      <c r="H20" s="66"/>
      <c r="I20" s="66"/>
      <c r="J20" s="173"/>
      <c r="K20" s="173"/>
      <c r="L20" s="173"/>
      <c r="M20" s="66"/>
      <c r="N20" s="66"/>
      <c r="O20" s="66"/>
      <c r="P20" s="66"/>
      <c r="Q20" s="66"/>
      <c r="R20" s="66"/>
      <c r="S20" s="293"/>
      <c r="T20" s="317"/>
    </row>
    <row r="21" spans="1:20" x14ac:dyDescent="0.25">
      <c r="B21" t="str">
        <f>TEXT(B14,"MMMM YYYY")&amp;" Actual"</f>
        <v>April 2020 Actual</v>
      </c>
      <c r="C21" s="151" t="s">
        <v>25</v>
      </c>
      <c r="D21" s="203"/>
      <c r="E21" s="203"/>
      <c r="F21" s="203"/>
      <c r="G21" s="302">
        <v>1024.1767572194926</v>
      </c>
      <c r="H21" s="302">
        <v>699.0306964332874</v>
      </c>
      <c r="I21" s="302">
        <v>499.21997454229552</v>
      </c>
      <c r="J21" s="302">
        <v>464.7544299813116</v>
      </c>
      <c r="K21" s="302">
        <v>506.58256978307628</v>
      </c>
      <c r="L21" s="302">
        <v>461.11892941236044</v>
      </c>
      <c r="M21" s="302">
        <v>746.51957171459935</v>
      </c>
      <c r="N21" s="302">
        <v>1754.8552621841338</v>
      </c>
      <c r="O21" s="302">
        <v>4182.7643399801036</v>
      </c>
      <c r="P21" s="185"/>
      <c r="Q21" s="185"/>
      <c r="R21" s="185"/>
      <c r="S21" s="70">
        <f t="shared" ref="S21:S22" si="3">SUM(D21:R21)</f>
        <v>10339.022531250661</v>
      </c>
      <c r="T21" s="316"/>
    </row>
    <row r="22" spans="1:20" x14ac:dyDescent="0.25">
      <c r="C22" s="151" t="s">
        <v>108</v>
      </c>
      <c r="D22" s="185"/>
      <c r="E22" s="185"/>
      <c r="F22" s="185"/>
      <c r="G22" s="173">
        <v>12.178638169161223</v>
      </c>
      <c r="H22" s="173">
        <v>8.1826335702893171</v>
      </c>
      <c r="I22" s="173">
        <v>5.8437120765820536</v>
      </c>
      <c r="J22" s="173">
        <v>5.4402692472728775</v>
      </c>
      <c r="K22" s="173">
        <v>5.9298963018085846</v>
      </c>
      <c r="L22" s="173">
        <v>5.3977132205460245</v>
      </c>
      <c r="M22" s="173">
        <v>8.7385234147193902</v>
      </c>
      <c r="N22" s="173">
        <v>20.541784005499892</v>
      </c>
      <c r="O22" s="173">
        <v>48.962124381037995</v>
      </c>
      <c r="P22" s="185"/>
      <c r="Q22" s="185"/>
      <c r="R22" s="185"/>
      <c r="S22" s="70">
        <f t="shared" si="3"/>
        <v>121.21529438691735</v>
      </c>
      <c r="T22" s="316"/>
    </row>
    <row r="23" spans="1:20" x14ac:dyDescent="0.25">
      <c r="G23" s="174"/>
      <c r="H23" s="174"/>
      <c r="I23" s="174"/>
      <c r="J23" s="174"/>
      <c r="K23" s="174"/>
      <c r="L23" s="174"/>
      <c r="M23" s="174"/>
      <c r="N23" s="174"/>
      <c r="O23" s="174"/>
      <c r="P23" s="66"/>
      <c r="Q23" s="66"/>
      <c r="R23" s="66"/>
      <c r="S23" s="293"/>
      <c r="T23" s="317"/>
    </row>
    <row r="24" spans="1:20" x14ac:dyDescent="0.25">
      <c r="B24" t="str">
        <f>TEXT(B14,"MMMM YYYY")&amp;" Estimates"</f>
        <v>April 2020 Estimates</v>
      </c>
      <c r="C24" s="151" t="s">
        <v>25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73">
        <f>ROUND(P6*P14,0)</f>
        <v>6127</v>
      </c>
      <c r="Q24" s="173">
        <f>ROUND(Q6*Q14,0)</f>
        <v>4957</v>
      </c>
      <c r="R24" s="173">
        <f>ROUND(R6*R14,0)</f>
        <v>3695</v>
      </c>
      <c r="S24" s="70">
        <f>SUM(D24:R24)</f>
        <v>14779</v>
      </c>
      <c r="T24" s="316"/>
    </row>
    <row r="25" spans="1:20" x14ac:dyDescent="0.25">
      <c r="C25" s="151" t="s">
        <v>108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73">
        <f>ROUND(P6*P15,0)</f>
        <v>72</v>
      </c>
      <c r="Q25" s="173">
        <f>ROUND(Q6*Q15,0)</f>
        <v>58</v>
      </c>
      <c r="R25" s="173">
        <f>ROUND(R6*R15,0)</f>
        <v>43</v>
      </c>
      <c r="S25" s="70">
        <f>SUM(D25:R25)</f>
        <v>173</v>
      </c>
      <c r="T25" s="316"/>
    </row>
    <row r="26" spans="1:20" x14ac:dyDescent="0.25">
      <c r="C26" s="151"/>
      <c r="D26" s="151"/>
      <c r="E26" s="151"/>
      <c r="F26" s="151"/>
      <c r="G26" s="66"/>
      <c r="H26" s="66"/>
      <c r="I26" s="66"/>
      <c r="J26" s="66"/>
      <c r="K26" s="66"/>
      <c r="L26" s="66"/>
      <c r="M26" s="66"/>
      <c r="N26" s="66"/>
      <c r="O26" s="66"/>
      <c r="P26" s="173"/>
      <c r="Q26" s="173"/>
      <c r="R26" s="173"/>
      <c r="S26" s="293"/>
      <c r="T26" s="317"/>
    </row>
    <row r="27" spans="1:20" x14ac:dyDescent="0.25">
      <c r="B27" t="s">
        <v>17</v>
      </c>
      <c r="C27" s="151" t="s">
        <v>25</v>
      </c>
      <c r="D27" s="185"/>
      <c r="E27" s="185"/>
      <c r="F27" s="185"/>
      <c r="G27" s="199">
        <f>G18+G21+G24</f>
        <v>1024.1767572194926</v>
      </c>
      <c r="H27" s="199">
        <f t="shared" ref="H27:S28" si="4">H18+H21+H24</f>
        <v>699.0306964332874</v>
      </c>
      <c r="I27" s="199">
        <f t="shared" si="4"/>
        <v>499.21997454229552</v>
      </c>
      <c r="J27" s="199">
        <f t="shared" si="4"/>
        <v>464.7544299813116</v>
      </c>
      <c r="K27" s="199">
        <f t="shared" si="4"/>
        <v>506.58256978307628</v>
      </c>
      <c r="L27" s="199">
        <f t="shared" si="4"/>
        <v>461.11892941236044</v>
      </c>
      <c r="M27" s="199">
        <f t="shared" si="4"/>
        <v>746.51957171459935</v>
      </c>
      <c r="N27" s="199">
        <f t="shared" si="4"/>
        <v>1754.8552621841338</v>
      </c>
      <c r="O27" s="199">
        <f t="shared" si="4"/>
        <v>4182.7643399801036</v>
      </c>
      <c r="P27" s="199">
        <f t="shared" si="4"/>
        <v>6127</v>
      </c>
      <c r="Q27" s="199">
        <f t="shared" si="4"/>
        <v>4957</v>
      </c>
      <c r="R27" s="199">
        <f t="shared" si="4"/>
        <v>3695</v>
      </c>
      <c r="S27" s="199">
        <f t="shared" si="4"/>
        <v>25118.022531250659</v>
      </c>
      <c r="T27" s="316"/>
    </row>
    <row r="28" spans="1:20" x14ac:dyDescent="0.25">
      <c r="C28" s="151" t="s">
        <v>108</v>
      </c>
      <c r="D28" s="199">
        <f t="shared" ref="D28:F28" si="5">D19+D22+D25</f>
        <v>141.87433544899989</v>
      </c>
      <c r="E28" s="199">
        <f t="shared" si="5"/>
        <v>28.889483513000005</v>
      </c>
      <c r="F28" s="199">
        <f t="shared" si="5"/>
        <v>58.739991529999955</v>
      </c>
      <c r="G28" s="199">
        <f>G19+G22+G25</f>
        <v>12.178638169161223</v>
      </c>
      <c r="H28" s="199">
        <f t="shared" si="4"/>
        <v>8.1826335702893171</v>
      </c>
      <c r="I28" s="199">
        <f t="shared" si="4"/>
        <v>5.8437120765820536</v>
      </c>
      <c r="J28" s="199">
        <f t="shared" si="4"/>
        <v>5.4402692472728775</v>
      </c>
      <c r="K28" s="199">
        <f t="shared" si="4"/>
        <v>5.9298963018085846</v>
      </c>
      <c r="L28" s="199">
        <f t="shared" si="4"/>
        <v>5.3977132205460245</v>
      </c>
      <c r="M28" s="199">
        <f t="shared" si="4"/>
        <v>8.7385234147193902</v>
      </c>
      <c r="N28" s="199">
        <f t="shared" si="4"/>
        <v>20.541784005499892</v>
      </c>
      <c r="O28" s="199">
        <f t="shared" si="4"/>
        <v>48.962124381037995</v>
      </c>
      <c r="P28" s="199">
        <f t="shared" si="4"/>
        <v>72</v>
      </c>
      <c r="Q28" s="199">
        <f t="shared" si="4"/>
        <v>58</v>
      </c>
      <c r="R28" s="199">
        <f t="shared" si="4"/>
        <v>43</v>
      </c>
      <c r="S28" s="199">
        <f t="shared" si="4"/>
        <v>523.71910487891716</v>
      </c>
      <c r="T28" s="316"/>
    </row>
  </sheetData>
  <mergeCells count="1">
    <mergeCell ref="A1:R1"/>
  </mergeCells>
  <pageMargins left="0.45" right="0.45" top="0.75" bottom="0.5" header="0.3" footer="0.3"/>
  <pageSetup scale="57" orientation="landscape" horizontalDpi="72" verticalDpi="72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"/>
  <sheetViews>
    <sheetView showGridLines="0" zoomScaleNormal="100" workbookViewId="0">
      <selection activeCell="I22" sqref="I22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N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2" max="12" width="22.5703125" style="31" bestFit="1" customWidth="1"/>
    <col min="17" max="16384" width="12.7109375" style="31"/>
  </cols>
  <sheetData>
    <row r="1" spans="1:16" x14ac:dyDescent="0.25">
      <c r="A1" s="50"/>
      <c r="B1" s="50"/>
      <c r="C1" s="50"/>
      <c r="D1" s="50"/>
      <c r="E1" s="50"/>
      <c r="F1" s="50"/>
      <c r="G1" s="50"/>
      <c r="H1" s="50"/>
      <c r="I1" s="50" t="s">
        <v>104</v>
      </c>
      <c r="J1" s="50" t="s">
        <v>104</v>
      </c>
    </row>
    <row r="2" spans="1:16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6" s="52" customFormat="1" ht="14.45" customHeight="1" x14ac:dyDescent="0.25">
      <c r="A3" s="51" t="s">
        <v>33</v>
      </c>
      <c r="B3" s="51" t="s">
        <v>101</v>
      </c>
      <c r="C3" s="51" t="s">
        <v>174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M3"/>
      <c r="N3"/>
      <c r="O3"/>
      <c r="P3"/>
    </row>
    <row r="4" spans="1:16" customFormat="1" ht="14.45" customHeight="1" x14ac:dyDescent="0.25">
      <c r="A4" s="46"/>
      <c r="B4" s="46"/>
      <c r="C4" s="110"/>
      <c r="I4" s="3"/>
      <c r="J4" s="3"/>
    </row>
    <row r="5" spans="1:16" customFormat="1" ht="14.45" customHeight="1" x14ac:dyDescent="0.25">
      <c r="A5" s="397" t="str">
        <f>'CSWNA Summary'!A8&amp;" Billing Cycle"</f>
        <v>July 2020 Billing Cycle</v>
      </c>
      <c r="B5" s="398"/>
      <c r="C5" s="398"/>
      <c r="I5" s="3"/>
      <c r="J5" s="3"/>
    </row>
    <row r="6" spans="1:16" x14ac:dyDescent="0.25">
      <c r="A6" s="212" t="s">
        <v>144</v>
      </c>
      <c r="B6" s="48">
        <v>2020</v>
      </c>
      <c r="C6" s="48">
        <v>7</v>
      </c>
      <c r="D6" s="32">
        <f>HLOOKUP((C6)&amp;B6,'Meter Reading_NEMO'!$B$4:$Z$10,7,FALSE)</f>
        <v>44012</v>
      </c>
      <c r="E6" s="32">
        <f>HLOOKUP(C6+1&amp;B6,'Meter Reading_NEMO'!$B$4:$Z$10,7,FALSE)</f>
        <v>44043</v>
      </c>
      <c r="F6" s="31">
        <f>E6-D6</f>
        <v>31</v>
      </c>
      <c r="G6" s="33">
        <f>SUMIFS(HDD_Summary!$E$4:$E$369,HDD_Summary!$D$4:$D$369,"&lt;"&amp;$E6,HDD_Summary!$D$4:$D$369,"&gt;="&amp;$D6)</f>
        <v>0</v>
      </c>
      <c r="H6" s="33">
        <f>SUMIFS(HDD_Summary!$F$4:$F$369,HDD_Summary!$D$4:$D$369,"&lt;"&amp;$E6,HDD_Summary!$D$4:$D$369,"&gt;="&amp;$D6)</f>
        <v>1.9386200716845867</v>
      </c>
      <c r="I6" s="119">
        <f>SUM('Customer Count by Cycle'!C27:D27)</f>
        <v>13393</v>
      </c>
      <c r="J6" s="120">
        <f>SUM('Customer Count by Cycle'!E27:F27)</f>
        <v>1706</v>
      </c>
    </row>
    <row r="7" spans="1:16" x14ac:dyDescent="0.25">
      <c r="D7" s="32"/>
      <c r="E7" s="32"/>
      <c r="G7" s="47"/>
      <c r="H7" s="33"/>
      <c r="I7" s="119"/>
      <c r="J7" s="120"/>
    </row>
    <row r="8" spans="1:16" x14ac:dyDescent="0.25">
      <c r="A8" s="159" t="str">
        <f>'CSWNA Summary'!A9&amp;" Billing Cycle"</f>
        <v>August 2020 Billing Cycle</v>
      </c>
      <c r="B8" s="67"/>
      <c r="C8" s="113"/>
      <c r="D8" s="32"/>
      <c r="E8" s="32"/>
      <c r="G8" s="47"/>
      <c r="H8" s="33"/>
      <c r="I8" s="119"/>
      <c r="J8" s="120"/>
    </row>
    <row r="9" spans="1:16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Reading_NEMO'!$B$4:$Z$10,7,FALSE)</f>
        <v>44043</v>
      </c>
      <c r="E9" s="32">
        <f>HLOOKUP(C9+1&amp;B9,'Meter Reading_NEMO'!$B$4:$Z$10,7,FALSE)</f>
        <v>44074</v>
      </c>
      <c r="F9" s="31">
        <f>E9-D9</f>
        <v>31</v>
      </c>
      <c r="G9" s="33">
        <f>SUMIFS(HDD_Summary!$E$4:$E$369,HDD_Summary!$D$4:$D$369,"&lt;"&amp;$E9,HDD_Summary!$D$4:$D$369,"&gt;="&amp;$D9)</f>
        <v>5.1895000000000007</v>
      </c>
      <c r="H9" s="33">
        <f>SUMIFS(HDD_Summary!$F$4:$F$369,HDD_Summary!$D$4:$D$369,"&lt;"&amp;$E9,HDD_Summary!$D$4:$D$369,"&gt;="&amp;$D9)</f>
        <v>6.4418817204300991</v>
      </c>
      <c r="I9" s="119">
        <f>SUM('Customer Count by Cycle'!C49:D49)</f>
        <v>13228</v>
      </c>
      <c r="J9" s="120">
        <f>SUM('Customer Count by Cycle'!E49:F49)</f>
        <v>1713</v>
      </c>
    </row>
    <row r="10" spans="1:16" x14ac:dyDescent="0.25">
      <c r="D10" s="32"/>
      <c r="E10" s="32"/>
      <c r="G10" s="47"/>
      <c r="H10" s="33"/>
      <c r="I10" s="119"/>
      <c r="J10" s="120"/>
    </row>
    <row r="11" spans="1:16" x14ac:dyDescent="0.25">
      <c r="A11" s="159" t="str">
        <f>'CSWNA Summary'!A10&amp;" Billing Cycle"</f>
        <v>September 2020 Billing Cycle</v>
      </c>
      <c r="B11" s="67"/>
      <c r="C11" s="113"/>
      <c r="D11" s="32"/>
      <c r="E11" s="32"/>
      <c r="G11" s="47"/>
      <c r="H11" s="33"/>
      <c r="I11" s="119"/>
      <c r="J11" s="120"/>
    </row>
    <row r="12" spans="1:16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Reading_NEMO'!$B$4:$Z$10,7,FALSE)</f>
        <v>44074</v>
      </c>
      <c r="E12" s="32">
        <f>HLOOKUP(C12+1&amp;B12,'Meter Reading_NEMO'!$B$4:$Z$10,7,FALSE)</f>
        <v>44104</v>
      </c>
      <c r="F12" s="31">
        <f>E12-D12</f>
        <v>30</v>
      </c>
      <c r="G12" s="33">
        <f>SUMIFS(HDD_Summary!$E$4:$E$369,HDD_Summary!$D$4:$D$369,"&lt;"&amp;$E12,HDD_Summary!$D$4:$D$369,"&gt;="&amp;$D12)</f>
        <v>106.05329999999998</v>
      </c>
      <c r="H12" s="33">
        <f>SUMIFS(HDD_Summary!$F$4:$F$369,HDD_Summary!$D$4:$D$369,"&lt;"&amp;$E12,HDD_Summary!$D$4:$D$369,"&gt;="&amp;$D12)</f>
        <v>85.807777777777758</v>
      </c>
      <c r="I12" s="119">
        <f>SUM('Customer Count by Cycle'!C71:D71)</f>
        <v>13105</v>
      </c>
      <c r="J12" s="120">
        <f>SUM('Customer Count by Cycle'!E71:F71)</f>
        <v>1698</v>
      </c>
    </row>
    <row r="13" spans="1:16" x14ac:dyDescent="0.25">
      <c r="D13" s="32"/>
      <c r="E13" s="32"/>
      <c r="G13" s="47"/>
      <c r="H13" s="33"/>
      <c r="I13" s="119"/>
      <c r="J13" s="120"/>
    </row>
    <row r="14" spans="1:16" x14ac:dyDescent="0.25">
      <c r="A14" s="159" t="str">
        <f>'CSWNA Summary'!A11&amp;" Billing Cycle"</f>
        <v>October 2020 Billing Cycle</v>
      </c>
      <c r="B14" s="67"/>
      <c r="C14" s="113"/>
      <c r="D14" s="32"/>
      <c r="E14" s="32"/>
      <c r="G14" s="47"/>
      <c r="H14" s="33"/>
      <c r="I14" s="119"/>
      <c r="J14" s="120"/>
    </row>
    <row r="15" spans="1:16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Reading_NEMO'!$B$4:$Z$10,7,FALSE)</f>
        <v>44104</v>
      </c>
      <c r="E15" s="32">
        <f>HLOOKUP(C18&amp;B18,'Meter Reading_NEMO'!$B$4:$Z$10,7,FALSE)</f>
        <v>44135</v>
      </c>
      <c r="F15" s="31">
        <f>E15-D15</f>
        <v>31</v>
      </c>
      <c r="G15" s="33">
        <f>SUMIFS(HDD_Summary!$E$4:$E$369,HDD_Summary!$D$4:$D$369,"&lt;"&amp;$E15,HDD_Summary!$D$4:$D$369,"&gt;="&amp;$D15)</f>
        <v>512.27149999999995</v>
      </c>
      <c r="H15" s="33">
        <f>SUMIFS(HDD_Summary!$F$4:$F$369,HDD_Summary!$D$4:$D$369,"&lt;"&amp;$E15,HDD_Summary!$D$4:$D$369,"&gt;="&amp;$D15)</f>
        <v>357.78539426523304</v>
      </c>
      <c r="I15" s="119">
        <f>SUM('Customer Count by Cycle'!C93:D93)</f>
        <v>13194</v>
      </c>
      <c r="J15" s="119">
        <f>SUM('Customer Count by Cycle'!E93:F93)</f>
        <v>1712</v>
      </c>
    </row>
    <row r="16" spans="1:16" x14ac:dyDescent="0.25">
      <c r="D16" s="32"/>
      <c r="E16" s="32"/>
      <c r="G16" s="47"/>
      <c r="H16" s="33"/>
      <c r="I16" s="119"/>
      <c r="J16" s="120"/>
    </row>
    <row r="17" spans="1:10" x14ac:dyDescent="0.25">
      <c r="A17" s="159" t="str">
        <f>'CSWNA Summary'!A12&amp;" Billing Cycle"</f>
        <v>November 2020 Billing Cycle</v>
      </c>
      <c r="B17" s="67"/>
      <c r="C17" s="113"/>
      <c r="D17" s="32"/>
      <c r="E17" s="32"/>
      <c r="G17" s="47"/>
      <c r="H17" s="33"/>
      <c r="I17" s="119"/>
      <c r="J17" s="120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HLOOKUP(C18&amp;B18,'Meter Reading_NEMO'!$B$4:$Z$10,7,FALSE)</f>
        <v>44135</v>
      </c>
      <c r="E18" s="32">
        <f>HLOOKUP(C21&amp;B21,'Meter Reading_NEMO'!$B$4:$Z$10,7,FALSE)</f>
        <v>44165</v>
      </c>
      <c r="F18" s="31">
        <f>E18-D18</f>
        <v>30</v>
      </c>
      <c r="G18" s="33">
        <f>SUMIFS(HDD_Summary!$E$4:$E$369,HDD_Summary!$D$4:$D$369,"&lt;"&amp;$E18,HDD_Summary!$D$4:$D$369,"&gt;="&amp;$D18)</f>
        <v>568.26989999999978</v>
      </c>
      <c r="H18" s="33">
        <f>SUMIFS(HDD_Summary!$F$4:$F$369,HDD_Summary!$D$4:$D$369,"&lt;"&amp;$E18,HDD_Summary!$D$4:$D$369,"&gt;="&amp;$D18)</f>
        <v>831.78145758661879</v>
      </c>
      <c r="I18" s="119">
        <f>SUM('Customer Count by Cycle'!C115:D115)</f>
        <v>13635</v>
      </c>
      <c r="J18" s="120">
        <f>SUM('Customer Count by Cycle'!E115:F115)</f>
        <v>1767</v>
      </c>
    </row>
    <row r="19" spans="1:10" x14ac:dyDescent="0.25">
      <c r="D19" s="32"/>
      <c r="E19" s="32"/>
      <c r="G19" s="47"/>
      <c r="H19" s="33"/>
      <c r="I19" s="119"/>
      <c r="J19" s="120"/>
    </row>
    <row r="20" spans="1:10" x14ac:dyDescent="0.25">
      <c r="A20" s="159" t="str">
        <f>'CSWNA Summary'!A13&amp;" Billing Cycle"</f>
        <v>December 2020 Billing Cycle</v>
      </c>
      <c r="B20" s="67"/>
      <c r="C20" s="113"/>
      <c r="D20" s="32"/>
      <c r="E20" s="32"/>
      <c r="G20" s="47"/>
      <c r="H20" s="33"/>
      <c r="I20" s="119"/>
      <c r="J20" s="120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Reading_NEMO'!$B$4:$Z$10,7,FALSE)</f>
        <v>44165</v>
      </c>
      <c r="E21" s="32">
        <f>HLOOKUP(IF(C21=12,(1)&amp;(B21+1),C21&amp;B21),'Meter Reading_NEMO'!$B$4:$Z$10,7,FALSE)</f>
        <v>44196</v>
      </c>
      <c r="F21" s="31">
        <f>E21-D21</f>
        <v>31</v>
      </c>
      <c r="G21" s="33">
        <f>SUMIFS(HDD_Summary!$E$4:$E$369,HDD_Summary!$D$4:$D$369,"&lt;"&amp;$E21,HDD_Summary!$D$4:$D$369,"&gt;="&amp;$D21)</f>
        <v>1041.6078999999997</v>
      </c>
      <c r="H21" s="33">
        <f>SUMIFS(HDD_Summary!$F$4:$F$369,HDD_Summary!$D$4:$D$369,"&lt;"&amp;$E21,HDD_Summary!$D$4:$D$369,"&gt;="&amp;$D21)</f>
        <v>1199.5575627240146</v>
      </c>
      <c r="I21" s="119">
        <f>SUM('Customer Count by Cycle'!C137:D137)</f>
        <v>13695</v>
      </c>
      <c r="J21" s="120">
        <f>SUM('Customer Count by Cycle'!E137:F137)</f>
        <v>1775</v>
      </c>
    </row>
    <row r="22" spans="1:10" x14ac:dyDescent="0.25">
      <c r="H22" s="71"/>
    </row>
  </sheetData>
  <mergeCells count="1">
    <mergeCell ref="A5:C5"/>
  </mergeCells>
  <pageMargins left="0.45" right="0.45" top="0.75" bottom="0.5" header="0.3" footer="0.3"/>
  <pageSetup scale="69"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36"/>
  <sheetViews>
    <sheetView topLeftCell="H1" zoomScale="90" zoomScaleNormal="90" workbookViewId="0">
      <selection activeCell="O1" sqref="O1:X1048576"/>
    </sheetView>
  </sheetViews>
  <sheetFormatPr defaultColWidth="14.7109375" defaultRowHeight="15" x14ac:dyDescent="0.25"/>
  <cols>
    <col min="1" max="1" width="27.7109375" customWidth="1"/>
    <col min="2" max="2" width="1.28515625" style="127" customWidth="1"/>
    <col min="5" max="5" width="16.5703125" customWidth="1"/>
    <col min="6" max="6" width="1.28515625" style="127" customWidth="1"/>
    <col min="9" max="9" width="16.42578125" customWidth="1"/>
    <col min="10" max="10" width="1.28515625" style="127" customWidth="1"/>
    <col min="12" max="12" width="1.28515625" style="127" customWidth="1"/>
  </cols>
  <sheetData>
    <row r="1" spans="1:15" x14ac:dyDescent="0.25">
      <c r="A1" s="5" t="s">
        <v>27</v>
      </c>
      <c r="B1" s="123"/>
      <c r="C1" s="88" t="s">
        <v>18</v>
      </c>
      <c r="D1" s="88" t="s">
        <v>18</v>
      </c>
      <c r="E1" s="88" t="s">
        <v>18</v>
      </c>
      <c r="F1" s="123"/>
      <c r="G1" s="88" t="s">
        <v>106</v>
      </c>
      <c r="H1" s="88" t="s">
        <v>106</v>
      </c>
      <c r="I1" s="88" t="s">
        <v>106</v>
      </c>
      <c r="J1" s="123"/>
      <c r="K1" s="88" t="s">
        <v>18</v>
      </c>
      <c r="L1" s="123"/>
      <c r="M1" s="89" t="s">
        <v>106</v>
      </c>
    </row>
    <row r="2" spans="1:15" x14ac:dyDescent="0.25">
      <c r="A2" s="156"/>
      <c r="B2" s="124"/>
      <c r="C2" s="121" t="s">
        <v>104</v>
      </c>
      <c r="D2" s="121" t="s">
        <v>105</v>
      </c>
      <c r="E2" s="121" t="s">
        <v>128</v>
      </c>
      <c r="F2" s="124"/>
      <c r="G2" s="121" t="s">
        <v>104</v>
      </c>
      <c r="H2" s="121" t="s">
        <v>105</v>
      </c>
      <c r="I2" s="121" t="s">
        <v>128</v>
      </c>
      <c r="J2" s="124"/>
      <c r="K2" s="121" t="s">
        <v>19</v>
      </c>
      <c r="L2" s="124"/>
      <c r="M2" s="122" t="s">
        <v>19</v>
      </c>
    </row>
    <row r="3" spans="1:15" x14ac:dyDescent="0.25">
      <c r="A3" s="10"/>
      <c r="B3" s="125"/>
      <c r="C3" s="11"/>
      <c r="D3" s="11"/>
      <c r="E3" s="11"/>
      <c r="F3" s="125"/>
      <c r="G3" s="11"/>
      <c r="H3" s="11"/>
      <c r="I3" s="11"/>
      <c r="J3" s="125"/>
      <c r="K3" s="11"/>
      <c r="L3" s="125"/>
      <c r="M3" s="12"/>
    </row>
    <row r="4" spans="1:15" s="4" customFormat="1" x14ac:dyDescent="0.25">
      <c r="A4" s="13"/>
      <c r="B4" s="126"/>
      <c r="C4" s="14"/>
      <c r="D4" s="14"/>
      <c r="E4" s="14"/>
      <c r="F4" s="126"/>
      <c r="G4" s="14"/>
      <c r="H4" s="14"/>
      <c r="I4" s="14"/>
      <c r="J4" s="126"/>
      <c r="K4" s="15"/>
      <c r="L4" s="126"/>
      <c r="M4" s="23"/>
    </row>
    <row r="5" spans="1:15" s="4" customFormat="1" x14ac:dyDescent="0.25">
      <c r="A5" s="103"/>
      <c r="B5" s="126"/>
      <c r="C5" s="103"/>
      <c r="D5" s="103"/>
      <c r="E5" s="103"/>
      <c r="F5" s="126"/>
      <c r="G5" s="103"/>
      <c r="H5" s="103"/>
      <c r="I5" s="103"/>
      <c r="J5" s="126"/>
      <c r="K5" s="168"/>
      <c r="L5" s="126"/>
      <c r="M5" s="103"/>
    </row>
    <row r="6" spans="1:15" x14ac:dyDescent="0.25">
      <c r="A6" s="5" t="s">
        <v>27</v>
      </c>
    </row>
    <row r="7" spans="1:15" x14ac:dyDescent="0.25">
      <c r="A7" s="18" t="s">
        <v>145</v>
      </c>
    </row>
    <row r="8" spans="1:15" x14ac:dyDescent="0.25">
      <c r="A8" s="158" t="s">
        <v>287</v>
      </c>
      <c r="B8" s="128"/>
      <c r="C8" s="70">
        <f>+'CSWNA Res NEMO'!$I$10</f>
        <v>966</v>
      </c>
      <c r="D8" s="70">
        <f>+'CSWNA Res WEMO'!$I$10</f>
        <v>243</v>
      </c>
      <c r="E8" s="70">
        <f t="shared" ref="E8:E13" si="0">SUM(C8:D8)</f>
        <v>1209</v>
      </c>
      <c r="F8" s="128"/>
      <c r="G8" s="70">
        <f>+'CSWNA SGS NEMO'!$I$10</f>
        <v>112</v>
      </c>
      <c r="H8" s="70">
        <f>+'CSWNA SGS WEMO'!$I$10</f>
        <v>34</v>
      </c>
      <c r="I8" s="70">
        <f t="shared" ref="I8:I13" si="1">SUM(G8:H8)</f>
        <v>146</v>
      </c>
      <c r="J8" s="128"/>
      <c r="K8" s="70">
        <f>+'CSWNA Res SEMO'!$I$10</f>
        <v>57</v>
      </c>
      <c r="L8" s="128"/>
      <c r="M8" s="70">
        <f>+'CSWNA SGS SEMO'!$I$10</f>
        <v>5</v>
      </c>
    </row>
    <row r="9" spans="1:15" x14ac:dyDescent="0.25">
      <c r="A9" s="158" t="s">
        <v>288</v>
      </c>
      <c r="B9" s="129"/>
      <c r="C9" s="3">
        <f>+'CSWNA Res NEMO'!$I$23</f>
        <v>615</v>
      </c>
      <c r="D9" s="3">
        <f>+'CSWNA Res WEMO'!$I$23</f>
        <v>125</v>
      </c>
      <c r="E9" s="3">
        <f t="shared" si="0"/>
        <v>740</v>
      </c>
      <c r="F9" s="129"/>
      <c r="G9" s="3">
        <f>'CSWNA SGS NEMO'!$I$23</f>
        <v>73</v>
      </c>
      <c r="H9" s="3">
        <f>'CSWNA SGS WEMO'!$I$23</f>
        <v>18</v>
      </c>
      <c r="I9" s="3">
        <f t="shared" si="1"/>
        <v>91</v>
      </c>
      <c r="J9" s="129"/>
      <c r="K9" s="3">
        <f>+'CSWNA Res SEMO'!$I$23</f>
        <v>518</v>
      </c>
      <c r="L9" s="129"/>
      <c r="M9" s="3">
        <f>+'CSWNA SGS SEMO'!$I$23</f>
        <v>45</v>
      </c>
    </row>
    <row r="10" spans="1:15" x14ac:dyDescent="0.25">
      <c r="A10" s="158" t="s">
        <v>289</v>
      </c>
      <c r="B10" s="129"/>
      <c r="C10" s="3">
        <f>+'CSWNA Res NEMO'!$I$36</f>
        <v>-9863</v>
      </c>
      <c r="D10" s="3">
        <f>+'CSWNA Res WEMO'!$I$36</f>
        <v>-1321</v>
      </c>
      <c r="E10" s="3">
        <f t="shared" si="0"/>
        <v>-11184</v>
      </c>
      <c r="F10" s="129"/>
      <c r="G10" s="3">
        <f>'CSWNA SGS NEMO'!$I$36</f>
        <v>-1168</v>
      </c>
      <c r="H10" s="3">
        <f>'CSWNA SGS WEMO'!$I$36</f>
        <v>-191</v>
      </c>
      <c r="I10" s="3">
        <f t="shared" si="1"/>
        <v>-1359</v>
      </c>
      <c r="J10" s="129"/>
      <c r="K10" s="3">
        <f>+'CSWNA Res SEMO'!$I$36</f>
        <v>305</v>
      </c>
      <c r="L10" s="129"/>
      <c r="M10" s="3">
        <f>+'CSWNA SGS SEMO'!$I$36</f>
        <v>27</v>
      </c>
    </row>
    <row r="11" spans="1:15" x14ac:dyDescent="0.25">
      <c r="A11" s="158" t="s">
        <v>290</v>
      </c>
      <c r="B11" s="129"/>
      <c r="C11" s="3">
        <f>+'CSWNA Res NEMO'!$I$49</f>
        <v>-76132</v>
      </c>
      <c r="D11" s="3">
        <f>+'CSWNA Res WEMO'!$I$49</f>
        <v>-11385</v>
      </c>
      <c r="E11" s="3">
        <f t="shared" si="0"/>
        <v>-87517</v>
      </c>
      <c r="F11" s="129"/>
      <c r="G11" s="3">
        <f>'CSWNA SGS NEMO'!$I$49</f>
        <v>-8984</v>
      </c>
      <c r="H11" s="3">
        <f>'CSWNA SGS WEMO'!$I$49</f>
        <v>-1635</v>
      </c>
      <c r="I11" s="3">
        <f t="shared" si="1"/>
        <v>-10619</v>
      </c>
      <c r="J11" s="129"/>
      <c r="K11" s="3">
        <f>+'CSWNA Res SEMO'!$I$49</f>
        <v>-20617</v>
      </c>
      <c r="L11" s="129"/>
      <c r="M11" s="3">
        <f>+'CSWNA SGS SEMO'!$I$49</f>
        <v>-1808</v>
      </c>
    </row>
    <row r="12" spans="1:15" x14ac:dyDescent="0.25">
      <c r="A12" s="158" t="s">
        <v>291</v>
      </c>
      <c r="B12" s="129"/>
      <c r="C12" s="3">
        <f>+'CSWNA Res NEMO'!$I$62</f>
        <v>135900</v>
      </c>
      <c r="D12" s="3">
        <f>+'CSWNA Res WEMO'!$I$62</f>
        <v>20937</v>
      </c>
      <c r="E12" s="3">
        <f t="shared" si="0"/>
        <v>156837</v>
      </c>
      <c r="F12" s="129"/>
      <c r="G12" s="3">
        <f>+'CSWNA SGS NEMO'!$I$62</f>
        <v>15816</v>
      </c>
      <c r="H12" s="3">
        <f>+'CSWNA SGS WEMO'!$I$62</f>
        <v>3023</v>
      </c>
      <c r="I12" s="3">
        <f t="shared" si="1"/>
        <v>18839</v>
      </c>
      <c r="J12" s="129"/>
      <c r="K12" s="3">
        <f>+'CSWNA Res SEMO'!$I$62</f>
        <v>149464</v>
      </c>
      <c r="L12" s="129"/>
      <c r="M12" s="3">
        <f>+'CSWNA SGS SEMO'!$I$62</f>
        <v>13094</v>
      </c>
    </row>
    <row r="13" spans="1:15" x14ac:dyDescent="0.25">
      <c r="A13" s="158" t="s">
        <v>292</v>
      </c>
      <c r="B13" s="129"/>
      <c r="C13" s="3">
        <f>+'CSWNA Res NEMO'!$I$75</f>
        <v>81817</v>
      </c>
      <c r="D13" s="3">
        <f>+'CSWNA Res WEMO'!$I$75</f>
        <v>17902</v>
      </c>
      <c r="E13" s="3">
        <f t="shared" si="0"/>
        <v>99719</v>
      </c>
      <c r="F13" s="129"/>
      <c r="G13" s="3">
        <f>+'CSWNA SGS NEMO'!$I$75</f>
        <v>9523</v>
      </c>
      <c r="H13" s="3">
        <f>+'CSWNA SGS WEMO'!$I$75</f>
        <v>2578</v>
      </c>
      <c r="I13" s="3">
        <f t="shared" si="1"/>
        <v>12101</v>
      </c>
      <c r="J13" s="129"/>
      <c r="K13" s="3">
        <f>+'CSWNA Res SEMO'!$I$75</f>
        <v>63795</v>
      </c>
      <c r="L13" s="129"/>
      <c r="M13" s="3">
        <f>+'CSWNA SGS SEMO'!$I$75</f>
        <v>5637</v>
      </c>
    </row>
    <row r="14" spans="1:15" ht="16.5" customHeight="1" x14ac:dyDescent="0.25"/>
    <row r="15" spans="1:15" x14ac:dyDescent="0.25">
      <c r="A15" s="153" t="s">
        <v>22</v>
      </c>
      <c r="B15" s="128"/>
      <c r="C15" s="155">
        <f>SUM(C8:C14)</f>
        <v>133303</v>
      </c>
      <c r="D15" s="155">
        <f>SUM(D8:D14)</f>
        <v>26501</v>
      </c>
      <c r="E15" s="155">
        <f>SUM(E8:E14)</f>
        <v>159804</v>
      </c>
      <c r="F15" s="154"/>
      <c r="G15" s="155">
        <f>SUM(G8:G14)</f>
        <v>15372</v>
      </c>
      <c r="H15" s="155">
        <f>SUM(H8:H14)</f>
        <v>3827</v>
      </c>
      <c r="I15" s="155">
        <f>SUM(I8:I14)</f>
        <v>19199</v>
      </c>
      <c r="J15" s="154"/>
      <c r="K15" s="155">
        <f>SUM(K8:K14)</f>
        <v>193522</v>
      </c>
      <c r="L15" s="155"/>
      <c r="M15" s="155">
        <f>SUM(M8:M14)</f>
        <v>17000</v>
      </c>
      <c r="O15" s="288"/>
    </row>
    <row r="16" spans="1:15" x14ac:dyDescent="0.25">
      <c r="B16" s="128"/>
      <c r="C16" s="152"/>
      <c r="D16" s="152"/>
      <c r="E16" s="152"/>
      <c r="F16" s="128"/>
      <c r="G16" s="152"/>
      <c r="H16" s="152"/>
      <c r="I16" s="152"/>
      <c r="J16" s="128"/>
      <c r="K16" s="152"/>
      <c r="L16" s="128"/>
      <c r="M16" s="152"/>
    </row>
    <row r="17" spans="1:14" x14ac:dyDescent="0.25">
      <c r="A17" t="s">
        <v>23</v>
      </c>
      <c r="B17" s="130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30"/>
      <c r="G17" s="3">
        <f>Assumptions!C20</f>
        <v>3249867.6799999997</v>
      </c>
      <c r="H17" s="22">
        <f>Assumptions!E20</f>
        <v>700365.64440726885</v>
      </c>
      <c r="I17" s="3">
        <f>SUM(G17:H17)</f>
        <v>3950233.3244072683</v>
      </c>
      <c r="J17" s="130"/>
      <c r="K17" s="3">
        <f>Assumptions!F20</f>
        <v>15300894.639401933</v>
      </c>
      <c r="L17" s="130"/>
      <c r="M17" s="3">
        <f>Assumptions!G20</f>
        <v>3908443.5557121718</v>
      </c>
    </row>
    <row r="18" spans="1:14" ht="15.75" thickBot="1" x14ac:dyDescent="0.3"/>
    <row r="19" spans="1:14" ht="15.75" thickBot="1" x14ac:dyDescent="0.3">
      <c r="A19" s="101" t="s">
        <v>234</v>
      </c>
      <c r="B19" s="131"/>
      <c r="C19" s="102"/>
      <c r="D19" s="102"/>
      <c r="E19" s="102">
        <f>ROUND(E15/E17,5)</f>
        <v>1.208E-2</v>
      </c>
      <c r="F19" s="131"/>
      <c r="G19" s="102"/>
      <c r="H19" s="102"/>
      <c r="I19" s="102">
        <f>ROUND(I15/I17,5)</f>
        <v>4.8599999999999997E-3</v>
      </c>
      <c r="J19" s="131"/>
      <c r="K19" s="102">
        <f>ROUND(K15/K17,5)</f>
        <v>1.265E-2</v>
      </c>
      <c r="L19" s="131"/>
      <c r="M19" s="102">
        <f>ROUND(M15/M17,5)</f>
        <v>4.3499999999999997E-3</v>
      </c>
    </row>
    <row r="20" spans="1:14" ht="15.75" thickBot="1" x14ac:dyDescent="0.3">
      <c r="A20" t="s">
        <v>235</v>
      </c>
      <c r="E20" s="290">
        <f>E34</f>
        <v>0</v>
      </c>
      <c r="I20" s="280">
        <f>I34</f>
        <v>0</v>
      </c>
      <c r="K20" s="280">
        <f>K34</f>
        <v>0</v>
      </c>
      <c r="M20" s="280">
        <f>M34</f>
        <v>0</v>
      </c>
    </row>
    <row r="21" spans="1:14" s="293" customFormat="1" ht="15.75" thickBot="1" x14ac:dyDescent="0.3">
      <c r="A21" s="101" t="s">
        <v>236</v>
      </c>
      <c r="B21" s="286"/>
      <c r="C21" s="285"/>
      <c r="D21" s="285"/>
      <c r="E21" s="285">
        <f>E19-E20</f>
        <v>1.208E-2</v>
      </c>
      <c r="F21" s="286"/>
      <c r="G21" s="285"/>
      <c r="H21" s="285"/>
      <c r="I21" s="285">
        <f>I19-I20</f>
        <v>4.8599999999999997E-3</v>
      </c>
      <c r="J21" s="286"/>
      <c r="K21" s="285">
        <f>K19-K20</f>
        <v>1.265E-2</v>
      </c>
      <c r="L21" s="286"/>
      <c r="M21" s="285">
        <f>M19-M20</f>
        <v>4.3499999999999997E-3</v>
      </c>
    </row>
    <row r="22" spans="1:14" s="289" customFormat="1" ht="15.75" thickBot="1" x14ac:dyDescent="0.3">
      <c r="A22" s="310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</row>
    <row r="23" spans="1:14" s="293" customFormat="1" ht="15.75" thickBot="1" x14ac:dyDescent="0.3">
      <c r="A23" s="101" t="s">
        <v>285</v>
      </c>
      <c r="B23" s="127"/>
      <c r="C23" s="68"/>
      <c r="F23" s="127"/>
      <c r="J23" s="127"/>
      <c r="L23" s="127"/>
      <c r="M23" s="281"/>
      <c r="N23" s="279"/>
    </row>
    <row r="24" spans="1:14" x14ac:dyDescent="0.25">
      <c r="C24" s="68">
        <v>44287</v>
      </c>
      <c r="D24" s="306" t="s">
        <v>25</v>
      </c>
      <c r="E24" s="255">
        <f>E19</f>
        <v>1.208E-2</v>
      </c>
      <c r="G24" s="318"/>
      <c r="H24" s="289"/>
      <c r="I24" s="255">
        <f>I19</f>
        <v>4.8599999999999997E-3</v>
      </c>
      <c r="K24" s="255">
        <f>K19</f>
        <v>1.265E-2</v>
      </c>
      <c r="M24" s="255">
        <f>M19</f>
        <v>4.3499999999999997E-3</v>
      </c>
      <c r="N24" s="3"/>
    </row>
    <row r="25" spans="1:14" s="293" customFormat="1" x14ac:dyDescent="0.25">
      <c r="B25" s="127"/>
      <c r="C25" s="68">
        <f>EDATE(C24,-6)</f>
        <v>44105</v>
      </c>
      <c r="D25" s="306" t="s">
        <v>25</v>
      </c>
      <c r="E25" s="336">
        <v>-1.2099999999999999E-3</v>
      </c>
      <c r="F25" s="127"/>
      <c r="G25" s="336"/>
      <c r="H25" s="289"/>
      <c r="I25" s="336">
        <v>-4.0999999999999999E-4</v>
      </c>
      <c r="J25" s="127"/>
      <c r="K25" s="336">
        <v>6.96E-3</v>
      </c>
      <c r="L25" s="127"/>
      <c r="M25" s="336">
        <v>2.3999999999999998E-3</v>
      </c>
      <c r="N25" s="279"/>
    </row>
    <row r="26" spans="1:14" s="293" customFormat="1" x14ac:dyDescent="0.25">
      <c r="B26" s="127"/>
      <c r="C26" s="68">
        <f>C24</f>
        <v>44287</v>
      </c>
      <c r="D26" s="20" t="s">
        <v>108</v>
      </c>
      <c r="E26" s="336">
        <f>'SRR Summary'!E66</f>
        <v>-2E-3</v>
      </c>
      <c r="F26" s="127"/>
      <c r="G26" s="318"/>
      <c r="H26" s="289"/>
      <c r="I26" s="336">
        <f>'SRR Summary'!I66</f>
        <v>-1.4999999999999999E-4</v>
      </c>
      <c r="J26" s="127"/>
      <c r="K26" s="336">
        <f>'SRR Summary'!K66</f>
        <v>-6.0000000000000002E-5</v>
      </c>
      <c r="L26" s="127"/>
      <c r="M26" s="336">
        <f>'SRR Summary'!M66</f>
        <v>-3.8999999999999999E-4</v>
      </c>
      <c r="N26" s="279"/>
    </row>
    <row r="27" spans="1:14" s="293" customFormat="1" x14ac:dyDescent="0.25">
      <c r="B27" s="127"/>
      <c r="C27" s="68">
        <f>C25</f>
        <v>44105</v>
      </c>
      <c r="D27" s="281" t="s">
        <v>108</v>
      </c>
      <c r="E27" s="336">
        <v>8.3000000000000001E-4</v>
      </c>
      <c r="F27" s="127"/>
      <c r="G27" s="318"/>
      <c r="H27" s="289"/>
      <c r="I27" s="336">
        <v>4.8999999999999998E-4</v>
      </c>
      <c r="J27" s="127"/>
      <c r="K27" s="336">
        <v>-1.0000000000000001E-5</v>
      </c>
      <c r="L27" s="127"/>
      <c r="M27" s="336">
        <v>-4.0000000000000003E-5</v>
      </c>
      <c r="N27" s="279"/>
    </row>
    <row r="28" spans="1:14" x14ac:dyDescent="0.25">
      <c r="C28" s="390" t="s">
        <v>237</v>
      </c>
      <c r="D28" s="390"/>
      <c r="E28" s="305">
        <f>SUM(E24:E27)</f>
        <v>9.7000000000000003E-3</v>
      </c>
      <c r="I28" s="305">
        <f>SUM(I24:I27)</f>
        <v>4.79E-3</v>
      </c>
      <c r="K28" s="305">
        <f>SUM(K24:K27)</f>
        <v>1.9539999999999998E-2</v>
      </c>
      <c r="M28" s="305">
        <f>SUM(M24:M27)</f>
        <v>6.3199999999999992E-3</v>
      </c>
    </row>
    <row r="29" spans="1:14" ht="15.75" thickBot="1" x14ac:dyDescent="0.3">
      <c r="I29" s="293"/>
      <c r="K29" s="293"/>
      <c r="M29" s="293"/>
    </row>
    <row r="30" spans="1:14" ht="15.75" thickBot="1" x14ac:dyDescent="0.3">
      <c r="A30" s="101" t="s">
        <v>286</v>
      </c>
      <c r="C30" s="68">
        <v>44105</v>
      </c>
      <c r="D30" t="s">
        <v>210</v>
      </c>
      <c r="E30">
        <v>1.6310000000000002E-2</v>
      </c>
      <c r="I30" s="293">
        <v>8.369999999999999E-3</v>
      </c>
      <c r="K30" s="293">
        <v>2.4570000000000002E-2</v>
      </c>
      <c r="M30" s="293">
        <v>8.4100000000000008E-3</v>
      </c>
    </row>
    <row r="31" spans="1:14" s="293" customFormat="1" x14ac:dyDescent="0.25">
      <c r="B31" s="127"/>
      <c r="C31" s="68"/>
      <c r="F31" s="127"/>
      <c r="J31" s="127"/>
      <c r="L31" s="127"/>
    </row>
    <row r="32" spans="1:14" x14ac:dyDescent="0.25">
      <c r="C32" s="391" t="s">
        <v>238</v>
      </c>
      <c r="D32" s="391"/>
      <c r="E32" s="290">
        <f>E28-E30</f>
        <v>-6.6100000000000013E-3</v>
      </c>
      <c r="I32" s="290">
        <f>I28-I30</f>
        <v>-3.579999999999999E-3</v>
      </c>
      <c r="K32" s="290">
        <f>K28-K30</f>
        <v>-5.0300000000000032E-3</v>
      </c>
      <c r="M32" s="290">
        <f>M28-M30</f>
        <v>-2.0900000000000016E-3</v>
      </c>
    </row>
    <row r="33" spans="1:13" ht="15.75" thickBot="1" x14ac:dyDescent="0.3">
      <c r="C33" s="392" t="s">
        <v>239</v>
      </c>
      <c r="D33" s="392"/>
      <c r="E33" s="290">
        <v>0.05</v>
      </c>
      <c r="I33" s="290">
        <v>0.05</v>
      </c>
      <c r="K33" s="290">
        <v>0.05</v>
      </c>
      <c r="M33" s="290">
        <v>0.05</v>
      </c>
    </row>
    <row r="34" spans="1:13" ht="15.75" thickBot="1" x14ac:dyDescent="0.3">
      <c r="A34" s="101" t="s">
        <v>235</v>
      </c>
      <c r="C34" s="285"/>
      <c r="D34" s="285"/>
      <c r="E34" s="285">
        <f>MAX(0,E32-E33)</f>
        <v>0</v>
      </c>
      <c r="F34" s="286"/>
      <c r="G34" s="285"/>
      <c r="H34" s="285"/>
      <c r="I34" s="285">
        <f>MAX(0,I32-I33)</f>
        <v>0</v>
      </c>
      <c r="J34" s="286"/>
      <c r="K34" s="285">
        <f>MAX(0,K32-K33)</f>
        <v>0</v>
      </c>
      <c r="L34" s="286"/>
      <c r="M34" s="285">
        <f>MAX(0,M32-M33)</f>
        <v>0</v>
      </c>
    </row>
    <row r="35" spans="1:13" s="289" customFormat="1" ht="15.75" thickBot="1" x14ac:dyDescent="0.3">
      <c r="A35" s="312"/>
      <c r="B35" s="127"/>
      <c r="C35" s="313"/>
      <c r="D35" s="313"/>
      <c r="E35" s="313"/>
      <c r="F35" s="286"/>
      <c r="G35" s="313"/>
      <c r="H35" s="313"/>
      <c r="I35" s="313"/>
      <c r="J35" s="286"/>
      <c r="K35" s="313"/>
      <c r="L35" s="286"/>
      <c r="M35" s="313"/>
    </row>
    <row r="36" spans="1:13" ht="15.75" thickBot="1" x14ac:dyDescent="0.3">
      <c r="A36" s="101" t="s">
        <v>243</v>
      </c>
      <c r="C36" s="285"/>
      <c r="D36" s="285"/>
      <c r="E36" s="285">
        <f>E34*E17</f>
        <v>0</v>
      </c>
      <c r="F36" s="286"/>
      <c r="G36" s="285"/>
      <c r="H36" s="285"/>
      <c r="I36" s="285">
        <f>I34*I17</f>
        <v>0</v>
      </c>
      <c r="J36" s="286"/>
      <c r="K36" s="285">
        <f>K34*K17</f>
        <v>0</v>
      </c>
      <c r="L36" s="286"/>
      <c r="M36" s="285">
        <f>M34*M17</f>
        <v>0</v>
      </c>
    </row>
  </sheetData>
  <mergeCells count="3">
    <mergeCell ref="C28:D28"/>
    <mergeCell ref="C32:D32"/>
    <mergeCell ref="C33:D33"/>
  </mergeCells>
  <phoneticPr fontId="20" type="noConversion"/>
  <printOptions horizontalCentered="1"/>
  <pageMargins left="0.45" right="0.45" top="0.75" bottom="0.5" header="0.3" footer="0.3"/>
  <pageSetup scale="60" orientation="landscape" horizontalDpi="72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105</v>
      </c>
      <c r="J1" s="50" t="s">
        <v>105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101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10"/>
      <c r="I4" s="3"/>
      <c r="J4" s="3"/>
    </row>
    <row r="5" spans="1:15" customFormat="1" ht="14.45" customHeight="1" x14ac:dyDescent="0.25">
      <c r="A5" s="159" t="str">
        <f>'CSWNA Summary'!A8&amp;" Billing Cycle"</f>
        <v>July 2020 Billing Cycle</v>
      </c>
      <c r="B5" s="67"/>
      <c r="C5" s="113"/>
      <c r="I5" s="3"/>
      <c r="J5" s="3"/>
    </row>
    <row r="6" spans="1:15" x14ac:dyDescent="0.25">
      <c r="A6" s="212" t="s">
        <v>144</v>
      </c>
      <c r="B6" s="48">
        <v>2020</v>
      </c>
      <c r="C6" s="48">
        <v>7</v>
      </c>
      <c r="D6" s="32">
        <f>HLOOKUP((C6)&amp;B6,'Meter Reading_WEMO'!$B$4:$Z$10,7,FALSE)</f>
        <v>44007</v>
      </c>
      <c r="E6" s="32">
        <f>HLOOKUP(C6+1&amp;B6,'Meter Reading_WEMO'!$B$4:$Z$10,7,FALSE)</f>
        <v>44038</v>
      </c>
      <c r="F6" s="31">
        <f>E6-D6</f>
        <v>31</v>
      </c>
      <c r="G6" s="33">
        <f>SUMIFS(HDD_Summary!$E$4:$E$369,HDD_Summary!$D$4:$D$369,"&lt;"&amp;$E6,HDD_Summary!$D$4:$D$369,"&gt;="&amp;$D6)</f>
        <v>0</v>
      </c>
      <c r="H6" s="33">
        <f>SUMIFS(HDD_Summary!$F$4:$F$369,HDD_Summary!$D$4:$D$369,"&lt;"&amp;$E6,HDD_Summary!$D$4:$D$369,"&gt;="&amp;$D6)</f>
        <v>2.4013978494623633</v>
      </c>
      <c r="I6" s="119">
        <f>SUM('Customer Count by Cycle'!G27)</f>
        <v>2725</v>
      </c>
      <c r="J6" s="3">
        <f>SUM('Customer Count by Cycle'!H27)</f>
        <v>422</v>
      </c>
    </row>
    <row r="7" spans="1:15" x14ac:dyDescent="0.25">
      <c r="D7" s="32"/>
      <c r="E7" s="32"/>
      <c r="G7" s="47"/>
      <c r="H7" s="33"/>
      <c r="I7" s="119"/>
      <c r="J7" s="3"/>
    </row>
    <row r="8" spans="1:15" x14ac:dyDescent="0.25">
      <c r="A8" s="159" t="str">
        <f>'CSWNA Summary'!A9&amp;" Billing Cycle"</f>
        <v>August 2020 Billing Cycle</v>
      </c>
      <c r="B8" s="67"/>
      <c r="C8" s="113"/>
      <c r="D8" s="32"/>
      <c r="E8" s="32"/>
      <c r="G8" s="47"/>
      <c r="H8" s="33"/>
      <c r="I8" s="119"/>
      <c r="J8" s="3"/>
    </row>
    <row r="9" spans="1:15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Reading_WEMO'!$B$4:$Z$10,7,FALSE)</f>
        <v>44038</v>
      </c>
      <c r="E9" s="32">
        <f>HLOOKUP(C9+1&amp;B9,'Meter Reading_WEMO'!$B$4:$Z$10,7,FALSE)</f>
        <v>44069</v>
      </c>
      <c r="F9" s="31">
        <f>E9-D9</f>
        <v>31</v>
      </c>
      <c r="G9" s="33">
        <f>SUMIFS(HDD_Summary!$E$4:$E$369,HDD_Summary!$D$4:$D$369,"&lt;"&amp;$E9,HDD_Summary!$D$4:$D$369,"&gt;="&amp;$D9)</f>
        <v>5.1895000000000007</v>
      </c>
      <c r="H9" s="33">
        <f>SUMIFS(HDD_Summary!$F$4:$F$369,HDD_Summary!$D$4:$D$369,"&lt;"&amp;$E9,HDD_Summary!$D$4:$D$369,"&gt;="&amp;$D9)</f>
        <v>6.4418817204300991</v>
      </c>
      <c r="I9" s="119">
        <f>SUM('Customer Count by Cycle'!G49)</f>
        <v>2695</v>
      </c>
      <c r="J9" s="3">
        <f>SUM('Customer Count by Cycle'!H49)</f>
        <v>421</v>
      </c>
    </row>
    <row r="10" spans="1:15" x14ac:dyDescent="0.25">
      <c r="D10" s="32"/>
      <c r="E10" s="32"/>
      <c r="G10" s="47"/>
      <c r="H10" s="33"/>
      <c r="I10" s="119"/>
      <c r="J10" s="3"/>
    </row>
    <row r="11" spans="1:15" x14ac:dyDescent="0.25">
      <c r="A11" s="159" t="str">
        <f>'CSWNA Summary'!A10&amp;" Billing Cycle"</f>
        <v>September 2020 Billing Cycle</v>
      </c>
      <c r="B11" s="67"/>
      <c r="C11" s="113"/>
      <c r="D11" s="32"/>
      <c r="E11" s="32"/>
      <c r="G11" s="47"/>
      <c r="H11" s="33"/>
      <c r="I11" s="119"/>
      <c r="J11" s="3"/>
    </row>
    <row r="12" spans="1:15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Reading_WEMO'!$B$4:$Z$10,7,FALSE)</f>
        <v>44069</v>
      </c>
      <c r="E12" s="32">
        <f>HLOOKUP(C12+1&amp;B12,'Meter Reading_WEMO'!$B$4:$Z$10,7,FALSE)</f>
        <v>44099</v>
      </c>
      <c r="F12" s="31">
        <f>E12-D12</f>
        <v>30</v>
      </c>
      <c r="G12" s="33">
        <f>SUMIFS(HDD_Summary!$E$4:$E$369,HDD_Summary!$D$4:$D$369,"&lt;"&amp;$E12,HDD_Summary!$D$4:$D$369,"&gt;="&amp;$D12)</f>
        <v>83.14054999999999</v>
      </c>
      <c r="H12" s="33">
        <f>SUMIFS(HDD_Summary!$F$4:$F$369,HDD_Summary!$D$4:$D$369,"&lt;"&amp;$E12,HDD_Summary!$D$4:$D$369,"&gt;="&amp;$D12)</f>
        <v>69.859074074074059</v>
      </c>
      <c r="I12" s="119">
        <f>SUM('Customer Count by Cycle'!G71)</f>
        <v>2675</v>
      </c>
      <c r="J12" s="3">
        <f>SUM('Customer Count by Cycle'!H71)</f>
        <v>423</v>
      </c>
    </row>
    <row r="13" spans="1:15" x14ac:dyDescent="0.25">
      <c r="D13" s="32"/>
      <c r="E13" s="32"/>
      <c r="G13" s="47"/>
      <c r="H13" s="33"/>
      <c r="I13" s="119"/>
      <c r="J13" s="3"/>
    </row>
    <row r="14" spans="1:15" x14ac:dyDescent="0.25">
      <c r="A14" s="159" t="str">
        <f>'CSWNA Summary'!A11&amp;" Billing Cycle"</f>
        <v>October 2020 Billing Cycle</v>
      </c>
      <c r="B14" s="67"/>
      <c r="C14" s="113"/>
      <c r="D14" s="32"/>
      <c r="E14" s="32"/>
      <c r="G14" s="47"/>
      <c r="H14" s="33"/>
      <c r="I14" s="119"/>
      <c r="J14" s="3"/>
    </row>
    <row r="15" spans="1:15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Reading_WEMO'!$B$4:$Z$10,7,FALSE)</f>
        <v>44099</v>
      </c>
      <c r="E15" s="32">
        <f>HLOOKUP(C15+1&amp;B15,'Meter Reading_WEMO'!$B$4:$Z$10,7,FALSE)</f>
        <v>44130</v>
      </c>
      <c r="F15" s="31">
        <f>E15-D15</f>
        <v>31</v>
      </c>
      <c r="G15" s="33">
        <f>SUMIFS(HDD_Summary!$E$4:$E$369,HDD_Summary!$D$4:$D$369,"&lt;"&amp;$E15,HDD_Summary!$D$4:$D$369,"&gt;="&amp;$D15)</f>
        <v>362.36154999999997</v>
      </c>
      <c r="H15" s="33">
        <f>SUMIFS(HDD_Summary!$F$4:$F$369,HDD_Summary!$D$4:$D$369,"&lt;"&amp;$E15,HDD_Summary!$D$4:$D$369,"&gt;="&amp;$D15)</f>
        <v>248.83850657108724</v>
      </c>
      <c r="I15" s="119">
        <f>SUM('Customer Count by Cycle'!G93)</f>
        <v>2685</v>
      </c>
      <c r="J15" s="3">
        <f>SUM('Customer Count by Cycle'!H93)</f>
        <v>424</v>
      </c>
    </row>
    <row r="16" spans="1:15" x14ac:dyDescent="0.25">
      <c r="D16" s="32"/>
      <c r="E16" s="32"/>
      <c r="G16" s="47"/>
      <c r="H16" s="33"/>
      <c r="I16" s="119"/>
      <c r="J16" s="3"/>
    </row>
    <row r="17" spans="1:10" x14ac:dyDescent="0.25">
      <c r="A17" s="159" t="str">
        <f>'CSWNA Summary'!A12&amp;" Billing Cycle"</f>
        <v>November 2020 Billing Cycle</v>
      </c>
      <c r="B17" s="67"/>
      <c r="C17" s="113"/>
      <c r="D17" s="32"/>
      <c r="E17" s="32"/>
      <c r="G17" s="47"/>
      <c r="H17" s="33"/>
      <c r="I17" s="119"/>
      <c r="J17" s="3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HLOOKUP((C18)&amp;B18,'Meter Reading_WEMO'!$B$4:$Z$10,7,FALSE)</f>
        <v>44130</v>
      </c>
      <c r="E18" s="32">
        <f>HLOOKUP(C18+1&amp;B18,'Meter Reading_WEMO'!$B$4:$Z$10,7,FALSE)</f>
        <v>44160</v>
      </c>
      <c r="F18" s="31">
        <f>E18-D18</f>
        <v>30</v>
      </c>
      <c r="G18" s="33">
        <f>SUMIFS(HDD_Summary!$E$4:$E$369,HDD_Summary!$D$4:$D$369,"&lt;"&amp;$E18,HDD_Summary!$D$4:$D$369,"&gt;="&amp;$D18)</f>
        <v>622.75750000000005</v>
      </c>
      <c r="H18" s="33">
        <f>SUMIFS(HDD_Summary!$F$4:$F$369,HDD_Summary!$D$4:$D$369,"&lt;"&amp;$E18,HDD_Summary!$D$4:$D$369,"&gt;="&amp;$D18)</f>
        <v>824.55612305854243</v>
      </c>
      <c r="I18" s="119">
        <f>SUM('Customer Count by Cycle'!G115)</f>
        <v>2743</v>
      </c>
      <c r="J18" s="3">
        <f>SUM('Customer Count by Cycle'!H115)</f>
        <v>441</v>
      </c>
    </row>
    <row r="19" spans="1:10" x14ac:dyDescent="0.25">
      <c r="D19" s="32"/>
      <c r="E19" s="32"/>
      <c r="G19" s="47"/>
      <c r="H19" s="33"/>
      <c r="I19" s="119"/>
      <c r="J19" s="3"/>
    </row>
    <row r="20" spans="1:10" x14ac:dyDescent="0.25">
      <c r="A20" s="159" t="str">
        <f>'CSWNA Summary'!A13&amp;" Billing Cycle"</f>
        <v>December 2020 Billing Cycle</v>
      </c>
      <c r="B20" s="67"/>
      <c r="C20" s="113"/>
      <c r="D20" s="32"/>
      <c r="E20" s="32"/>
      <c r="G20" s="47"/>
      <c r="H20" s="33"/>
      <c r="I20" s="119"/>
      <c r="J20" s="3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Reading_WEMO'!$B$4:$Z$10,7,FALSE)</f>
        <v>44160</v>
      </c>
      <c r="E21" s="32">
        <f>HLOOKUP(IF(C21=12,(1)&amp;(B21+1),C21&amp;B21),'Meter Reading_NEMO'!$B$4:$Z$10,7,FALSE)</f>
        <v>44196</v>
      </c>
      <c r="F21" s="31">
        <f>E21-D21</f>
        <v>36</v>
      </c>
      <c r="G21" s="33">
        <f>SUMIFS(HDD_Summary!$E$4:$E$369,HDD_Summary!$D$4:$D$369,"&lt;"&amp;$E21,HDD_Summary!$D$4:$D$369,"&gt;="&amp;$D21)</f>
        <v>1159.943</v>
      </c>
      <c r="H21" s="33">
        <f>SUMIFS(HDD_Summary!$F$4:$F$369,HDD_Summary!$D$4:$D$369,"&lt;"&amp;$E21,HDD_Summary!$D$4:$D$369,"&gt;="&amp;$D21)</f>
        <v>1331.6784886499404</v>
      </c>
      <c r="I21" s="119">
        <f>SUM('Customer Count by Cycle'!G137)</f>
        <v>2756</v>
      </c>
      <c r="J21" s="3">
        <f>SUM('Customer Count by Cycle'!H137)</f>
        <v>442</v>
      </c>
    </row>
    <row r="22" spans="1:10" x14ac:dyDescent="0.25">
      <c r="D22" s="32"/>
      <c r="E22" s="32"/>
      <c r="G22" s="47"/>
      <c r="H22" s="33"/>
      <c r="I22" s="53"/>
      <c r="J22" s="3"/>
    </row>
  </sheetData>
  <pageMargins left="0.45" right="0.45" top="0.75" bottom="0.5" header="0.3" footer="0.3"/>
  <pageSetup scale="65" orientation="landscape" horizontalDpi="72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19</v>
      </c>
      <c r="J1" s="50" t="s">
        <v>19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101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11"/>
      <c r="I4" s="3"/>
      <c r="J4" s="3"/>
    </row>
    <row r="5" spans="1:15" customFormat="1" ht="14.45" customHeight="1" x14ac:dyDescent="0.25">
      <c r="A5" s="159" t="str">
        <f>'CSWNA Summary'!A8&amp;" Billing Cycle"</f>
        <v>July 2020 Billing Cycle</v>
      </c>
      <c r="B5" s="67"/>
      <c r="C5" s="113"/>
      <c r="I5" s="3"/>
      <c r="J5" s="3"/>
    </row>
    <row r="6" spans="1:15" x14ac:dyDescent="0.25">
      <c r="A6" s="212" t="s">
        <v>144</v>
      </c>
      <c r="B6" s="48">
        <v>2020</v>
      </c>
      <c r="C6" s="48">
        <v>7</v>
      </c>
      <c r="D6" s="32">
        <f>HLOOKUP((C6)&amp;B6,'Meter Reading_WEMO'!$B$4:$Z$10,7,FALSE)</f>
        <v>44007</v>
      </c>
      <c r="E6" s="32">
        <f>HLOOKUP(C6+1&amp;B6,'Meter Reading_WEMO'!$B$4:$Z$10,7,FALSE)</f>
        <v>44038</v>
      </c>
      <c r="F6" s="31">
        <f>E6-D6</f>
        <v>31</v>
      </c>
      <c r="G6" s="33">
        <f>SUMIFS(HDD_Summary!$J$4:$J$369,HDD_Summary!$D$4:$D$369,"&lt;"&amp;$E6,HDD_Summary!$D$4:$D$369,"&gt;="&amp;$D6)</f>
        <v>0</v>
      </c>
      <c r="H6" s="33">
        <f>SUMIFS(HDD_Summary!$K$4:$K$369,HDD_Summary!$D$4:$D$369,"&lt;"&amp;$E6,HDD_Summary!$D$4:$D$369,"&gt;="&amp;$D6)</f>
        <v>9.3333333333333712E-2</v>
      </c>
      <c r="I6" s="141">
        <f>SUM('Customer Count by Cycle'!I27)</f>
        <v>22707</v>
      </c>
      <c r="J6" s="3">
        <f>SUM('Customer Count by Cycle'!J27)</f>
        <v>2717</v>
      </c>
    </row>
    <row r="7" spans="1:15" customFormat="1" x14ac:dyDescent="0.25">
      <c r="A7" s="48"/>
      <c r="B7" s="48"/>
      <c r="C7" s="48"/>
      <c r="D7" s="32"/>
      <c r="E7" s="32"/>
      <c r="F7" s="31"/>
      <c r="G7" s="47"/>
      <c r="H7" s="33"/>
      <c r="I7" s="141"/>
      <c r="J7" s="3"/>
    </row>
    <row r="8" spans="1:15" customFormat="1" x14ac:dyDescent="0.25">
      <c r="A8" s="159" t="str">
        <f>'CSWNA Summary'!A9&amp;" Billing Cycle"</f>
        <v>August 2020 Billing Cycle</v>
      </c>
      <c r="B8" s="67"/>
      <c r="C8" s="113"/>
      <c r="D8" s="32"/>
      <c r="E8" s="32"/>
      <c r="F8" s="31"/>
      <c r="G8" s="47"/>
      <c r="H8" s="33"/>
      <c r="I8" s="141"/>
      <c r="J8" s="3"/>
    </row>
    <row r="9" spans="1:15" customFormat="1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Reading_WEMO'!$B$4:$Z$10,7,FALSE)</f>
        <v>44038</v>
      </c>
      <c r="E9" s="32">
        <f>HLOOKUP(C9+1&amp;B9,'Meter Reading_WEMO'!$B$4:$Z$10,7,FALSE)</f>
        <v>44069</v>
      </c>
      <c r="F9" s="31">
        <f>E9-D9</f>
        <v>31</v>
      </c>
      <c r="G9" s="33">
        <f>SUMIFS(HDD_Summary!$J$4:$J$369,HDD_Summary!$D$4:$D$369,"&lt;"&amp;$E9,HDD_Summary!$D$4:$D$369,"&gt;="&amp;$D9)</f>
        <v>0</v>
      </c>
      <c r="H9" s="33">
        <f>SUMIFS(HDD_Summary!$K$4:$K$369,HDD_Summary!$D$4:$D$369,"&lt;"&amp;$E9,HDD_Summary!$D$4:$D$369,"&gt;="&amp;$D9)</f>
        <v>0.85489247311827943</v>
      </c>
      <c r="I9" s="141">
        <f>SUM('Customer Count by Cycle'!I49)</f>
        <v>22444</v>
      </c>
      <c r="J9" s="3">
        <f>SUM('Customer Count by Cycle'!J49)</f>
        <v>2675</v>
      </c>
    </row>
    <row r="10" spans="1:15" customFormat="1" x14ac:dyDescent="0.25">
      <c r="A10" s="48"/>
      <c r="B10" s="48"/>
      <c r="C10" s="48"/>
      <c r="D10" s="32"/>
      <c r="E10" s="32"/>
      <c r="F10" s="31"/>
      <c r="G10" s="47"/>
      <c r="H10" s="33"/>
      <c r="I10" s="141"/>
      <c r="J10" s="3"/>
    </row>
    <row r="11" spans="1:15" customFormat="1" x14ac:dyDescent="0.25">
      <c r="A11" s="159" t="str">
        <f>'CSWNA Summary'!A10&amp;" Billing Cycle"</f>
        <v>September 2020 Billing Cycle</v>
      </c>
      <c r="B11" s="67"/>
      <c r="C11" s="113"/>
      <c r="D11" s="32"/>
      <c r="E11" s="32"/>
      <c r="F11" s="31"/>
      <c r="G11" s="47"/>
      <c r="H11" s="33"/>
      <c r="I11" s="141"/>
      <c r="J11" s="3"/>
    </row>
    <row r="12" spans="1:15" customFormat="1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Reading_WEMO'!$B$4:$Z$10,7,FALSE)</f>
        <v>44069</v>
      </c>
      <c r="E12" s="32">
        <f>HLOOKUP(C12+1&amp;B12,'Meter Reading_WEMO'!$B$4:$Z$10,7,FALSE)</f>
        <v>44099</v>
      </c>
      <c r="F12" s="31">
        <f>E12-D12</f>
        <v>30</v>
      </c>
      <c r="G12" s="33">
        <f>SUMIFS(HDD_Summary!$J$4:$J$369,HDD_Summary!$D$4:$D$369,"&lt;"&amp;$E12,HDD_Summary!$D$4:$D$369,"&gt;="&amp;$D12)</f>
        <v>21.5</v>
      </c>
      <c r="H12" s="33">
        <f>SUMIFS(HDD_Summary!$K$4:$K$369,HDD_Summary!$D$4:$D$369,"&lt;"&amp;$E12,HDD_Summary!$D$4:$D$369,"&gt;="&amp;$D12)</f>
        <v>22.008148148148145</v>
      </c>
      <c r="I12" s="141">
        <f>SUM('Customer Count by Cycle'!I71)</f>
        <v>22227</v>
      </c>
      <c r="J12" s="3">
        <f>SUM('Customer Count by Cycle'!J71)</f>
        <v>2663</v>
      </c>
    </row>
    <row r="13" spans="1:15" customFormat="1" x14ac:dyDescent="0.25">
      <c r="A13" s="48"/>
      <c r="B13" s="48"/>
      <c r="C13" s="48"/>
      <c r="D13" s="32"/>
      <c r="E13" s="32"/>
      <c r="F13" s="31"/>
      <c r="G13" s="47"/>
      <c r="H13" s="33"/>
      <c r="I13" s="141"/>
      <c r="J13" s="3"/>
    </row>
    <row r="14" spans="1:15" customFormat="1" x14ac:dyDescent="0.25">
      <c r="A14" s="159" t="str">
        <f>'CSWNA Summary'!A11&amp;" Billing Cycle"</f>
        <v>October 2020 Billing Cycle</v>
      </c>
      <c r="B14" s="67"/>
      <c r="C14" s="113"/>
      <c r="D14" s="32"/>
      <c r="E14" s="32"/>
      <c r="F14" s="31"/>
      <c r="G14" s="47"/>
      <c r="H14" s="33"/>
      <c r="I14" s="141"/>
      <c r="J14" s="3"/>
    </row>
    <row r="15" spans="1:15" customFormat="1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Reading_WEMO'!$B$4:$Z$10,7,FALSE)</f>
        <v>44099</v>
      </c>
      <c r="E15" s="32">
        <f>HLOOKUP(C15+1&amp;B15,'Meter Reading_WEMO'!$B$4:$Z$10,7,FALSE)</f>
        <v>44130</v>
      </c>
      <c r="F15" s="31">
        <f>E15-D15</f>
        <v>31</v>
      </c>
      <c r="G15" s="33">
        <f>SUMIFS(HDD_Summary!$J$4:$J$369,HDD_Summary!$D$4:$D$369,"&lt;"&amp;$E15,HDD_Summary!$D$4:$D$369,"&gt;="&amp;$D15)</f>
        <v>206.5</v>
      </c>
      <c r="H15" s="33">
        <f>SUMIFS(HDD_Summary!$K$4:$K$369,HDD_Summary!$D$4:$D$369,"&lt;"&amp;$E15,HDD_Summary!$D$4:$D$369,"&gt;="&amp;$D15)</f>
        <v>172.13802270011948</v>
      </c>
      <c r="I15" s="141">
        <f>SUM('Customer Count by Cycle'!I93)</f>
        <v>22238</v>
      </c>
      <c r="J15" s="3">
        <f>SUM('Customer Count by Cycle'!J93)</f>
        <v>2669</v>
      </c>
    </row>
    <row r="16" spans="1:15" customFormat="1" x14ac:dyDescent="0.25">
      <c r="A16" s="48"/>
      <c r="B16" s="48"/>
      <c r="C16" s="48"/>
      <c r="D16" s="32"/>
      <c r="E16" s="32"/>
      <c r="F16" s="31"/>
      <c r="G16" s="47"/>
      <c r="H16" s="33"/>
      <c r="I16" s="141"/>
      <c r="J16" s="3"/>
    </row>
    <row r="17" spans="1:10" customFormat="1" x14ac:dyDescent="0.25">
      <c r="A17" s="159" t="str">
        <f>'CSWNA Summary'!A12&amp;" Billing Cycle"</f>
        <v>November 2020 Billing Cycle</v>
      </c>
      <c r="B17" s="67"/>
      <c r="C17" s="113"/>
      <c r="D17" s="32"/>
      <c r="E17" s="32"/>
      <c r="F17" s="31"/>
      <c r="G17" s="47"/>
      <c r="H17" s="33"/>
      <c r="I17" s="141"/>
      <c r="J17" s="3"/>
    </row>
    <row r="18" spans="1:10" customFormat="1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HLOOKUP((C18)&amp;B18,'Meter Reading_WEMO'!$B$4:$Z$10,7,FALSE)</f>
        <v>44130</v>
      </c>
      <c r="E18" s="32">
        <f>HLOOKUP(C18+1&amp;B18,'Meter Reading_WEMO'!$B$4:$Z$10,7,FALSE)</f>
        <v>44160</v>
      </c>
      <c r="F18" s="31">
        <f>E18-D18</f>
        <v>30</v>
      </c>
      <c r="G18" s="33">
        <f>SUMIFS(HDD_Summary!$J$4:$J$369,HDD_Summary!$D$4:$D$369,"&lt;"&amp;$E18,HDD_Summary!$D$4:$D$369,"&gt;="&amp;$D18)</f>
        <v>431</v>
      </c>
      <c r="H18" s="33">
        <f>SUMIFS(HDD_Summary!$K$4:$K$369,HDD_Summary!$D$4:$D$369,"&lt;"&amp;$E18,HDD_Summary!$D$4:$D$369,"&gt;="&amp;$D18)</f>
        <v>675.91872759856642</v>
      </c>
      <c r="I18" s="141">
        <f>SUM('Customer Count by Cycle'!I115)</f>
        <v>22619</v>
      </c>
      <c r="J18" s="3">
        <f>SUM('Customer Count by Cycle'!J115)</f>
        <v>2712</v>
      </c>
    </row>
    <row r="19" spans="1:10" customFormat="1" x14ac:dyDescent="0.25">
      <c r="A19" s="48"/>
      <c r="B19" s="48"/>
      <c r="C19" s="48"/>
      <c r="D19" s="32"/>
      <c r="E19" s="32"/>
      <c r="F19" s="31"/>
      <c r="G19" s="47"/>
      <c r="H19" s="33"/>
      <c r="I19" s="141"/>
      <c r="J19" s="3"/>
    </row>
    <row r="20" spans="1:10" customFormat="1" x14ac:dyDescent="0.25">
      <c r="A20" s="159" t="str">
        <f>'CSWNA Summary'!A13&amp;" Billing Cycle"</f>
        <v>December 2020 Billing Cycle</v>
      </c>
      <c r="B20" s="67"/>
      <c r="C20" s="113"/>
      <c r="D20" s="32"/>
      <c r="E20" s="32"/>
      <c r="F20" s="31"/>
      <c r="G20" s="47"/>
      <c r="H20" s="33"/>
      <c r="I20" s="141"/>
      <c r="J20" s="3"/>
    </row>
    <row r="21" spans="1:10" customFormat="1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Reading_WEMO'!$B$4:$Z$10,7,FALSE)</f>
        <v>44160</v>
      </c>
      <c r="E21" s="32">
        <f>HLOOKUP(IF(C21=12,(1)&amp;(B21+1),C21&amp;B21),'Meter Reading_NEMO'!$B$4:$Z$10,7,FALSE)</f>
        <v>44196</v>
      </c>
      <c r="F21" s="31">
        <f>E21-D21</f>
        <v>36</v>
      </c>
      <c r="G21" s="33">
        <f>SUMIFS(HDD_Summary!$J$4:$J$369,HDD_Summary!$D$4:$D$369,"&lt;"&amp;$E21,HDD_Summary!$D$4:$D$369,"&gt;="&amp;$D21)</f>
        <v>922</v>
      </c>
      <c r="H21" s="33">
        <f>SUMIFS(HDD_Summary!$K$4:$K$369,HDD_Summary!$D$4:$D$369,"&lt;"&amp;$E21,HDD_Summary!$D$4:$D$369,"&gt;="&amp;$D21)</f>
        <v>1025.9035304659499</v>
      </c>
      <c r="I21" s="141">
        <f>SUM('Customer Count by Cycle'!I137)</f>
        <v>22757</v>
      </c>
      <c r="J21" s="3">
        <f>SUM('Customer Count by Cycle'!J137)</f>
        <v>2752</v>
      </c>
    </row>
    <row r="22" spans="1:10" customFormat="1" x14ac:dyDescent="0.25">
      <c r="A22" s="48"/>
      <c r="B22" s="48"/>
      <c r="C22" s="48"/>
      <c r="D22" s="32"/>
      <c r="E22" s="32"/>
      <c r="F22" s="31"/>
      <c r="G22" s="47"/>
      <c r="H22" s="33"/>
      <c r="I22" s="53"/>
      <c r="J22" s="3"/>
    </row>
  </sheetData>
  <pageMargins left="0.45" right="0.45" top="0.75" bottom="0.5" header="0.3" footer="0.3"/>
  <pageSetup scale="65" orientation="landscape" horizontalDpi="72" verticalDpi="72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P369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1" sqref="M1:P1048576"/>
    </sheetView>
  </sheetViews>
  <sheetFormatPr defaultRowHeight="15" x14ac:dyDescent="0.25"/>
  <cols>
    <col min="1" max="2" width="9.140625" style="46"/>
    <col min="3" max="3" width="8.7109375" style="46"/>
    <col min="4" max="4" width="12.7109375" style="66" customWidth="1"/>
    <col min="5" max="6" width="13.5703125" style="66" customWidth="1"/>
    <col min="7" max="9" width="2.85546875" customWidth="1"/>
    <col min="10" max="11" width="13.5703125" style="4" customWidth="1"/>
    <col min="12" max="12" width="13.5703125" customWidth="1"/>
    <col min="13" max="14" width="10.5703125" customWidth="1"/>
    <col min="16" max="20" width="10.5703125" customWidth="1"/>
  </cols>
  <sheetData>
    <row r="1" spans="1:16" x14ac:dyDescent="0.25">
      <c r="A1" s="82"/>
      <c r="B1" s="83"/>
      <c r="C1" s="83"/>
      <c r="D1" s="84"/>
      <c r="E1" s="5" t="s">
        <v>267</v>
      </c>
      <c r="F1" s="90"/>
      <c r="H1" s="49"/>
      <c r="J1" s="5" t="s">
        <v>103</v>
      </c>
      <c r="K1" s="90"/>
    </row>
    <row r="2" spans="1:16" x14ac:dyDescent="0.25">
      <c r="A2" s="81"/>
      <c r="B2" s="79"/>
      <c r="C2" s="79"/>
      <c r="D2" s="80"/>
      <c r="E2" s="76" t="s">
        <v>99</v>
      </c>
      <c r="F2" s="9" t="s">
        <v>98</v>
      </c>
      <c r="H2" s="49"/>
      <c r="J2" s="76" t="s">
        <v>99</v>
      </c>
      <c r="K2" s="9" t="s">
        <v>98</v>
      </c>
    </row>
    <row r="3" spans="1:16" x14ac:dyDescent="0.25">
      <c r="A3" s="85" t="s">
        <v>41</v>
      </c>
      <c r="B3" s="86" t="s">
        <v>42</v>
      </c>
      <c r="C3" s="86" t="s">
        <v>102</v>
      </c>
      <c r="D3" s="87" t="s">
        <v>58</v>
      </c>
      <c r="E3" s="77" t="s">
        <v>100</v>
      </c>
      <c r="F3" s="78" t="s">
        <v>100</v>
      </c>
      <c r="H3" s="49"/>
      <c r="J3" s="77" t="s">
        <v>100</v>
      </c>
      <c r="K3" s="78" t="s">
        <v>100</v>
      </c>
    </row>
    <row r="4" spans="1:16" x14ac:dyDescent="0.25">
      <c r="A4" s="46">
        <f>MONTH(D4)</f>
        <v>2</v>
      </c>
      <c r="B4" s="46">
        <f>+DAY(D4)</f>
        <v>1</v>
      </c>
      <c r="C4" s="46">
        <f>YEAR(D4)</f>
        <v>2020</v>
      </c>
      <c r="D4" s="75">
        <v>43862</v>
      </c>
      <c r="E4" s="74">
        <f>IFERROR(VLOOKUP($D4,Actual_Kirk_HDD!$A$4:$F$471,6,FALSE),0)</f>
        <v>33.273600000000002</v>
      </c>
      <c r="F4" s="74">
        <f>IFERROR(VLOOKUP($A4&amp;$B4,'Staff Ranked NHDD'!$C$8:$F$374,2,FALSE),0)</f>
        <v>32.132516420361256</v>
      </c>
      <c r="H4" s="49"/>
      <c r="J4" s="74">
        <f>IFERROR(VLOOKUP($D4,Actual_CGI_HDD!$A$9:$E$532,5),0)</f>
        <v>22.5</v>
      </c>
      <c r="K4" s="74">
        <f>IFERROR(VLOOKUP($A4&amp;$B4,'Staff Ranked NHDD'!$C$8:$F$374,4,FALSE),0)</f>
        <v>26.524975369458119</v>
      </c>
      <c r="M4" s="3"/>
      <c r="N4" s="3"/>
      <c r="O4" s="72"/>
      <c r="P4" s="3"/>
    </row>
    <row r="5" spans="1:16" x14ac:dyDescent="0.25">
      <c r="A5" s="110">
        <f>MONTH(D5)</f>
        <v>2</v>
      </c>
      <c r="B5" s="110">
        <f>+DAY(D5)</f>
        <v>2</v>
      </c>
      <c r="C5" s="110">
        <f>YEAR(D5)</f>
        <v>2020</v>
      </c>
      <c r="D5" s="75">
        <f>D4+1</f>
        <v>43863</v>
      </c>
      <c r="E5" s="284">
        <f>IFERROR(VLOOKUP($D5,Actual_Kirk_HDD!$A$4:$F$471,6,FALSE),0)</f>
        <v>28.0746</v>
      </c>
      <c r="F5" s="284">
        <f>IFERROR(VLOOKUP($A5&amp;$B5,'Staff Ranked NHDD'!$C$8:$F$374,2,FALSE),0)</f>
        <v>24.963612479474556</v>
      </c>
      <c r="H5" s="49"/>
      <c r="J5" s="74">
        <f>IFERROR(VLOOKUP($D5,Actual_CGI_HDD!$A$9:$E$532,5),0)</f>
        <v>14.5</v>
      </c>
      <c r="K5" s="284">
        <f>IFERROR(VLOOKUP($A5&amp;$B5,'Staff Ranked NHDD'!$C$8:$F$374,4,FALSE),0)</f>
        <v>19.748862889983577</v>
      </c>
      <c r="M5" s="279"/>
      <c r="N5" s="279"/>
      <c r="O5" s="72"/>
      <c r="P5" s="279"/>
    </row>
    <row r="6" spans="1:16" x14ac:dyDescent="0.25">
      <c r="A6" s="110">
        <f t="shared" ref="A6:A69" si="0">MONTH(D6)</f>
        <v>2</v>
      </c>
      <c r="B6" s="110">
        <f t="shared" ref="B6:B69" si="1">+DAY(D6)</f>
        <v>3</v>
      </c>
      <c r="C6" s="110">
        <f t="shared" ref="C6:C69" si="2">YEAR(D6)</f>
        <v>2020</v>
      </c>
      <c r="D6" s="75">
        <f t="shared" ref="D6:D69" si="3">D5+1</f>
        <v>43864</v>
      </c>
      <c r="E6" s="284">
        <f>IFERROR(VLOOKUP($D6,Actual_Kirk_HDD!$A$4:$F$471,6,FALSE),0)</f>
        <v>20.2761</v>
      </c>
      <c r="F6" s="284">
        <f>IFERROR(VLOOKUP($A6&amp;$B6,'Staff Ranked NHDD'!$C$8:$F$374,2,FALSE),0)</f>
        <v>17.022586206896555</v>
      </c>
      <c r="H6" s="49"/>
      <c r="J6" s="74">
        <f>IFERROR(VLOOKUP($D6,Actual_CGI_HDD!$A$9:$E$532,5),0)</f>
        <v>10.5</v>
      </c>
      <c r="K6" s="284">
        <f>IFERROR(VLOOKUP($A6&amp;$B6,'Staff Ranked NHDD'!$C$8:$F$374,4,FALSE),0)</f>
        <v>11.233452380952381</v>
      </c>
      <c r="M6" s="279"/>
      <c r="N6" s="279"/>
      <c r="O6" s="72"/>
      <c r="P6" s="279"/>
    </row>
    <row r="7" spans="1:16" x14ac:dyDescent="0.25">
      <c r="A7" s="110">
        <f t="shared" si="0"/>
        <v>2</v>
      </c>
      <c r="B7" s="110">
        <f t="shared" si="1"/>
        <v>4</v>
      </c>
      <c r="C7" s="110">
        <f t="shared" si="2"/>
        <v>2020</v>
      </c>
      <c r="D7" s="75">
        <f t="shared" si="3"/>
        <v>43865</v>
      </c>
      <c r="E7" s="284">
        <f>IFERROR(VLOOKUP($D7,Actual_Kirk_HDD!$A$4:$F$471,6,FALSE),0)</f>
        <v>28.0746</v>
      </c>
      <c r="F7" s="284">
        <f>IFERROR(VLOOKUP($A7&amp;$B7,'Staff Ranked NHDD'!$C$8:$F$374,2,FALSE),0)</f>
        <v>23.466264367816102</v>
      </c>
      <c r="H7" s="49"/>
      <c r="J7" s="74">
        <f>IFERROR(VLOOKUP($D7,Actual_CGI_HDD!$A$9:$E$532,5),0)</f>
        <v>15.5</v>
      </c>
      <c r="K7" s="284">
        <f>IFERROR(VLOOKUP($A7&amp;$B7,'Staff Ranked NHDD'!$C$8:$F$374,4,FALSE),0)</f>
        <v>15.033230706075534</v>
      </c>
      <c r="M7" s="279"/>
      <c r="N7" s="279"/>
      <c r="O7" s="72"/>
      <c r="P7" s="279"/>
    </row>
    <row r="8" spans="1:16" x14ac:dyDescent="0.25">
      <c r="A8" s="110">
        <f t="shared" si="0"/>
        <v>2</v>
      </c>
      <c r="B8" s="110">
        <f t="shared" si="1"/>
        <v>5</v>
      </c>
      <c r="C8" s="110">
        <f t="shared" si="2"/>
        <v>2020</v>
      </c>
      <c r="D8" s="75">
        <f t="shared" si="3"/>
        <v>43866</v>
      </c>
      <c r="E8" s="284">
        <f>IFERROR(VLOOKUP($D8,Actual_Kirk_HDD!$A$4:$F$471,6,FALSE),0)</f>
        <v>38.4726</v>
      </c>
      <c r="F8" s="284">
        <f>IFERROR(VLOOKUP($A8&amp;$B8,'Staff Ranked NHDD'!$C$8:$F$374,2,FALSE),0)</f>
        <v>41.50905172413794</v>
      </c>
      <c r="H8" s="49"/>
      <c r="J8" s="74">
        <f>IFERROR(VLOOKUP($D8,Actual_CGI_HDD!$A$9:$E$532,5),0)</f>
        <v>28.5</v>
      </c>
      <c r="K8" s="284">
        <f>IFERROR(VLOOKUP($A8&amp;$B8,'Staff Ranked NHDD'!$C$8:$F$374,4,FALSE),0)</f>
        <v>30.040365353037767</v>
      </c>
      <c r="M8" s="279"/>
      <c r="N8" s="279"/>
      <c r="O8" s="72"/>
      <c r="P8" s="279"/>
    </row>
    <row r="9" spans="1:16" x14ac:dyDescent="0.25">
      <c r="A9" s="110">
        <f t="shared" si="0"/>
        <v>2</v>
      </c>
      <c r="B9" s="110">
        <f t="shared" si="1"/>
        <v>6</v>
      </c>
      <c r="C9" s="110">
        <f t="shared" si="2"/>
        <v>2020</v>
      </c>
      <c r="D9" s="75">
        <f t="shared" si="3"/>
        <v>43867</v>
      </c>
      <c r="E9" s="284">
        <f>IFERROR(VLOOKUP($D9,Actual_Kirk_HDD!$A$4:$F$471,6,FALSE),0)</f>
        <v>45.231300000000005</v>
      </c>
      <c r="F9" s="284">
        <f>IFERROR(VLOOKUP($A9&amp;$B9,'Staff Ranked NHDD'!$C$8:$F$374,2,FALSE),0)</f>
        <v>48.819934318555013</v>
      </c>
      <c r="H9" s="49"/>
      <c r="J9" s="74">
        <f>IFERROR(VLOOKUP($D9,Actual_CGI_HDD!$A$9:$E$532,5),0)</f>
        <v>32.5</v>
      </c>
      <c r="K9" s="284">
        <f>IFERROR(VLOOKUP($A9&amp;$B9,'Staff Ranked NHDD'!$C$8:$F$374,4,FALSE),0)</f>
        <v>39.27231116584565</v>
      </c>
      <c r="M9" s="279"/>
      <c r="N9" s="279"/>
      <c r="O9" s="72"/>
      <c r="P9" s="279"/>
    </row>
    <row r="10" spans="1:16" x14ac:dyDescent="0.25">
      <c r="A10" s="110">
        <f t="shared" si="0"/>
        <v>2</v>
      </c>
      <c r="B10" s="110">
        <f t="shared" si="1"/>
        <v>7</v>
      </c>
      <c r="C10" s="110">
        <f t="shared" si="2"/>
        <v>2020</v>
      </c>
      <c r="D10" s="75">
        <f t="shared" si="3"/>
        <v>43868</v>
      </c>
      <c r="E10" s="284">
        <f>IFERROR(VLOOKUP($D10,Actual_Kirk_HDD!$A$4:$F$471,6,FALSE),0)</f>
        <v>41.072099999999999</v>
      </c>
      <c r="F10" s="284">
        <f>IFERROR(VLOOKUP($A10&amp;$B10,'Staff Ranked NHDD'!$C$8:$F$374,2,FALSE),0)</f>
        <v>44.8792446633826</v>
      </c>
      <c r="H10" s="49"/>
      <c r="J10" s="74">
        <f>IFERROR(VLOOKUP($D10,Actual_CGI_HDD!$A$9:$E$532,5),0)</f>
        <v>29.5</v>
      </c>
      <c r="K10" s="284">
        <f>IFERROR(VLOOKUP($A10&amp;$B10,'Staff Ranked NHDD'!$C$8:$F$374,4,FALSE),0)</f>
        <v>35.55954844006569</v>
      </c>
      <c r="M10" s="279"/>
      <c r="N10" s="279"/>
      <c r="O10" s="72"/>
      <c r="P10" s="279"/>
    </row>
    <row r="11" spans="1:16" x14ac:dyDescent="0.25">
      <c r="A11" s="110">
        <f t="shared" si="0"/>
        <v>2</v>
      </c>
      <c r="B11" s="110">
        <f t="shared" si="1"/>
        <v>8</v>
      </c>
      <c r="C11" s="110">
        <f t="shared" si="2"/>
        <v>2020</v>
      </c>
      <c r="D11" s="75">
        <f t="shared" si="3"/>
        <v>43869</v>
      </c>
      <c r="E11" s="284">
        <f>IFERROR(VLOOKUP($D11,Actual_Kirk_HDD!$A$4:$F$471,6,FALSE),0)</f>
        <v>39.5124</v>
      </c>
      <c r="F11" s="284">
        <f>IFERROR(VLOOKUP($A11&amp;$B11,'Staff Ranked NHDD'!$C$8:$F$374,2,FALSE),0)</f>
        <v>42.894445812807881</v>
      </c>
      <c r="H11" s="49"/>
      <c r="J11" s="74">
        <f>IFERROR(VLOOKUP($D11,Actual_CGI_HDD!$A$9:$E$532,5),0)</f>
        <v>27.5</v>
      </c>
      <c r="K11" s="284">
        <f>IFERROR(VLOOKUP($A11&amp;$B11,'Staff Ranked NHDD'!$C$8:$F$374,4,FALSE),0)</f>
        <v>28.941728243021352</v>
      </c>
      <c r="M11" s="279"/>
      <c r="N11" s="279"/>
      <c r="O11" s="72"/>
      <c r="P11" s="279"/>
    </row>
    <row r="12" spans="1:16" x14ac:dyDescent="0.25">
      <c r="A12" s="110">
        <f t="shared" si="0"/>
        <v>2</v>
      </c>
      <c r="B12" s="110">
        <f t="shared" si="1"/>
        <v>9</v>
      </c>
      <c r="C12" s="110">
        <f t="shared" si="2"/>
        <v>2020</v>
      </c>
      <c r="D12" s="75">
        <f t="shared" si="3"/>
        <v>43870</v>
      </c>
      <c r="E12" s="284">
        <f>IFERROR(VLOOKUP($D12,Actual_Kirk_HDD!$A$4:$F$471,6,FALSE),0)</f>
        <v>35.873100000000001</v>
      </c>
      <c r="F12" s="284">
        <f>IFERROR(VLOOKUP($A12&amp;$B12,'Staff Ranked NHDD'!$C$8:$F$374,2,FALSE),0)</f>
        <v>37.866009852216749</v>
      </c>
      <c r="H12" s="49"/>
      <c r="J12" s="74">
        <f>IFERROR(VLOOKUP($D12,Actual_CGI_HDD!$A$9:$E$532,5),0)</f>
        <v>17</v>
      </c>
      <c r="K12" s="284">
        <f>IFERROR(VLOOKUP($A12&amp;$B12,'Staff Ranked NHDD'!$C$8:$F$374,4,FALSE),0)</f>
        <v>21.911502463054187</v>
      </c>
      <c r="M12" s="279"/>
      <c r="N12" s="279"/>
      <c r="O12" s="72"/>
      <c r="P12" s="279"/>
    </row>
    <row r="13" spans="1:16" x14ac:dyDescent="0.25">
      <c r="A13" s="110">
        <f t="shared" si="0"/>
        <v>2</v>
      </c>
      <c r="B13" s="110">
        <f t="shared" si="1"/>
        <v>10</v>
      </c>
      <c r="C13" s="110">
        <f t="shared" si="2"/>
        <v>2020</v>
      </c>
      <c r="D13" s="75">
        <f t="shared" si="3"/>
        <v>43871</v>
      </c>
      <c r="E13" s="284">
        <f>IFERROR(VLOOKUP($D13,Actual_Kirk_HDD!$A$4:$F$471,6,FALSE),0)</f>
        <v>29.114400000000003</v>
      </c>
      <c r="F13" s="284">
        <f>IFERROR(VLOOKUP($A13&amp;$B13,'Staff Ranked NHDD'!$C$8:$F$374,2,FALSE),0)</f>
        <v>27.744831691297215</v>
      </c>
      <c r="H13" s="49"/>
      <c r="J13" s="74">
        <f>IFERROR(VLOOKUP($D13,Actual_CGI_HDD!$A$9:$E$532,5),0)</f>
        <v>19</v>
      </c>
      <c r="K13" s="284">
        <f>IFERROR(VLOOKUP($A13&amp;$B13,'Staff Ranked NHDD'!$C$8:$F$374,4,FALSE),0)</f>
        <v>24.909798850574706</v>
      </c>
      <c r="M13" s="279"/>
      <c r="N13" s="279"/>
      <c r="O13" s="72"/>
      <c r="P13" s="279"/>
    </row>
    <row r="14" spans="1:16" x14ac:dyDescent="0.25">
      <c r="A14" s="110">
        <f t="shared" si="0"/>
        <v>2</v>
      </c>
      <c r="B14" s="110">
        <f t="shared" si="1"/>
        <v>11</v>
      </c>
      <c r="C14" s="110">
        <f t="shared" si="2"/>
        <v>2020</v>
      </c>
      <c r="D14" s="75">
        <f t="shared" si="3"/>
        <v>43872</v>
      </c>
      <c r="E14" s="284">
        <f>IFERROR(VLOOKUP($D14,Actual_Kirk_HDD!$A$4:$F$471,6,FALSE),0)</f>
        <v>34.313400000000001</v>
      </c>
      <c r="F14" s="284">
        <f>IFERROR(VLOOKUP($A14&amp;$B14,'Staff Ranked NHDD'!$C$8:$F$374,2,FALSE),0)</f>
        <v>35.623895730706067</v>
      </c>
      <c r="H14" s="49"/>
      <c r="J14" s="74">
        <f>IFERROR(VLOOKUP($D14,Actual_CGI_HDD!$A$9:$E$532,5),0)</f>
        <v>26</v>
      </c>
      <c r="K14" s="284">
        <f>IFERROR(VLOOKUP($A14&amp;$B14,'Staff Ranked NHDD'!$C$8:$F$374,4,FALSE),0)</f>
        <v>25.736999178981936</v>
      </c>
      <c r="M14" s="279"/>
      <c r="N14" s="279"/>
      <c r="O14" s="72"/>
      <c r="P14" s="279"/>
    </row>
    <row r="15" spans="1:16" x14ac:dyDescent="0.25">
      <c r="A15" s="110">
        <f t="shared" si="0"/>
        <v>2</v>
      </c>
      <c r="B15" s="110">
        <f t="shared" si="1"/>
        <v>12</v>
      </c>
      <c r="C15" s="110">
        <f t="shared" si="2"/>
        <v>2020</v>
      </c>
      <c r="D15" s="75">
        <f t="shared" si="3"/>
        <v>43873</v>
      </c>
      <c r="E15" s="284">
        <f>IFERROR(VLOOKUP($D15,Actual_Kirk_HDD!$A$4:$F$471,6,FALSE),0)</f>
        <v>31.713900000000002</v>
      </c>
      <c r="F15" s="284">
        <f>IFERROR(VLOOKUP($A15&amp;$B15,'Staff Ranked NHDD'!$C$8:$F$374,2,FALSE),0)</f>
        <v>31.237635467980297</v>
      </c>
      <c r="H15" s="49"/>
      <c r="J15" s="74">
        <f>IFERROR(VLOOKUP($D15,Actual_CGI_HDD!$A$9:$E$532,5),0)</f>
        <v>27.5</v>
      </c>
      <c r="K15" s="284">
        <f>IFERROR(VLOOKUP($A15&amp;$B15,'Staff Ranked NHDD'!$C$8:$F$374,4,FALSE),0)</f>
        <v>34.314749589490972</v>
      </c>
      <c r="M15" s="279"/>
      <c r="N15" s="279"/>
      <c r="O15" s="72"/>
      <c r="P15" s="279"/>
    </row>
    <row r="16" spans="1:16" x14ac:dyDescent="0.25">
      <c r="A16" s="110">
        <f t="shared" si="0"/>
        <v>2</v>
      </c>
      <c r="B16" s="110">
        <f t="shared" si="1"/>
        <v>13</v>
      </c>
      <c r="C16" s="110">
        <f t="shared" si="2"/>
        <v>2020</v>
      </c>
      <c r="D16" s="75">
        <f t="shared" si="3"/>
        <v>43874</v>
      </c>
      <c r="E16" s="284">
        <f>IFERROR(VLOOKUP($D16,Actual_Kirk_HDD!$A$4:$F$471,6,FALSE),0)</f>
        <v>51.470100000000002</v>
      </c>
      <c r="F16" s="284">
        <f>IFERROR(VLOOKUP($A16&amp;$B16,'Staff Ranked NHDD'!$C$8:$F$374,2,FALSE),0)</f>
        <v>53.574663382594416</v>
      </c>
      <c r="H16" s="49"/>
      <c r="J16" s="74">
        <f>IFERROR(VLOOKUP($D16,Actual_CGI_HDD!$A$9:$E$532,5),0)</f>
        <v>37.5</v>
      </c>
      <c r="K16" s="284">
        <f>IFERROR(VLOOKUP($A16&amp;$B16,'Staff Ranked NHDD'!$C$8:$F$374,4,FALSE),0)</f>
        <v>44.926752873563217</v>
      </c>
      <c r="M16" s="279"/>
      <c r="N16" s="279"/>
      <c r="O16" s="72"/>
      <c r="P16" s="279"/>
    </row>
    <row r="17" spans="1:16" x14ac:dyDescent="0.25">
      <c r="A17" s="110">
        <f t="shared" si="0"/>
        <v>2</v>
      </c>
      <c r="B17" s="110">
        <f t="shared" si="1"/>
        <v>14</v>
      </c>
      <c r="C17" s="110">
        <f t="shared" si="2"/>
        <v>2020</v>
      </c>
      <c r="D17" s="75">
        <f t="shared" si="3"/>
        <v>43875</v>
      </c>
      <c r="E17" s="284">
        <f>IFERROR(VLOOKUP($D17,Actual_Kirk_HDD!$A$4:$F$471,6,FALSE),0)</f>
        <v>65.507400000000004</v>
      </c>
      <c r="F17" s="284">
        <f>IFERROR(VLOOKUP($A17&amp;$B17,'Staff Ranked NHDD'!$C$8:$F$374,2,FALSE),0)</f>
        <v>63.242389162561587</v>
      </c>
      <c r="H17" s="49"/>
      <c r="J17" s="74">
        <f>IFERROR(VLOOKUP($D17,Actual_CGI_HDD!$A$9:$E$532,5),0)</f>
        <v>45</v>
      </c>
      <c r="K17" s="284">
        <f>IFERROR(VLOOKUP($A17&amp;$B17,'Staff Ranked NHDD'!$C$8:$F$374,4,FALSE),0)</f>
        <v>52.966867816091948</v>
      </c>
      <c r="M17" s="279"/>
      <c r="N17" s="279"/>
      <c r="O17" s="72"/>
      <c r="P17" s="279"/>
    </row>
    <row r="18" spans="1:16" x14ac:dyDescent="0.25">
      <c r="A18" s="110">
        <f t="shared" si="0"/>
        <v>2</v>
      </c>
      <c r="B18" s="110">
        <f t="shared" si="1"/>
        <v>15</v>
      </c>
      <c r="C18" s="110">
        <f t="shared" si="2"/>
        <v>2020</v>
      </c>
      <c r="D18" s="75">
        <f t="shared" si="3"/>
        <v>43876</v>
      </c>
      <c r="E18" s="284">
        <f>IFERROR(VLOOKUP($D18,Actual_Kirk_HDD!$A$4:$F$471,6,FALSE),0)</f>
        <v>54.589500000000001</v>
      </c>
      <c r="F18" s="284">
        <f>IFERROR(VLOOKUP($A18&amp;$B18,'Staff Ranked NHDD'!$C$8:$F$374,2,FALSE),0)</f>
        <v>57.00799671592776</v>
      </c>
      <c r="H18" s="49"/>
      <c r="J18" s="74">
        <f>IFERROR(VLOOKUP($D18,Actual_CGI_HDD!$A$9:$E$532,5),0)</f>
        <v>31.5</v>
      </c>
      <c r="K18" s="284">
        <f>IFERROR(VLOOKUP($A18&amp;$B18,'Staff Ranked NHDD'!$C$8:$F$374,4,FALSE),0)</f>
        <v>31.14612068965517</v>
      </c>
      <c r="M18" s="279"/>
      <c r="N18" s="279"/>
      <c r="O18" s="72"/>
      <c r="P18" s="279"/>
    </row>
    <row r="19" spans="1:16" x14ac:dyDescent="0.25">
      <c r="A19" s="110">
        <f t="shared" si="0"/>
        <v>2</v>
      </c>
      <c r="B19" s="110">
        <f t="shared" si="1"/>
        <v>16</v>
      </c>
      <c r="C19" s="110">
        <f t="shared" si="2"/>
        <v>2020</v>
      </c>
      <c r="D19" s="75">
        <f t="shared" si="3"/>
        <v>43877</v>
      </c>
      <c r="E19" s="284">
        <f>IFERROR(VLOOKUP($D19,Actual_Kirk_HDD!$A$4:$F$471,6,FALSE),0)</f>
        <v>33.793500000000002</v>
      </c>
      <c r="F19" s="284">
        <f>IFERROR(VLOOKUP($A19&amp;$B19,'Staff Ranked NHDD'!$C$8:$F$374,2,FALSE),0)</f>
        <v>34.460303776683091</v>
      </c>
      <c r="H19" s="49"/>
      <c r="J19" s="74">
        <f>IFERROR(VLOOKUP($D19,Actual_CGI_HDD!$A$9:$E$532,5),0)</f>
        <v>20</v>
      </c>
      <c r="K19" s="284">
        <f>IFERROR(VLOOKUP($A19&amp;$B19,'Staff Ranked NHDD'!$C$8:$F$374,4,FALSE),0)</f>
        <v>27.222405582922821</v>
      </c>
      <c r="M19" s="279"/>
      <c r="N19" s="279"/>
      <c r="O19" s="72"/>
      <c r="P19" s="279"/>
    </row>
    <row r="20" spans="1:16" x14ac:dyDescent="0.25">
      <c r="A20" s="110">
        <f t="shared" si="0"/>
        <v>2</v>
      </c>
      <c r="B20" s="110">
        <f t="shared" si="1"/>
        <v>17</v>
      </c>
      <c r="C20" s="110">
        <f t="shared" si="2"/>
        <v>2020</v>
      </c>
      <c r="D20" s="75">
        <f t="shared" si="3"/>
        <v>43878</v>
      </c>
      <c r="E20" s="284">
        <f>IFERROR(VLOOKUP($D20,Actual_Kirk_HDD!$A$4:$F$471,6,FALSE),0)</f>
        <v>30.674100000000003</v>
      </c>
      <c r="F20" s="284">
        <f>IFERROR(VLOOKUP($A20&amp;$B20,'Staff Ranked NHDD'!$C$8:$F$374,2,FALSE),0)</f>
        <v>28.929610016420369</v>
      </c>
      <c r="H20" s="49"/>
      <c r="J20" s="74">
        <f>IFERROR(VLOOKUP($D20,Actual_CGI_HDD!$A$9:$E$532,5),0)</f>
        <v>15.5</v>
      </c>
      <c r="K20" s="284">
        <f>IFERROR(VLOOKUP($A20&amp;$B20,'Staff Ranked NHDD'!$C$8:$F$374,4,FALSE),0)</f>
        <v>13.371297208538586</v>
      </c>
      <c r="M20" s="279"/>
      <c r="N20" s="279"/>
      <c r="O20" s="72"/>
      <c r="P20" s="279"/>
    </row>
    <row r="21" spans="1:16" x14ac:dyDescent="0.25">
      <c r="A21" s="110">
        <f t="shared" si="0"/>
        <v>2</v>
      </c>
      <c r="B21" s="110">
        <f t="shared" si="1"/>
        <v>18</v>
      </c>
      <c r="C21" s="110">
        <f t="shared" si="2"/>
        <v>2020</v>
      </c>
      <c r="D21" s="75">
        <f t="shared" si="3"/>
        <v>43879</v>
      </c>
      <c r="E21" s="284">
        <f>IFERROR(VLOOKUP($D21,Actual_Kirk_HDD!$A$4:$F$471,6,FALSE),0)</f>
        <v>25.475100000000001</v>
      </c>
      <c r="F21" s="284">
        <f>IFERROR(VLOOKUP($A21&amp;$B21,'Staff Ranked NHDD'!$C$8:$F$374,2,FALSE),0)</f>
        <v>22.007783251231526</v>
      </c>
      <c r="H21" s="49"/>
      <c r="J21" s="74">
        <f>IFERROR(VLOOKUP($D21,Actual_CGI_HDD!$A$9:$E$532,5),0)</f>
        <v>21</v>
      </c>
      <c r="K21" s="284">
        <f>IFERROR(VLOOKUP($A21&amp;$B21,'Staff Ranked NHDD'!$C$8:$F$374,4,FALSE),0)</f>
        <v>23.977027914614116</v>
      </c>
      <c r="M21" s="279"/>
      <c r="N21" s="279"/>
      <c r="O21" s="72"/>
      <c r="P21" s="279"/>
    </row>
    <row r="22" spans="1:16" x14ac:dyDescent="0.25">
      <c r="A22" s="110">
        <f t="shared" si="0"/>
        <v>2</v>
      </c>
      <c r="B22" s="110">
        <f t="shared" si="1"/>
        <v>19</v>
      </c>
      <c r="C22" s="110">
        <f t="shared" si="2"/>
        <v>2020</v>
      </c>
      <c r="D22" s="75">
        <f t="shared" si="3"/>
        <v>43880</v>
      </c>
      <c r="E22" s="284">
        <f>IFERROR(VLOOKUP($D22,Actual_Kirk_HDD!$A$4:$F$471,6,FALSE),0)</f>
        <v>34.833300000000001</v>
      </c>
      <c r="F22" s="284">
        <f>IFERROR(VLOOKUP($A22&amp;$B22,'Staff Ranked NHDD'!$C$8:$F$374,2,FALSE),0)</f>
        <v>36.764934318555007</v>
      </c>
      <c r="H22" s="49"/>
      <c r="J22" s="74">
        <f>IFERROR(VLOOKUP($D22,Actual_CGI_HDD!$A$9:$E$532,5),0)</f>
        <v>26</v>
      </c>
      <c r="K22" s="284">
        <f>IFERROR(VLOOKUP($A22&amp;$B22,'Staff Ranked NHDD'!$C$8:$F$374,4,FALSE),0)</f>
        <v>32.158132183908045</v>
      </c>
      <c r="M22" s="279"/>
      <c r="N22" s="279"/>
      <c r="O22" s="72"/>
      <c r="P22" s="279"/>
    </row>
    <row r="23" spans="1:16" x14ac:dyDescent="0.25">
      <c r="A23" s="110">
        <f t="shared" si="0"/>
        <v>2</v>
      </c>
      <c r="B23" s="110">
        <f t="shared" si="1"/>
        <v>20</v>
      </c>
      <c r="C23" s="110">
        <f t="shared" si="2"/>
        <v>2020</v>
      </c>
      <c r="D23" s="75">
        <f t="shared" si="3"/>
        <v>43881</v>
      </c>
      <c r="E23" s="284">
        <f>IFERROR(VLOOKUP($D23,Actual_Kirk_HDD!$A$4:$F$471,6,FALSE),0)</f>
        <v>41.591999999999999</v>
      </c>
      <c r="F23" s="284">
        <f>IFERROR(VLOOKUP($A23&amp;$B23,'Staff Ranked NHDD'!$C$8:$F$374,2,FALSE),0)</f>
        <v>46.878288177339911</v>
      </c>
      <c r="H23" s="49"/>
      <c r="J23" s="74">
        <f>IFERROR(VLOOKUP($D23,Actual_CGI_HDD!$A$9:$E$532,5),0)</f>
        <v>32</v>
      </c>
      <c r="K23" s="284">
        <f>IFERROR(VLOOKUP($A23&amp;$B23,'Staff Ranked NHDD'!$C$8:$F$374,4,FALSE),0)</f>
        <v>41.328608374384231</v>
      </c>
      <c r="M23" s="279"/>
      <c r="N23" s="279"/>
      <c r="O23" s="72"/>
      <c r="P23" s="279"/>
    </row>
    <row r="24" spans="1:16" x14ac:dyDescent="0.25">
      <c r="A24" s="110">
        <f t="shared" si="0"/>
        <v>2</v>
      </c>
      <c r="B24" s="110">
        <f t="shared" si="1"/>
        <v>21</v>
      </c>
      <c r="C24" s="110">
        <f t="shared" si="2"/>
        <v>2020</v>
      </c>
      <c r="D24" s="75">
        <f t="shared" si="3"/>
        <v>43882</v>
      </c>
      <c r="E24" s="284">
        <f>IFERROR(VLOOKUP($D24,Actual_Kirk_HDD!$A$4:$F$471,6,FALSE),0)</f>
        <v>46.791000000000004</v>
      </c>
      <c r="F24" s="284">
        <f>IFERROR(VLOOKUP($A24&amp;$B24,'Staff Ranked NHDD'!$C$8:$F$374,2,FALSE),0)</f>
        <v>50.76514778325123</v>
      </c>
      <c r="H24" s="49"/>
      <c r="J24" s="74">
        <f>IFERROR(VLOOKUP($D24,Actual_CGI_HDD!$A$9:$E$532,5),0)</f>
        <v>36</v>
      </c>
      <c r="K24" s="284">
        <f>IFERROR(VLOOKUP($A24&amp;$B24,'Staff Ranked NHDD'!$C$8:$F$374,4,FALSE),0)</f>
        <v>37.460541871921187</v>
      </c>
      <c r="M24" s="279"/>
      <c r="N24" s="279"/>
      <c r="O24" s="72"/>
      <c r="P24" s="279"/>
    </row>
    <row r="25" spans="1:16" x14ac:dyDescent="0.25">
      <c r="A25" s="110">
        <f t="shared" si="0"/>
        <v>2</v>
      </c>
      <c r="B25" s="110">
        <f t="shared" si="1"/>
        <v>22</v>
      </c>
      <c r="C25" s="110">
        <f t="shared" si="2"/>
        <v>2020</v>
      </c>
      <c r="D25" s="75">
        <f t="shared" si="3"/>
        <v>43883</v>
      </c>
      <c r="E25" s="284">
        <f>IFERROR(VLOOKUP($D25,Actual_Kirk_HDD!$A$4:$F$471,6,FALSE),0)</f>
        <v>37.9527</v>
      </c>
      <c r="F25" s="284">
        <f>IFERROR(VLOOKUP($A25&amp;$B25,'Staff Ranked NHDD'!$C$8:$F$374,2,FALSE),0)</f>
        <v>40.177586206896557</v>
      </c>
      <c r="H25" s="49"/>
      <c r="J25" s="74">
        <f>IFERROR(VLOOKUP($D25,Actual_CGI_HDD!$A$9:$E$532,5),0)</f>
        <v>31</v>
      </c>
      <c r="K25" s="284">
        <f>IFERROR(VLOOKUP($A25&amp;$B25,'Staff Ranked NHDD'!$C$8:$F$374,4,FALSE),0)</f>
        <v>18.436087848932676</v>
      </c>
      <c r="M25" s="279"/>
      <c r="N25" s="279"/>
      <c r="O25" s="72"/>
      <c r="P25" s="279"/>
    </row>
    <row r="26" spans="1:16" x14ac:dyDescent="0.25">
      <c r="A26" s="110">
        <f t="shared" si="0"/>
        <v>2</v>
      </c>
      <c r="B26" s="110">
        <f t="shared" si="1"/>
        <v>23</v>
      </c>
      <c r="C26" s="110">
        <f t="shared" si="2"/>
        <v>2020</v>
      </c>
      <c r="D26" s="75">
        <f t="shared" si="3"/>
        <v>43884</v>
      </c>
      <c r="E26" s="284">
        <f>IFERROR(VLOOKUP($D26,Actual_Kirk_HDD!$A$4:$F$471,6,FALSE),0)</f>
        <v>25.475100000000001</v>
      </c>
      <c r="F26" s="284">
        <f>IFERROR(VLOOKUP($A26&amp;$B26,'Staff Ranked NHDD'!$C$8:$F$374,2,FALSE),0)</f>
        <v>19.816995073891629</v>
      </c>
      <c r="H26" s="49"/>
      <c r="J26" s="74">
        <f>IFERROR(VLOOKUP($D26,Actual_CGI_HDD!$A$9:$E$532,5),0)</f>
        <v>20</v>
      </c>
      <c r="K26" s="284">
        <f>IFERROR(VLOOKUP($A26&amp;$B26,'Staff Ranked NHDD'!$C$8:$F$374,4,FALSE),0)</f>
        <v>6.2272495894909676</v>
      </c>
      <c r="M26" s="279"/>
      <c r="N26" s="279"/>
      <c r="O26" s="72"/>
      <c r="P26" s="279"/>
    </row>
    <row r="27" spans="1:16" x14ac:dyDescent="0.25">
      <c r="A27" s="110">
        <f t="shared" si="0"/>
        <v>2</v>
      </c>
      <c r="B27" s="110">
        <f t="shared" si="1"/>
        <v>24</v>
      </c>
      <c r="C27" s="110">
        <f t="shared" si="2"/>
        <v>2020</v>
      </c>
      <c r="D27" s="75">
        <f t="shared" si="3"/>
        <v>43885</v>
      </c>
      <c r="E27" s="284">
        <f>IFERROR(VLOOKUP($D27,Actual_Kirk_HDD!$A$4:$F$471,6,FALSE),0)</f>
        <v>17.676600000000001</v>
      </c>
      <c r="F27" s="284">
        <f>IFERROR(VLOOKUP($A27&amp;$B27,'Staff Ranked NHDD'!$C$8:$F$374,2,FALSE),0)</f>
        <v>11.245615763546798</v>
      </c>
      <c r="H27" s="49"/>
      <c r="J27" s="74">
        <f>IFERROR(VLOOKUP($D27,Actual_CGI_HDD!$A$9:$E$532,5),0)</f>
        <v>17.5</v>
      </c>
      <c r="K27" s="284">
        <f>IFERROR(VLOOKUP($A27&amp;$B27,'Staff Ranked NHDD'!$C$8:$F$374,4,FALSE),0)</f>
        <v>16.720726600985223</v>
      </c>
      <c r="M27" s="279"/>
      <c r="N27" s="279"/>
      <c r="O27" s="72"/>
      <c r="P27" s="279"/>
    </row>
    <row r="28" spans="1:16" x14ac:dyDescent="0.25">
      <c r="A28" s="110">
        <f t="shared" si="0"/>
        <v>2</v>
      </c>
      <c r="B28" s="110">
        <f t="shared" si="1"/>
        <v>25</v>
      </c>
      <c r="C28" s="110">
        <f t="shared" si="2"/>
        <v>2020</v>
      </c>
      <c r="D28" s="75">
        <f t="shared" si="3"/>
        <v>43886</v>
      </c>
      <c r="E28" s="284">
        <f>IFERROR(VLOOKUP($D28,Actual_Kirk_HDD!$A$4:$F$471,6,FALSE),0)</f>
        <v>29.114400000000003</v>
      </c>
      <c r="F28" s="284">
        <f>IFERROR(VLOOKUP($A28&amp;$B28,'Staff Ranked NHDD'!$C$8:$F$374,2,FALSE),0)</f>
        <v>26.327175697865357</v>
      </c>
      <c r="H28" s="49"/>
      <c r="J28" s="74">
        <f>IFERROR(VLOOKUP($D28,Actual_CGI_HDD!$A$9:$E$532,5),0)</f>
        <v>21</v>
      </c>
      <c r="K28" s="284">
        <f>IFERROR(VLOOKUP($A28&amp;$B28,'Staff Ranked NHDD'!$C$8:$F$374,4,FALSE),0)</f>
        <v>20.936034482758618</v>
      </c>
      <c r="M28" s="279"/>
      <c r="N28" s="279"/>
      <c r="O28" s="72"/>
      <c r="P28" s="279"/>
    </row>
    <row r="29" spans="1:16" x14ac:dyDescent="0.25">
      <c r="A29" s="110">
        <f t="shared" si="0"/>
        <v>2</v>
      </c>
      <c r="B29" s="110">
        <f t="shared" si="1"/>
        <v>26</v>
      </c>
      <c r="C29" s="110">
        <f t="shared" si="2"/>
        <v>2020</v>
      </c>
      <c r="D29" s="75">
        <f t="shared" si="3"/>
        <v>43887</v>
      </c>
      <c r="E29" s="284">
        <f>IFERROR(VLOOKUP($D29,Actual_Kirk_HDD!$A$4:$F$471,6,FALSE),0)</f>
        <v>31.713900000000002</v>
      </c>
      <c r="F29" s="284">
        <f>IFERROR(VLOOKUP($A29&amp;$B29,'Staff Ranked NHDD'!$C$8:$F$374,2,FALSE),0)</f>
        <v>30.321371100164207</v>
      </c>
      <c r="H29" s="49"/>
      <c r="J29" s="74">
        <f>IFERROR(VLOOKUP($D29,Actual_CGI_HDD!$A$9:$E$532,5),0)</f>
        <v>31</v>
      </c>
      <c r="K29" s="284">
        <f>IFERROR(VLOOKUP($A29&amp;$B29,'Staff Ranked NHDD'!$C$8:$F$374,4,FALSE),0)</f>
        <v>33.104922003284074</v>
      </c>
      <c r="M29" s="279"/>
      <c r="N29" s="279"/>
      <c r="O29" s="72"/>
      <c r="P29" s="279"/>
    </row>
    <row r="30" spans="1:16" x14ac:dyDescent="0.25">
      <c r="A30" s="110">
        <f t="shared" si="0"/>
        <v>2</v>
      </c>
      <c r="B30" s="110">
        <f t="shared" si="1"/>
        <v>27</v>
      </c>
      <c r="C30" s="110">
        <f t="shared" si="2"/>
        <v>2020</v>
      </c>
      <c r="D30" s="75">
        <f t="shared" si="3"/>
        <v>43888</v>
      </c>
      <c r="E30" s="284">
        <f>IFERROR(VLOOKUP($D30,Actual_Kirk_HDD!$A$4:$F$471,6,FALSE),0)</f>
        <v>36.9129</v>
      </c>
      <c r="F30" s="284">
        <f>IFERROR(VLOOKUP($A30&amp;$B30,'Staff Ranked NHDD'!$C$8:$F$374,2,FALSE),0)</f>
        <v>39.049371921182257</v>
      </c>
      <c r="H30" s="49"/>
      <c r="J30" s="74">
        <f>IFERROR(VLOOKUP($D30,Actual_CGI_HDD!$A$9:$E$532,5),0)</f>
        <v>30</v>
      </c>
      <c r="K30" s="284">
        <f>IFERROR(VLOOKUP($A30&amp;$B30,'Staff Ranked NHDD'!$C$8:$F$374,4,FALSE),0)</f>
        <v>28.081613300492609</v>
      </c>
      <c r="M30" s="279"/>
      <c r="N30" s="279"/>
      <c r="O30" s="72"/>
      <c r="P30" s="279"/>
    </row>
    <row r="31" spans="1:16" x14ac:dyDescent="0.25">
      <c r="A31" s="110">
        <f t="shared" si="0"/>
        <v>2</v>
      </c>
      <c r="B31" s="110">
        <f t="shared" si="1"/>
        <v>28</v>
      </c>
      <c r="C31" s="110">
        <f t="shared" si="2"/>
        <v>2020</v>
      </c>
      <c r="D31" s="75">
        <f t="shared" si="3"/>
        <v>43889</v>
      </c>
      <c r="E31" s="284">
        <f>IFERROR(VLOOKUP($D31,Actual_Kirk_HDD!$A$4:$F$471,6,FALSE),0)</f>
        <v>33.793500000000002</v>
      </c>
      <c r="F31" s="284">
        <f>IFERROR(VLOOKUP($A31&amp;$B31,'Staff Ranked NHDD'!$C$8:$F$374,2,FALSE),0)</f>
        <v>33.162060755336611</v>
      </c>
      <c r="H31" s="49"/>
      <c r="J31" s="74">
        <f>IFERROR(VLOOKUP($D31,Actual_CGI_HDD!$A$9:$E$532,5),0)</f>
        <v>24.5</v>
      </c>
      <c r="K31" s="284">
        <f>IFERROR(VLOOKUP($A31&amp;$B31,'Staff Ranked NHDD'!$C$8:$F$374,4,FALSE),0)</f>
        <v>23.007339901477835</v>
      </c>
      <c r="M31" s="279"/>
      <c r="N31" s="279"/>
      <c r="O31" s="72"/>
      <c r="P31" s="279"/>
    </row>
    <row r="32" spans="1:16" x14ac:dyDescent="0.25">
      <c r="A32" s="110">
        <f t="shared" si="0"/>
        <v>2</v>
      </c>
      <c r="B32" s="110">
        <f t="shared" si="1"/>
        <v>29</v>
      </c>
      <c r="C32" s="110">
        <f t="shared" si="2"/>
        <v>2020</v>
      </c>
      <c r="D32" s="75">
        <f t="shared" si="3"/>
        <v>43890</v>
      </c>
      <c r="E32" s="284">
        <f>IFERROR(VLOOKUP($D32,Actual_Kirk_HDD!$A$4:$F$471,6,FALSE),0)</f>
        <v>30.154200000000003</v>
      </c>
      <c r="F32" s="284">
        <f>IFERROR(VLOOKUP($A32&amp;$B32,'Staff Ranked NHDD'!$C$8:$F$374,2,FALSE),0)</f>
        <v>25.788793103448278</v>
      </c>
      <c r="H32" s="49"/>
      <c r="J32" s="74">
        <f>IFERROR(VLOOKUP($D32,Actual_CGI_HDD!$A$9:$E$532,5),0)</f>
        <v>27</v>
      </c>
      <c r="K32" s="284">
        <f>IFERROR(VLOOKUP($A32&amp;$B32,'Staff Ranked NHDD'!$C$8:$F$374,4,FALSE),0)</f>
        <v>17.817887931034484</v>
      </c>
      <c r="M32" s="279"/>
      <c r="N32" s="279"/>
      <c r="O32" s="72"/>
      <c r="P32" s="279"/>
    </row>
    <row r="33" spans="1:16" x14ac:dyDescent="0.25">
      <c r="A33" s="110">
        <f t="shared" si="0"/>
        <v>3</v>
      </c>
      <c r="B33" s="110">
        <f t="shared" si="1"/>
        <v>1</v>
      </c>
      <c r="C33" s="110">
        <f t="shared" si="2"/>
        <v>2020</v>
      </c>
      <c r="D33" s="75">
        <f t="shared" si="3"/>
        <v>43891</v>
      </c>
      <c r="E33" s="284">
        <f>IFERROR(VLOOKUP($D33,Actual_Kirk_HDD!$A$4:$F$471,6,FALSE),0)</f>
        <v>26.229700000000001</v>
      </c>
      <c r="F33" s="284">
        <f>IFERROR(VLOOKUP($A33&amp;$B33,'Staff Ranked NHDD'!$C$8:$F$374,2,FALSE),0)</f>
        <v>30.387473118279569</v>
      </c>
      <c r="H33" s="49"/>
      <c r="J33" s="74">
        <f>IFERROR(VLOOKUP($D33,Actual_CGI_HDD!$A$9:$E$532,5),0)</f>
        <v>13.5</v>
      </c>
      <c r="K33" s="284">
        <f>IFERROR(VLOOKUP($A33&amp;$B33,'Staff Ranked NHDD'!$C$8:$F$374,4,FALSE),0)</f>
        <v>21.700322580645157</v>
      </c>
      <c r="M33" s="279"/>
      <c r="N33" s="279"/>
      <c r="O33" s="72"/>
      <c r="P33" s="279"/>
    </row>
    <row r="34" spans="1:16" x14ac:dyDescent="0.25">
      <c r="A34" s="110">
        <f t="shared" si="0"/>
        <v>3</v>
      </c>
      <c r="B34" s="110">
        <f t="shared" si="1"/>
        <v>2</v>
      </c>
      <c r="C34" s="110">
        <f t="shared" si="2"/>
        <v>2020</v>
      </c>
      <c r="D34" s="75">
        <f t="shared" si="3"/>
        <v>43892</v>
      </c>
      <c r="E34" s="284">
        <f>IFERROR(VLOOKUP($D34,Actual_Kirk_HDD!$A$4:$F$471,6,FALSE),0)</f>
        <v>17.664899999999999</v>
      </c>
      <c r="F34" s="284">
        <f>IFERROR(VLOOKUP($A34&amp;$B34,'Staff Ranked NHDD'!$C$8:$F$374,2,FALSE),0)</f>
        <v>19.96516129032258</v>
      </c>
      <c r="H34" s="49"/>
      <c r="J34" s="74">
        <f>IFERROR(VLOOKUP($D34,Actual_CGI_HDD!$A$9:$E$532,5),0)</f>
        <v>5.5</v>
      </c>
      <c r="K34" s="284">
        <f>IFERROR(VLOOKUP($A34&amp;$B34,'Staff Ranked NHDD'!$C$8:$F$374,4,FALSE),0)</f>
        <v>7.6667921146953404</v>
      </c>
      <c r="M34" s="279"/>
      <c r="N34" s="279"/>
      <c r="O34" s="72"/>
      <c r="P34" s="279"/>
    </row>
    <row r="35" spans="1:16" x14ac:dyDescent="0.25">
      <c r="A35" s="110">
        <f t="shared" si="0"/>
        <v>3</v>
      </c>
      <c r="B35" s="110">
        <f t="shared" si="1"/>
        <v>3</v>
      </c>
      <c r="C35" s="110">
        <f t="shared" si="2"/>
        <v>2020</v>
      </c>
      <c r="D35" s="75">
        <f t="shared" si="3"/>
        <v>43893</v>
      </c>
      <c r="E35" s="284">
        <f>IFERROR(VLOOKUP($D35,Actual_Kirk_HDD!$A$4:$F$471,6,FALSE),0)</f>
        <v>25.694400000000002</v>
      </c>
      <c r="F35" s="284">
        <f>IFERROR(VLOOKUP($A35&amp;$B35,'Staff Ranked NHDD'!$C$8:$F$374,2,FALSE),0)</f>
        <v>29.329032258064515</v>
      </c>
      <c r="H35" s="49"/>
      <c r="J35" s="74">
        <f>IFERROR(VLOOKUP($D35,Actual_CGI_HDD!$A$9:$E$532,5),0)</f>
        <v>12</v>
      </c>
      <c r="K35" s="284">
        <f>IFERROR(VLOOKUP($A35&amp;$B35,'Staff Ranked NHDD'!$C$8:$F$374,4,FALSE),0)</f>
        <v>16.338512544802871</v>
      </c>
      <c r="M35" s="279"/>
      <c r="N35" s="279"/>
      <c r="O35" s="72"/>
      <c r="P35" s="279"/>
    </row>
    <row r="36" spans="1:16" x14ac:dyDescent="0.25">
      <c r="A36" s="110">
        <f t="shared" si="0"/>
        <v>3</v>
      </c>
      <c r="B36" s="110">
        <f t="shared" si="1"/>
        <v>4</v>
      </c>
      <c r="C36" s="110">
        <f t="shared" si="2"/>
        <v>2020</v>
      </c>
      <c r="D36" s="75">
        <f t="shared" si="3"/>
        <v>43894</v>
      </c>
      <c r="E36" s="284">
        <f>IFERROR(VLOOKUP($D36,Actual_Kirk_HDD!$A$4:$F$471,6,FALSE),0)</f>
        <v>18.200199999999999</v>
      </c>
      <c r="F36" s="284">
        <f>IFERROR(VLOOKUP($A36&amp;$B36,'Staff Ranked NHDD'!$C$8:$F$374,2,FALSE),0)</f>
        <v>22.568064516129031</v>
      </c>
      <c r="H36" s="49"/>
      <c r="J36" s="74">
        <f>IFERROR(VLOOKUP($D36,Actual_CGI_HDD!$A$9:$E$532,5),0)</f>
        <v>16.5</v>
      </c>
      <c r="K36" s="284">
        <f>IFERROR(VLOOKUP($A36&amp;$B36,'Staff Ranked NHDD'!$C$8:$F$374,4,FALSE),0)</f>
        <v>25.234408602150541</v>
      </c>
      <c r="M36" s="279"/>
      <c r="N36" s="279"/>
      <c r="O36" s="72"/>
      <c r="P36" s="279"/>
    </row>
    <row r="37" spans="1:16" x14ac:dyDescent="0.25">
      <c r="A37" s="110">
        <f t="shared" si="0"/>
        <v>3</v>
      </c>
      <c r="B37" s="110">
        <f t="shared" si="1"/>
        <v>5</v>
      </c>
      <c r="C37" s="110">
        <f t="shared" si="2"/>
        <v>2020</v>
      </c>
      <c r="D37" s="75">
        <f t="shared" si="3"/>
        <v>43895</v>
      </c>
      <c r="E37" s="284">
        <f>IFERROR(VLOOKUP($D37,Actual_Kirk_HDD!$A$4:$F$471,6,FALSE),0)</f>
        <v>19.270800000000001</v>
      </c>
      <c r="F37" s="284">
        <f>IFERROR(VLOOKUP($A37&amp;$B37,'Staff Ranked NHDD'!$C$8:$F$374,2,FALSE),0)</f>
        <v>23.586362007168461</v>
      </c>
      <c r="H37" s="49"/>
      <c r="J37" s="74">
        <f>IFERROR(VLOOKUP($D37,Actual_CGI_HDD!$A$9:$E$532,5),0)</f>
        <v>13</v>
      </c>
      <c r="K37" s="284">
        <f>IFERROR(VLOOKUP($A37&amp;$B37,'Staff Ranked NHDD'!$C$8:$F$374,4,FALSE),0)</f>
        <v>19.980913978494627</v>
      </c>
      <c r="M37" s="279"/>
      <c r="N37" s="279"/>
      <c r="O37" s="72"/>
      <c r="P37" s="279"/>
    </row>
    <row r="38" spans="1:16" x14ac:dyDescent="0.25">
      <c r="A38" s="110">
        <f t="shared" si="0"/>
        <v>3</v>
      </c>
      <c r="B38" s="110">
        <f t="shared" si="1"/>
        <v>6</v>
      </c>
      <c r="C38" s="110">
        <f t="shared" si="2"/>
        <v>2020</v>
      </c>
      <c r="D38" s="75">
        <f t="shared" si="3"/>
        <v>43896</v>
      </c>
      <c r="E38" s="284">
        <f>IFERROR(VLOOKUP($D38,Actual_Kirk_HDD!$A$4:$F$471,6,FALSE),0)</f>
        <v>28.370899999999999</v>
      </c>
      <c r="F38" s="284">
        <f>IFERROR(VLOOKUP($A38&amp;$B38,'Staff Ranked NHDD'!$C$8:$F$374,2,FALSE),0)</f>
        <v>33.561254480286742</v>
      </c>
      <c r="H38" s="49"/>
      <c r="J38" s="74">
        <f>IFERROR(VLOOKUP($D38,Actual_CGI_HDD!$A$9:$E$532,5),0)</f>
        <v>23</v>
      </c>
      <c r="K38" s="284">
        <f>IFERROR(VLOOKUP($A38&amp;$B38,'Staff Ranked NHDD'!$C$8:$F$374,4,FALSE),0)</f>
        <v>30.830268817204303</v>
      </c>
      <c r="M38" s="279"/>
      <c r="N38" s="279"/>
      <c r="O38" s="72"/>
      <c r="P38" s="279"/>
    </row>
    <row r="39" spans="1:16" x14ac:dyDescent="0.25">
      <c r="A39" s="110">
        <f t="shared" si="0"/>
        <v>3</v>
      </c>
      <c r="B39" s="110">
        <f t="shared" si="1"/>
        <v>7</v>
      </c>
      <c r="C39" s="110">
        <f t="shared" si="2"/>
        <v>2020</v>
      </c>
      <c r="D39" s="75">
        <f t="shared" si="3"/>
        <v>43897</v>
      </c>
      <c r="E39" s="284">
        <f>IFERROR(VLOOKUP($D39,Actual_Kirk_HDD!$A$4:$F$471,6,FALSE),0)</f>
        <v>25.694400000000002</v>
      </c>
      <c r="F39" s="284">
        <f>IFERROR(VLOOKUP($A39&amp;$B39,'Staff Ranked NHDD'!$C$8:$F$374,2,FALSE),0)</f>
        <v>28.248763440860213</v>
      </c>
      <c r="H39" s="49"/>
      <c r="J39" s="74">
        <f>IFERROR(VLOOKUP($D39,Actual_CGI_HDD!$A$9:$E$532,5),0)</f>
        <v>24</v>
      </c>
      <c r="K39" s="284">
        <f>IFERROR(VLOOKUP($A39&amp;$B39,'Staff Ranked NHDD'!$C$8:$F$374,4,FALSE),0)</f>
        <v>41.300053763440864</v>
      </c>
      <c r="M39" s="279"/>
      <c r="N39" s="279"/>
      <c r="O39" s="72"/>
      <c r="P39" s="279"/>
    </row>
    <row r="40" spans="1:16" x14ac:dyDescent="0.25">
      <c r="A40" s="110">
        <f t="shared" si="0"/>
        <v>3</v>
      </c>
      <c r="B40" s="110">
        <f t="shared" si="1"/>
        <v>8</v>
      </c>
      <c r="C40" s="110">
        <f t="shared" si="2"/>
        <v>2020</v>
      </c>
      <c r="D40" s="75">
        <f t="shared" si="3"/>
        <v>43898</v>
      </c>
      <c r="E40" s="284">
        <f>IFERROR(VLOOKUP($D40,Actual_Kirk_HDD!$A$4:$F$471,6,FALSE),0)</f>
        <v>16.059000000000001</v>
      </c>
      <c r="F40" s="284">
        <f>IFERROR(VLOOKUP($A40&amp;$B40,'Staff Ranked NHDD'!$C$8:$F$374,2,FALSE),0)</f>
        <v>18.895609318996417</v>
      </c>
      <c r="H40" s="49"/>
      <c r="J40" s="74">
        <f>IFERROR(VLOOKUP($D40,Actual_CGI_HDD!$A$9:$E$532,5),0)</f>
        <v>15</v>
      </c>
      <c r="K40" s="284">
        <f>IFERROR(VLOOKUP($A40&amp;$B40,'Staff Ranked NHDD'!$C$8:$F$374,4,FALSE),0)</f>
        <v>23.475107526881722</v>
      </c>
      <c r="M40" s="279"/>
      <c r="N40" s="279"/>
      <c r="O40" s="72"/>
      <c r="P40" s="279"/>
    </row>
    <row r="41" spans="1:16" x14ac:dyDescent="0.25">
      <c r="A41" s="110">
        <f t="shared" si="0"/>
        <v>3</v>
      </c>
      <c r="B41" s="110">
        <f t="shared" si="1"/>
        <v>9</v>
      </c>
      <c r="C41" s="110">
        <f t="shared" si="2"/>
        <v>2020</v>
      </c>
      <c r="D41" s="75">
        <f t="shared" si="3"/>
        <v>43899</v>
      </c>
      <c r="E41" s="284">
        <f>IFERROR(VLOOKUP($D41,Actual_Kirk_HDD!$A$4:$F$471,6,FALSE),0)</f>
        <v>6.9588999999999999</v>
      </c>
      <c r="F41" s="284">
        <f>IFERROR(VLOOKUP($A41&amp;$B41,'Staff Ranked NHDD'!$C$8:$F$374,2,FALSE),0)</f>
        <v>3.2054301075268823</v>
      </c>
      <c r="H41" s="49"/>
      <c r="J41" s="74">
        <f>IFERROR(VLOOKUP($D41,Actual_CGI_HDD!$A$9:$E$532,5),0)</f>
        <v>7</v>
      </c>
      <c r="K41" s="284">
        <f>IFERROR(VLOOKUP($A41&amp;$B41,'Staff Ranked NHDD'!$C$8:$F$374,4,FALSE),0)</f>
        <v>9.1446774193548404</v>
      </c>
      <c r="M41" s="279"/>
      <c r="N41" s="279"/>
      <c r="O41" s="72"/>
      <c r="P41" s="279"/>
    </row>
    <row r="42" spans="1:16" x14ac:dyDescent="0.25">
      <c r="A42" s="110">
        <f t="shared" si="0"/>
        <v>3</v>
      </c>
      <c r="B42" s="110">
        <f t="shared" si="1"/>
        <v>10</v>
      </c>
      <c r="C42" s="110">
        <f t="shared" si="2"/>
        <v>2020</v>
      </c>
      <c r="D42" s="75">
        <f t="shared" si="3"/>
        <v>43900</v>
      </c>
      <c r="E42" s="284">
        <f>IFERROR(VLOOKUP($D42,Actual_Kirk_HDD!$A$4:$F$471,6,FALSE),0)</f>
        <v>23.5532</v>
      </c>
      <c r="F42" s="284">
        <f>IFERROR(VLOOKUP($A42&amp;$B42,'Staff Ranked NHDD'!$C$8:$F$374,2,FALSE),0)</f>
        <v>26.488225806451617</v>
      </c>
      <c r="H42" s="49"/>
      <c r="J42" s="74">
        <f>IFERROR(VLOOKUP($D42,Actual_CGI_HDD!$A$9:$E$532,5),0)</f>
        <v>12.5</v>
      </c>
      <c r="K42" s="284">
        <f>IFERROR(VLOOKUP($A42&amp;$B42,'Staff Ranked NHDD'!$C$8:$F$374,4,FALSE),0)</f>
        <v>17.206129032258065</v>
      </c>
      <c r="M42" s="279"/>
      <c r="N42" s="279"/>
      <c r="O42" s="72"/>
      <c r="P42" s="279"/>
    </row>
    <row r="43" spans="1:16" x14ac:dyDescent="0.25">
      <c r="A43" s="110">
        <f t="shared" si="0"/>
        <v>3</v>
      </c>
      <c r="B43" s="110">
        <f t="shared" si="1"/>
        <v>11</v>
      </c>
      <c r="C43" s="110">
        <f t="shared" si="2"/>
        <v>2020</v>
      </c>
      <c r="D43" s="75">
        <f t="shared" si="3"/>
        <v>43901</v>
      </c>
      <c r="E43" s="284">
        <f>IFERROR(VLOOKUP($D43,Actual_Kirk_HDD!$A$4:$F$471,6,FALSE),0)</f>
        <v>29.441500000000001</v>
      </c>
      <c r="F43" s="284">
        <f>IFERROR(VLOOKUP($A43&amp;$B43,'Staff Ranked NHDD'!$C$8:$F$374,2,FALSE),0)</f>
        <v>34.826272401433691</v>
      </c>
      <c r="H43" s="49"/>
      <c r="J43" s="74">
        <f>IFERROR(VLOOKUP($D43,Actual_CGI_HDD!$A$9:$E$532,5),0)</f>
        <v>13</v>
      </c>
      <c r="K43" s="284">
        <f>IFERROR(VLOOKUP($A43&amp;$B43,'Staff Ranked NHDD'!$C$8:$F$374,4,FALSE),0)</f>
        <v>18.949354838709674</v>
      </c>
      <c r="M43" s="279"/>
      <c r="N43" s="279"/>
      <c r="O43" s="72"/>
      <c r="P43" s="279"/>
    </row>
    <row r="44" spans="1:16" x14ac:dyDescent="0.25">
      <c r="A44" s="110">
        <f t="shared" si="0"/>
        <v>3</v>
      </c>
      <c r="B44" s="110">
        <f t="shared" si="1"/>
        <v>12</v>
      </c>
      <c r="C44" s="110">
        <f t="shared" si="2"/>
        <v>2020</v>
      </c>
      <c r="D44" s="75">
        <f t="shared" si="3"/>
        <v>43902</v>
      </c>
      <c r="E44" s="284">
        <f>IFERROR(VLOOKUP($D44,Actual_Kirk_HDD!$A$4:$F$471,6,FALSE),0)</f>
        <v>18.200199999999999</v>
      </c>
      <c r="F44" s="284">
        <f>IFERROR(VLOOKUP($A44&amp;$B44,'Staff Ranked NHDD'!$C$8:$F$374,2,FALSE),0)</f>
        <v>21.718351254480282</v>
      </c>
      <c r="H44" s="49"/>
      <c r="J44" s="74">
        <f>IFERROR(VLOOKUP($D44,Actual_CGI_HDD!$A$9:$E$532,5),0)</f>
        <v>10.5</v>
      </c>
      <c r="K44" s="284">
        <f>IFERROR(VLOOKUP($A44&amp;$B44,'Staff Ranked NHDD'!$C$8:$F$374,4,FALSE),0)</f>
        <v>12.111397849462369</v>
      </c>
      <c r="M44" s="279"/>
      <c r="N44" s="279"/>
      <c r="O44" s="72"/>
      <c r="P44" s="279"/>
    </row>
    <row r="45" spans="1:16" x14ac:dyDescent="0.25">
      <c r="A45" s="110">
        <f t="shared" si="0"/>
        <v>3</v>
      </c>
      <c r="B45" s="110">
        <f t="shared" si="1"/>
        <v>13</v>
      </c>
      <c r="C45" s="110">
        <f t="shared" si="2"/>
        <v>2020</v>
      </c>
      <c r="D45" s="75">
        <f t="shared" si="3"/>
        <v>43903</v>
      </c>
      <c r="E45" s="284">
        <f>IFERROR(VLOOKUP($D45,Actual_Kirk_HDD!$A$4:$F$471,6,FALSE),0)</f>
        <v>18.200199999999999</v>
      </c>
      <c r="F45" s="284">
        <f>IFERROR(VLOOKUP($A45&amp;$B45,'Staff Ranked NHDD'!$C$8:$F$374,2,FALSE),0)</f>
        <v>20.845430107526884</v>
      </c>
      <c r="H45" s="49"/>
      <c r="J45" s="74">
        <f>IFERROR(VLOOKUP($D45,Actual_CGI_HDD!$A$9:$E$532,5),0)</f>
        <v>13.5</v>
      </c>
      <c r="K45" s="284">
        <f>IFERROR(VLOOKUP($A45&amp;$B45,'Staff Ranked NHDD'!$C$8:$F$374,4,FALSE),0)</f>
        <v>20.803225806451611</v>
      </c>
      <c r="M45" s="279"/>
      <c r="N45" s="279"/>
      <c r="O45" s="72"/>
      <c r="P45" s="279"/>
    </row>
    <row r="46" spans="1:16" x14ac:dyDescent="0.25">
      <c r="A46" s="110">
        <f t="shared" si="0"/>
        <v>3</v>
      </c>
      <c r="B46" s="110">
        <f t="shared" si="1"/>
        <v>14</v>
      </c>
      <c r="C46" s="110">
        <f t="shared" si="2"/>
        <v>2020</v>
      </c>
      <c r="D46" s="75">
        <f t="shared" si="3"/>
        <v>43904</v>
      </c>
      <c r="E46" s="284">
        <f>IFERROR(VLOOKUP($D46,Actual_Kirk_HDD!$A$4:$F$471,6,FALSE),0)</f>
        <v>28.370899999999999</v>
      </c>
      <c r="F46" s="284">
        <f>IFERROR(VLOOKUP($A46&amp;$B46,'Staff Ranked NHDD'!$C$8:$F$374,2,FALSE),0)</f>
        <v>32.419408602150533</v>
      </c>
      <c r="H46" s="49"/>
      <c r="J46" s="74">
        <f>IFERROR(VLOOKUP($D46,Actual_CGI_HDD!$A$9:$E$532,5),0)</f>
        <v>21.5</v>
      </c>
      <c r="K46" s="284">
        <f>IFERROR(VLOOKUP($A46&amp;$B46,'Staff Ranked NHDD'!$C$8:$F$374,4,FALSE),0)</f>
        <v>26.280483870967746</v>
      </c>
      <c r="M46" s="279"/>
      <c r="N46" s="279"/>
      <c r="O46" s="72"/>
      <c r="P46" s="279"/>
    </row>
    <row r="47" spans="1:16" x14ac:dyDescent="0.25">
      <c r="A47" s="110">
        <f t="shared" si="0"/>
        <v>3</v>
      </c>
      <c r="B47" s="110">
        <f t="shared" si="1"/>
        <v>15</v>
      </c>
      <c r="C47" s="110">
        <f t="shared" si="2"/>
        <v>2020</v>
      </c>
      <c r="D47" s="75">
        <f t="shared" si="3"/>
        <v>43905</v>
      </c>
      <c r="E47" s="284">
        <f>IFERROR(VLOOKUP($D47,Actual_Kirk_HDD!$A$4:$F$471,6,FALSE),0)</f>
        <v>33.188600000000001</v>
      </c>
      <c r="F47" s="284">
        <f>IFERROR(VLOOKUP($A47&amp;$B47,'Staff Ranked NHDD'!$C$8:$F$374,2,FALSE),0)</f>
        <v>43.309784946236547</v>
      </c>
      <c r="H47" s="49"/>
      <c r="J47" s="74">
        <f>IFERROR(VLOOKUP($D47,Actual_CGI_HDD!$A$9:$E$532,5),0)</f>
        <v>24</v>
      </c>
      <c r="K47" s="284">
        <f>IFERROR(VLOOKUP($A47&amp;$B47,'Staff Ranked NHDD'!$C$8:$F$374,4,FALSE),0)</f>
        <v>33.680896057347667</v>
      </c>
      <c r="M47" s="279"/>
      <c r="N47" s="279"/>
      <c r="O47" s="72"/>
      <c r="P47" s="279"/>
    </row>
    <row r="48" spans="1:16" x14ac:dyDescent="0.25">
      <c r="A48" s="110">
        <f t="shared" si="0"/>
        <v>3</v>
      </c>
      <c r="B48" s="110">
        <f t="shared" si="1"/>
        <v>16</v>
      </c>
      <c r="C48" s="110">
        <f t="shared" si="2"/>
        <v>2020</v>
      </c>
      <c r="D48" s="75">
        <f t="shared" si="3"/>
        <v>43906</v>
      </c>
      <c r="E48" s="284">
        <f>IFERROR(VLOOKUP($D48,Actual_Kirk_HDD!$A$4:$F$471,6,FALSE),0)</f>
        <v>32.653300000000002</v>
      </c>
      <c r="F48" s="284">
        <f>IFERROR(VLOOKUP($A48&amp;$B48,'Staff Ranked NHDD'!$C$8:$F$374,2,FALSE),0)</f>
        <v>40.023494623655907</v>
      </c>
      <c r="H48" s="49"/>
      <c r="J48" s="74">
        <f>IFERROR(VLOOKUP($D48,Actual_CGI_HDD!$A$9:$E$532,5),0)</f>
        <v>22.5</v>
      </c>
      <c r="K48" s="284">
        <f>IFERROR(VLOOKUP($A48&amp;$B48,'Staff Ranked NHDD'!$C$8:$F$374,4,FALSE),0)</f>
        <v>29.574623655913978</v>
      </c>
      <c r="M48" s="279"/>
      <c r="N48" s="279"/>
      <c r="O48" s="72"/>
      <c r="P48" s="279"/>
    </row>
    <row r="49" spans="1:16" x14ac:dyDescent="0.25">
      <c r="A49" s="110">
        <f t="shared" si="0"/>
        <v>3</v>
      </c>
      <c r="B49" s="110">
        <f t="shared" si="1"/>
        <v>17</v>
      </c>
      <c r="C49" s="110">
        <f t="shared" si="2"/>
        <v>2020</v>
      </c>
      <c r="D49" s="75">
        <f t="shared" si="3"/>
        <v>43907</v>
      </c>
      <c r="E49" s="284">
        <f>IFERROR(VLOOKUP($D49,Actual_Kirk_HDD!$A$4:$F$471,6,FALSE),0)</f>
        <v>28.370899999999999</v>
      </c>
      <c r="F49" s="284">
        <f>IFERROR(VLOOKUP($A49&amp;$B49,'Staff Ranked NHDD'!$C$8:$F$374,2,FALSE),0)</f>
        <v>31.354838709677423</v>
      </c>
      <c r="H49" s="49"/>
      <c r="J49" s="74">
        <f>IFERROR(VLOOKUP($D49,Actual_CGI_HDD!$A$9:$E$532,5),0)</f>
        <v>13</v>
      </c>
      <c r="K49" s="284">
        <f>IFERROR(VLOOKUP($A49&amp;$B49,'Staff Ranked NHDD'!$C$8:$F$374,4,FALSE),0)</f>
        <v>18.037992831541221</v>
      </c>
      <c r="M49" s="279"/>
      <c r="N49" s="279"/>
      <c r="O49" s="72"/>
      <c r="P49" s="279"/>
    </row>
    <row r="50" spans="1:16" x14ac:dyDescent="0.25">
      <c r="A50" s="110">
        <f t="shared" si="0"/>
        <v>3</v>
      </c>
      <c r="B50" s="110">
        <f t="shared" si="1"/>
        <v>18</v>
      </c>
      <c r="C50" s="110">
        <f t="shared" si="2"/>
        <v>2020</v>
      </c>
      <c r="D50" s="75">
        <f t="shared" si="3"/>
        <v>43908</v>
      </c>
      <c r="E50" s="284">
        <f>IFERROR(VLOOKUP($D50,Actual_Kirk_HDD!$A$4:$F$471,6,FALSE),0)</f>
        <v>23.017900000000001</v>
      </c>
      <c r="F50" s="284">
        <f>IFERROR(VLOOKUP($A50&amp;$B50,'Staff Ranked NHDD'!$C$8:$F$374,2,FALSE),0)</f>
        <v>25.571684587813614</v>
      </c>
      <c r="H50" s="49"/>
      <c r="J50" s="74">
        <f>IFERROR(VLOOKUP($D50,Actual_CGI_HDD!$A$9:$E$532,5),0)</f>
        <v>11</v>
      </c>
      <c r="K50" s="284">
        <f>IFERROR(VLOOKUP($A50&amp;$B50,'Staff Ranked NHDD'!$C$8:$F$374,4,FALSE),0)</f>
        <v>15.398709677419358</v>
      </c>
      <c r="M50" s="279"/>
      <c r="N50" s="279"/>
      <c r="O50" s="72"/>
      <c r="P50" s="279"/>
    </row>
    <row r="51" spans="1:16" x14ac:dyDescent="0.25">
      <c r="A51" s="110">
        <f t="shared" si="0"/>
        <v>3</v>
      </c>
      <c r="B51" s="110">
        <f t="shared" si="1"/>
        <v>19</v>
      </c>
      <c r="C51" s="110">
        <f t="shared" si="2"/>
        <v>2020</v>
      </c>
      <c r="D51" s="75">
        <f t="shared" si="3"/>
        <v>43909</v>
      </c>
      <c r="E51" s="284">
        <f>IFERROR(VLOOKUP($D51,Actual_Kirk_HDD!$A$4:$F$471,6,FALSE),0)</f>
        <v>14.453099999999999</v>
      </c>
      <c r="F51" s="284">
        <f>IFERROR(VLOOKUP($A51&amp;$B51,'Staff Ranked NHDD'!$C$8:$F$374,2,FALSE),0)</f>
        <v>16.407544802867381</v>
      </c>
      <c r="H51" s="49"/>
      <c r="J51" s="74">
        <f>IFERROR(VLOOKUP($D51,Actual_CGI_HDD!$A$9:$E$532,5),0)</f>
        <v>3.5</v>
      </c>
      <c r="K51" s="284">
        <f>IFERROR(VLOOKUP($A51&amp;$B51,'Staff Ranked NHDD'!$C$8:$F$374,4,FALSE),0)</f>
        <v>4.5172222222222222</v>
      </c>
      <c r="M51" s="279"/>
      <c r="N51" s="279"/>
      <c r="O51" s="72"/>
      <c r="P51" s="279"/>
    </row>
    <row r="52" spans="1:16" x14ac:dyDescent="0.25">
      <c r="A52" s="110">
        <f t="shared" si="0"/>
        <v>3</v>
      </c>
      <c r="B52" s="110">
        <f t="shared" si="1"/>
        <v>20</v>
      </c>
      <c r="C52" s="110">
        <f t="shared" si="2"/>
        <v>2020</v>
      </c>
      <c r="D52" s="75">
        <f t="shared" si="3"/>
        <v>43910</v>
      </c>
      <c r="E52" s="284">
        <f>IFERROR(VLOOKUP($D52,Actual_Kirk_HDD!$A$4:$F$471,6,FALSE),0)</f>
        <v>14.453099999999999</v>
      </c>
      <c r="F52" s="284">
        <f>IFERROR(VLOOKUP($A52&amp;$B52,'Staff Ranked NHDD'!$C$8:$F$374,2,FALSE),0)</f>
        <v>15.095143369175625</v>
      </c>
      <c r="H52" s="49"/>
      <c r="J52" s="74">
        <f>IFERROR(VLOOKUP($D52,Actual_CGI_HDD!$A$9:$E$532,5),0)</f>
        <v>10</v>
      </c>
      <c r="K52" s="284">
        <f>IFERROR(VLOOKUP($A52&amp;$B52,'Staff Ranked NHDD'!$C$8:$F$374,4,FALSE),0)</f>
        <v>10.051541218637992</v>
      </c>
      <c r="M52" s="279"/>
      <c r="N52" s="279"/>
      <c r="O52" s="72"/>
      <c r="P52" s="279"/>
    </row>
    <row r="53" spans="1:16" x14ac:dyDescent="0.25">
      <c r="A53" s="110">
        <f t="shared" si="0"/>
        <v>3</v>
      </c>
      <c r="B53" s="110">
        <f t="shared" si="1"/>
        <v>21</v>
      </c>
      <c r="C53" s="110">
        <f t="shared" si="2"/>
        <v>2020</v>
      </c>
      <c r="D53" s="75">
        <f t="shared" si="3"/>
        <v>43911</v>
      </c>
      <c r="E53" s="284">
        <f>IFERROR(VLOOKUP($D53,Actual_Kirk_HDD!$A$4:$F$471,6,FALSE),0)</f>
        <v>34.2592</v>
      </c>
      <c r="F53" s="284">
        <f>IFERROR(VLOOKUP($A53&amp;$B53,'Staff Ranked NHDD'!$C$8:$F$374,2,FALSE),0)</f>
        <v>51.447849462365603</v>
      </c>
      <c r="H53" s="49"/>
      <c r="J53" s="74">
        <f>IFERROR(VLOOKUP($D53,Actual_CGI_HDD!$A$9:$E$532,5),0)</f>
        <v>22</v>
      </c>
      <c r="K53" s="284">
        <f>IFERROR(VLOOKUP($A53&amp;$B53,'Staff Ranked NHDD'!$C$8:$F$374,4,FALSE),0)</f>
        <v>27.336792114695346</v>
      </c>
      <c r="M53" s="279"/>
      <c r="N53" s="279"/>
      <c r="O53" s="72"/>
      <c r="P53" s="279"/>
    </row>
    <row r="54" spans="1:16" x14ac:dyDescent="0.25">
      <c r="A54" s="110">
        <f t="shared" si="0"/>
        <v>3</v>
      </c>
      <c r="B54" s="110">
        <f t="shared" si="1"/>
        <v>22</v>
      </c>
      <c r="C54" s="110">
        <f t="shared" si="2"/>
        <v>2020</v>
      </c>
      <c r="D54" s="75">
        <f t="shared" si="3"/>
        <v>43912</v>
      </c>
      <c r="E54" s="284">
        <f>IFERROR(VLOOKUP($D54,Actual_Kirk_HDD!$A$4:$F$471,6,FALSE),0)</f>
        <v>31.582699999999999</v>
      </c>
      <c r="F54" s="284">
        <f>IFERROR(VLOOKUP($A54&amp;$B54,'Staff Ranked NHDD'!$C$8:$F$374,2,FALSE),0)</f>
        <v>36.30424731182795</v>
      </c>
      <c r="H54" s="49"/>
      <c r="J54" s="74">
        <f>IFERROR(VLOOKUP($D54,Actual_CGI_HDD!$A$9:$E$532,5),0)</f>
        <v>22.5</v>
      </c>
      <c r="K54" s="284">
        <f>IFERROR(VLOOKUP($A54&amp;$B54,'Staff Ranked NHDD'!$C$8:$F$374,4,FALSE),0)</f>
        <v>28.532204301075272</v>
      </c>
      <c r="M54" s="279"/>
      <c r="N54" s="279"/>
      <c r="O54" s="72"/>
      <c r="P54" s="279"/>
    </row>
    <row r="55" spans="1:16" x14ac:dyDescent="0.25">
      <c r="A55" s="110">
        <f t="shared" si="0"/>
        <v>3</v>
      </c>
      <c r="B55" s="110">
        <f t="shared" si="1"/>
        <v>23</v>
      </c>
      <c r="C55" s="110">
        <f t="shared" si="2"/>
        <v>2020</v>
      </c>
      <c r="D55" s="75">
        <f t="shared" si="3"/>
        <v>43913</v>
      </c>
      <c r="E55" s="284">
        <f>IFERROR(VLOOKUP($D55,Actual_Kirk_HDD!$A$4:$F$471,6,FALSE),0)</f>
        <v>32.653300000000002</v>
      </c>
      <c r="F55" s="284">
        <f>IFERROR(VLOOKUP($A55&amp;$B55,'Staff Ranked NHDD'!$C$8:$F$374,2,FALSE),0)</f>
        <v>37.69301075268816</v>
      </c>
      <c r="H55" s="49"/>
      <c r="J55" s="74">
        <f>IFERROR(VLOOKUP($D55,Actual_CGI_HDD!$A$9:$E$532,5),0)</f>
        <v>15</v>
      </c>
      <c r="K55" s="284">
        <f>IFERROR(VLOOKUP($A55&amp;$B55,'Staff Ranked NHDD'!$C$8:$F$374,4,FALSE),0)</f>
        <v>22.539229390681008</v>
      </c>
      <c r="M55" s="279"/>
      <c r="N55" s="279"/>
      <c r="O55" s="72"/>
      <c r="P55" s="279"/>
    </row>
    <row r="56" spans="1:16" x14ac:dyDescent="0.25">
      <c r="A56" s="110">
        <f t="shared" si="0"/>
        <v>3</v>
      </c>
      <c r="B56" s="110">
        <f t="shared" si="1"/>
        <v>24</v>
      </c>
      <c r="C56" s="110">
        <f t="shared" si="2"/>
        <v>2020</v>
      </c>
      <c r="D56" s="75">
        <f t="shared" si="3"/>
        <v>43914</v>
      </c>
      <c r="E56" s="284">
        <f>IFERROR(VLOOKUP($D56,Actual_Kirk_HDD!$A$4:$F$471,6,FALSE),0)</f>
        <v>24.0885</v>
      </c>
      <c r="F56" s="284">
        <f>IFERROR(VLOOKUP($A56&amp;$B56,'Staff Ranked NHDD'!$C$8:$F$374,2,FALSE),0)</f>
        <v>27.256899641577057</v>
      </c>
      <c r="H56" s="49"/>
      <c r="J56" s="74">
        <f>IFERROR(VLOOKUP($D56,Actual_CGI_HDD!$A$9:$E$532,5),0)</f>
        <v>16</v>
      </c>
      <c r="K56" s="284">
        <f>IFERROR(VLOOKUP($A56&amp;$B56,'Staff Ranked NHDD'!$C$8:$F$374,4,FALSE),0)</f>
        <v>24.273189964157705</v>
      </c>
      <c r="M56" s="279"/>
      <c r="N56" s="279"/>
      <c r="O56" s="72"/>
      <c r="P56" s="279"/>
    </row>
    <row r="57" spans="1:16" x14ac:dyDescent="0.25">
      <c r="A57" s="110">
        <f t="shared" si="0"/>
        <v>3</v>
      </c>
      <c r="B57" s="110">
        <f t="shared" si="1"/>
        <v>25</v>
      </c>
      <c r="C57" s="110">
        <f t="shared" si="2"/>
        <v>2020</v>
      </c>
      <c r="D57" s="75">
        <f t="shared" si="3"/>
        <v>43915</v>
      </c>
      <c r="E57" s="284">
        <f>IFERROR(VLOOKUP($D57,Actual_Kirk_HDD!$A$4:$F$471,6,FALSE),0)</f>
        <v>20.3414</v>
      </c>
      <c r="F57" s="284">
        <f>IFERROR(VLOOKUP($A57&amp;$B57,'Staff Ranked NHDD'!$C$8:$F$374,2,FALSE),0)</f>
        <v>24.727096774193548</v>
      </c>
      <c r="H57" s="49"/>
      <c r="J57" s="74">
        <f>IFERROR(VLOOKUP($D57,Actual_CGI_HDD!$A$9:$E$532,5),0)</f>
        <v>11</v>
      </c>
      <c r="K57" s="284">
        <f>IFERROR(VLOOKUP($A57&amp;$B57,'Staff Ranked NHDD'!$C$8:$F$374,4,FALSE),0)</f>
        <v>14.338225806451614</v>
      </c>
      <c r="M57" s="279"/>
      <c r="N57" s="279"/>
      <c r="O57" s="72"/>
      <c r="P57" s="279"/>
    </row>
    <row r="58" spans="1:16" x14ac:dyDescent="0.25">
      <c r="A58" s="110">
        <f t="shared" si="0"/>
        <v>3</v>
      </c>
      <c r="B58" s="110">
        <f t="shared" si="1"/>
        <v>26</v>
      </c>
      <c r="C58" s="110">
        <f t="shared" si="2"/>
        <v>2020</v>
      </c>
      <c r="D58" s="75">
        <f t="shared" si="3"/>
        <v>43916</v>
      </c>
      <c r="E58" s="284">
        <f>IFERROR(VLOOKUP($D58,Actual_Kirk_HDD!$A$4:$F$471,6,FALSE),0)</f>
        <v>13.3825</v>
      </c>
      <c r="F58" s="284">
        <f>IFERROR(VLOOKUP($A58&amp;$B58,'Staff Ranked NHDD'!$C$8:$F$374,2,FALSE),0)</f>
        <v>11.099749103942655</v>
      </c>
      <c r="H58" s="49"/>
      <c r="J58" s="74">
        <f>IFERROR(VLOOKUP($D58,Actual_CGI_HDD!$A$9:$E$532,5),0)</f>
        <v>3</v>
      </c>
      <c r="K58" s="284">
        <f>IFERROR(VLOOKUP($A58&amp;$B58,'Staff Ranked NHDD'!$C$8:$F$374,4,FALSE),0)</f>
        <v>2.3716129032258055</v>
      </c>
      <c r="M58" s="279"/>
      <c r="N58" s="279"/>
      <c r="O58" s="72"/>
      <c r="P58" s="279"/>
    </row>
    <row r="59" spans="1:16" x14ac:dyDescent="0.25">
      <c r="A59" s="110">
        <f t="shared" si="0"/>
        <v>3</v>
      </c>
      <c r="B59" s="110">
        <f t="shared" si="1"/>
        <v>27</v>
      </c>
      <c r="C59" s="110">
        <f t="shared" si="2"/>
        <v>2020</v>
      </c>
      <c r="D59" s="75">
        <f t="shared" si="3"/>
        <v>43917</v>
      </c>
      <c r="E59" s="284">
        <f>IFERROR(VLOOKUP($D59,Actual_Kirk_HDD!$A$4:$F$471,6,FALSE),0)</f>
        <v>12.847200000000001</v>
      </c>
      <c r="F59" s="284">
        <f>IFERROR(VLOOKUP($A59&amp;$B59,'Staff Ranked NHDD'!$C$8:$F$374,2,FALSE),0)</f>
        <v>6.2624910394265232</v>
      </c>
      <c r="H59" s="49"/>
      <c r="J59" s="74">
        <f>IFERROR(VLOOKUP($D59,Actual_CGI_HDD!$A$9:$E$532,5),0)</f>
        <v>0</v>
      </c>
      <c r="K59" s="284">
        <f>IFERROR(VLOOKUP($A59&amp;$B59,'Staff Ranked NHDD'!$C$8:$F$374,4,FALSE),0)</f>
        <v>0.20666666666666628</v>
      </c>
      <c r="M59" s="279"/>
      <c r="N59" s="279"/>
      <c r="O59" s="72"/>
      <c r="P59" s="279"/>
    </row>
    <row r="60" spans="1:16" x14ac:dyDescent="0.25">
      <c r="A60" s="110">
        <f t="shared" si="0"/>
        <v>3</v>
      </c>
      <c r="B60" s="110">
        <f t="shared" si="1"/>
        <v>28</v>
      </c>
      <c r="C60" s="110">
        <f t="shared" si="2"/>
        <v>2020</v>
      </c>
      <c r="D60" s="75">
        <f t="shared" si="3"/>
        <v>43918</v>
      </c>
      <c r="E60" s="284">
        <f>IFERROR(VLOOKUP($D60,Actual_Kirk_HDD!$A$4:$F$471,6,FALSE),0)</f>
        <v>13.3825</v>
      </c>
      <c r="F60" s="284">
        <f>IFERROR(VLOOKUP($A60&amp;$B60,'Staff Ranked NHDD'!$C$8:$F$374,2,FALSE),0)</f>
        <v>8.9012544802867417</v>
      </c>
      <c r="H60" s="49"/>
      <c r="J60" s="74">
        <f>IFERROR(VLOOKUP($D60,Actual_CGI_HDD!$A$9:$E$532,5),0)</f>
        <v>0</v>
      </c>
      <c r="K60" s="284">
        <f>IFERROR(VLOOKUP($A60&amp;$B60,'Staff Ranked NHDD'!$C$8:$F$374,4,FALSE),0)</f>
        <v>0</v>
      </c>
      <c r="M60" s="279"/>
      <c r="N60" s="279"/>
      <c r="O60" s="72"/>
      <c r="P60" s="279"/>
    </row>
    <row r="61" spans="1:16" x14ac:dyDescent="0.25">
      <c r="A61" s="110">
        <f t="shared" si="0"/>
        <v>3</v>
      </c>
      <c r="B61" s="110">
        <f t="shared" si="1"/>
        <v>29</v>
      </c>
      <c r="C61" s="110">
        <f t="shared" si="2"/>
        <v>2020</v>
      </c>
      <c r="D61" s="75">
        <f t="shared" si="3"/>
        <v>43919</v>
      </c>
      <c r="E61" s="284">
        <f>IFERROR(VLOOKUP($D61,Actual_Kirk_HDD!$A$4:$F$471,6,FALSE),0)</f>
        <v>5.3529999999999998</v>
      </c>
      <c r="F61" s="284">
        <f>IFERROR(VLOOKUP($A61&amp;$B61,'Staff Ranked NHDD'!$C$8:$F$374,2,FALSE),0)</f>
        <v>0.40121863799283164</v>
      </c>
      <c r="H61" s="49"/>
      <c r="J61" s="74">
        <f>IFERROR(VLOOKUP($D61,Actual_CGI_HDD!$A$9:$E$532,5),0)</f>
        <v>5</v>
      </c>
      <c r="K61" s="284">
        <f>IFERROR(VLOOKUP($A61&amp;$B61,'Staff Ranked NHDD'!$C$8:$F$374,4,FALSE),0)</f>
        <v>6.2902150537634389</v>
      </c>
      <c r="M61" s="279"/>
      <c r="N61" s="279"/>
      <c r="O61" s="72"/>
      <c r="P61" s="279"/>
    </row>
    <row r="62" spans="1:16" x14ac:dyDescent="0.25">
      <c r="A62" s="110">
        <f t="shared" si="0"/>
        <v>3</v>
      </c>
      <c r="B62" s="110">
        <f t="shared" si="1"/>
        <v>30</v>
      </c>
      <c r="C62" s="110">
        <f t="shared" si="2"/>
        <v>2020</v>
      </c>
      <c r="D62" s="75">
        <f t="shared" si="3"/>
        <v>43920</v>
      </c>
      <c r="E62" s="284">
        <f>IFERROR(VLOOKUP($D62,Actual_Kirk_HDD!$A$4:$F$471,6,FALSE),0)</f>
        <v>15.5237</v>
      </c>
      <c r="F62" s="284">
        <f>IFERROR(VLOOKUP($A62&amp;$B62,'Staff Ranked NHDD'!$C$8:$F$374,2,FALSE),0)</f>
        <v>17.751881720430106</v>
      </c>
      <c r="H62" s="49"/>
      <c r="J62" s="74">
        <f>IFERROR(VLOOKUP($D62,Actual_CGI_HDD!$A$9:$E$532,5),0)</f>
        <v>10.5</v>
      </c>
      <c r="K62" s="284">
        <f>IFERROR(VLOOKUP($A62&amp;$B62,'Staff Ranked NHDD'!$C$8:$F$374,4,FALSE),0)</f>
        <v>11.183046594982082</v>
      </c>
      <c r="M62" s="279"/>
      <c r="N62" s="279"/>
      <c r="O62" s="72"/>
      <c r="P62" s="279"/>
    </row>
    <row r="63" spans="1:16" x14ac:dyDescent="0.25">
      <c r="A63" s="110">
        <f t="shared" si="0"/>
        <v>3</v>
      </c>
      <c r="B63" s="110">
        <f t="shared" si="1"/>
        <v>31</v>
      </c>
      <c r="C63" s="110">
        <f t="shared" si="2"/>
        <v>2020</v>
      </c>
      <c r="D63" s="75">
        <f t="shared" si="3"/>
        <v>43921</v>
      </c>
      <c r="E63" s="284">
        <f>IFERROR(VLOOKUP($D63,Actual_Kirk_HDD!$A$4:$F$471,6,FALSE),0)</f>
        <v>13.9178</v>
      </c>
      <c r="F63" s="284">
        <f>IFERROR(VLOOKUP($A63&amp;$B63,'Staff Ranked NHDD'!$C$8:$F$374,2,FALSE),0)</f>
        <v>13.324820788530467</v>
      </c>
      <c r="H63" s="49"/>
      <c r="J63" s="74">
        <f>IFERROR(VLOOKUP($D63,Actual_CGI_HDD!$A$9:$E$532,5),0)</f>
        <v>11</v>
      </c>
      <c r="K63" s="284">
        <f>IFERROR(VLOOKUP($A63&amp;$B63,'Staff Ranked NHDD'!$C$8:$F$374,4,FALSE),0)</f>
        <v>13.205000000000007</v>
      </c>
      <c r="M63" s="279"/>
      <c r="N63" s="279"/>
      <c r="O63" s="72"/>
      <c r="P63" s="279"/>
    </row>
    <row r="64" spans="1:16" x14ac:dyDescent="0.25">
      <c r="A64" s="110">
        <f t="shared" si="0"/>
        <v>4</v>
      </c>
      <c r="B64" s="110">
        <f t="shared" si="1"/>
        <v>1</v>
      </c>
      <c r="C64" s="110">
        <f t="shared" si="2"/>
        <v>2020</v>
      </c>
      <c r="D64" s="75">
        <f t="shared" si="3"/>
        <v>43922</v>
      </c>
      <c r="E64" s="284">
        <f>IFERROR(VLOOKUP($D64,Actual_Kirk_HDD!$A$4:$F$471,6,FALSE),0)</f>
        <v>12.793750000000001</v>
      </c>
      <c r="F64" s="284">
        <f>IFERROR(VLOOKUP($A64&amp;$B64,'Staff Ranked NHDD'!$C$8:$F$374,2,FALSE),0)</f>
        <v>13.737592592592595</v>
      </c>
      <c r="H64" s="49"/>
      <c r="J64" s="74">
        <f>IFERROR(VLOOKUP($D64,Actual_CGI_HDD!$A$9:$E$532,5),0)</f>
        <v>12</v>
      </c>
      <c r="K64" s="284">
        <f>IFERROR(VLOOKUP($A64&amp;$B64,'Staff Ranked NHDD'!$C$8:$F$374,4,FALSE),0)</f>
        <v>10.356481481481483</v>
      </c>
      <c r="M64" s="279"/>
      <c r="N64" s="279"/>
      <c r="O64" s="72"/>
      <c r="P64" s="279"/>
    </row>
    <row r="65" spans="1:16" x14ac:dyDescent="0.25">
      <c r="A65" s="110">
        <f t="shared" si="0"/>
        <v>4</v>
      </c>
      <c r="B65" s="110">
        <f t="shared" si="1"/>
        <v>2</v>
      </c>
      <c r="C65" s="110">
        <f t="shared" si="2"/>
        <v>2020</v>
      </c>
      <c r="D65" s="75">
        <f t="shared" si="3"/>
        <v>43923</v>
      </c>
      <c r="E65" s="284">
        <f>IFERROR(VLOOKUP($D65,Actual_Kirk_HDD!$A$4:$F$471,6,FALSE),0)</f>
        <v>11.125</v>
      </c>
      <c r="F65" s="284">
        <f>IFERROR(VLOOKUP($A65&amp;$B65,'Staff Ranked NHDD'!$C$8:$F$374,2,FALSE),0)</f>
        <v>12.305000000000003</v>
      </c>
      <c r="H65" s="49"/>
      <c r="J65" s="74">
        <f>IFERROR(VLOOKUP($D65,Actual_CGI_HDD!$A$9:$E$532,5),0)</f>
        <v>10</v>
      </c>
      <c r="K65" s="284">
        <f>IFERROR(VLOOKUP($A65&amp;$B65,'Staff Ranked NHDD'!$C$8:$F$374,4,FALSE),0)</f>
        <v>8.6816666666666684</v>
      </c>
      <c r="M65" s="279"/>
      <c r="N65" s="279"/>
      <c r="O65" s="72"/>
      <c r="P65" s="279"/>
    </row>
    <row r="66" spans="1:16" x14ac:dyDescent="0.25">
      <c r="A66" s="110">
        <f t="shared" si="0"/>
        <v>4</v>
      </c>
      <c r="B66" s="110">
        <f t="shared" si="1"/>
        <v>3</v>
      </c>
      <c r="C66" s="110">
        <f t="shared" si="2"/>
        <v>2020</v>
      </c>
      <c r="D66" s="75">
        <f t="shared" si="3"/>
        <v>43924</v>
      </c>
      <c r="E66" s="284">
        <f>IFERROR(VLOOKUP($D66,Actual_Kirk_HDD!$A$4:$F$471,6,FALSE),0)</f>
        <v>13.90625</v>
      </c>
      <c r="F66" s="284">
        <f>IFERROR(VLOOKUP($A66&amp;$B66,'Staff Ranked NHDD'!$C$8:$F$374,2,FALSE),0)</f>
        <v>15.3687037037037</v>
      </c>
      <c r="H66" s="49"/>
      <c r="J66" s="74">
        <f>IFERROR(VLOOKUP($D66,Actual_CGI_HDD!$A$9:$E$532,5),0)</f>
        <v>3.5</v>
      </c>
      <c r="K66" s="284">
        <f>IFERROR(VLOOKUP($A66&amp;$B66,'Staff Ranked NHDD'!$C$8:$F$374,4,FALSE),0)</f>
        <v>0</v>
      </c>
      <c r="M66" s="279"/>
      <c r="N66" s="279"/>
      <c r="O66" s="72"/>
      <c r="P66" s="279"/>
    </row>
    <row r="67" spans="1:16" x14ac:dyDescent="0.25">
      <c r="A67" s="110">
        <f t="shared" si="0"/>
        <v>4</v>
      </c>
      <c r="B67" s="110">
        <f t="shared" si="1"/>
        <v>4</v>
      </c>
      <c r="C67" s="110">
        <f t="shared" si="2"/>
        <v>2020</v>
      </c>
      <c r="D67" s="75">
        <f t="shared" si="3"/>
        <v>43925</v>
      </c>
      <c r="E67" s="284">
        <f>IFERROR(VLOOKUP($D67,Actual_Kirk_HDD!$A$4:$F$471,6,FALSE),0)</f>
        <v>36.712499999999999</v>
      </c>
      <c r="F67" s="284">
        <f>IFERROR(VLOOKUP($A67&amp;$B67,'Staff Ranked NHDD'!$C$8:$F$374,2,FALSE),0)</f>
        <v>33.206111111111106</v>
      </c>
      <c r="H67" s="49"/>
      <c r="J67" s="74">
        <f>IFERROR(VLOOKUP($D67,Actual_CGI_HDD!$A$9:$E$532,5),0)</f>
        <v>13.5</v>
      </c>
      <c r="K67" s="284">
        <f>IFERROR(VLOOKUP($A67&amp;$B67,'Staff Ranked NHDD'!$C$8:$F$374,4,FALSE),0)</f>
        <v>14.495555555555557</v>
      </c>
      <c r="M67" s="279"/>
      <c r="N67" s="279"/>
      <c r="O67" s="72"/>
      <c r="P67" s="279"/>
    </row>
    <row r="68" spans="1:16" x14ac:dyDescent="0.25">
      <c r="A68" s="110">
        <f t="shared" si="0"/>
        <v>4</v>
      </c>
      <c r="B68" s="110">
        <f t="shared" si="1"/>
        <v>5</v>
      </c>
      <c r="C68" s="110">
        <f t="shared" si="2"/>
        <v>2020</v>
      </c>
      <c r="D68" s="75">
        <f t="shared" si="3"/>
        <v>43926</v>
      </c>
      <c r="E68" s="284">
        <f>IFERROR(VLOOKUP($D68,Actual_Kirk_HDD!$A$4:$F$471,6,FALSE),0)</f>
        <v>31.150000000000002</v>
      </c>
      <c r="F68" s="284">
        <f>IFERROR(VLOOKUP($A68&amp;$B68,'Staff Ranked NHDD'!$C$8:$F$374,2,FALSE),0)</f>
        <v>24.80407407407407</v>
      </c>
      <c r="H68" s="49"/>
      <c r="J68" s="74">
        <f>IFERROR(VLOOKUP($D68,Actual_CGI_HDD!$A$9:$E$532,5),0)</f>
        <v>10</v>
      </c>
      <c r="K68" s="284">
        <f>IFERROR(VLOOKUP($A68&amp;$B68,'Staff Ranked NHDD'!$C$8:$F$374,4,FALSE),0)</f>
        <v>7.8372222222222225</v>
      </c>
      <c r="M68" s="279"/>
      <c r="N68" s="279"/>
      <c r="O68" s="72"/>
      <c r="P68" s="279"/>
    </row>
    <row r="69" spans="1:16" x14ac:dyDescent="0.25">
      <c r="A69" s="110">
        <f t="shared" si="0"/>
        <v>4</v>
      </c>
      <c r="B69" s="110">
        <f t="shared" si="1"/>
        <v>6</v>
      </c>
      <c r="C69" s="110">
        <f t="shared" si="2"/>
        <v>2020</v>
      </c>
      <c r="D69" s="75">
        <f t="shared" si="3"/>
        <v>43927</v>
      </c>
      <c r="E69" s="284">
        <f>IFERROR(VLOOKUP($D69,Actual_Kirk_HDD!$A$4:$F$471,6,FALSE),0)</f>
        <v>22.806250000000002</v>
      </c>
      <c r="F69" s="284">
        <f>IFERROR(VLOOKUP($A69&amp;$B69,'Staff Ranked NHDD'!$C$8:$F$374,2,FALSE),0)</f>
        <v>17.896296296296295</v>
      </c>
      <c r="H69" s="49"/>
      <c r="J69" s="74">
        <f>IFERROR(VLOOKUP($D69,Actual_CGI_HDD!$A$9:$E$532,5),0)</f>
        <v>4.5</v>
      </c>
      <c r="K69" s="284">
        <f>IFERROR(VLOOKUP($A69&amp;$B69,'Staff Ranked NHDD'!$C$8:$F$374,4,FALSE),0)</f>
        <v>0</v>
      </c>
      <c r="M69" s="279"/>
      <c r="N69" s="279"/>
      <c r="O69" s="72"/>
      <c r="P69" s="279"/>
    </row>
    <row r="70" spans="1:16" x14ac:dyDescent="0.25">
      <c r="A70" s="110">
        <f t="shared" ref="A70:A133" si="4">MONTH(D70)</f>
        <v>4</v>
      </c>
      <c r="B70" s="110">
        <f t="shared" ref="B70:B133" si="5">+DAY(D70)</f>
        <v>7</v>
      </c>
      <c r="C70" s="110">
        <f t="shared" ref="C70:C133" si="6">YEAR(D70)</f>
        <v>2020</v>
      </c>
      <c r="D70" s="75">
        <f t="shared" ref="D70:D133" si="7">D69+1</f>
        <v>43928</v>
      </c>
      <c r="E70" s="284">
        <f>IFERROR(VLOOKUP($D70,Actual_Kirk_HDD!$A$4:$F$471,6,FALSE),0)</f>
        <v>8.34375</v>
      </c>
      <c r="F70" s="284">
        <f>IFERROR(VLOOKUP($A70&amp;$B70,'Staff Ranked NHDD'!$C$8:$F$374,2,FALSE),0)</f>
        <v>6.352777777777777</v>
      </c>
      <c r="H70" s="49"/>
      <c r="J70" s="74">
        <f>IFERROR(VLOOKUP($D70,Actual_CGI_HDD!$A$9:$E$532,5),0)</f>
        <v>0</v>
      </c>
      <c r="K70" s="284">
        <f>IFERROR(VLOOKUP($A70&amp;$B70,'Staff Ranked NHDD'!$C$8:$F$374,4,FALSE),0)</f>
        <v>0</v>
      </c>
      <c r="M70" s="279"/>
      <c r="N70" s="279"/>
      <c r="O70" s="72"/>
      <c r="P70" s="279"/>
    </row>
    <row r="71" spans="1:16" x14ac:dyDescent="0.25">
      <c r="A71" s="110">
        <f t="shared" si="4"/>
        <v>4</v>
      </c>
      <c r="B71" s="110">
        <f t="shared" si="5"/>
        <v>8</v>
      </c>
      <c r="C71" s="110">
        <f t="shared" si="6"/>
        <v>2020</v>
      </c>
      <c r="D71" s="75">
        <f t="shared" si="7"/>
        <v>43929</v>
      </c>
      <c r="E71" s="284">
        <f>IFERROR(VLOOKUP($D71,Actual_Kirk_HDD!$A$4:$F$471,6,FALSE),0)</f>
        <v>0</v>
      </c>
      <c r="F71" s="284">
        <f>IFERROR(VLOOKUP($A71&amp;$B71,'Staff Ranked NHDD'!$C$8:$F$374,2,FALSE),0)</f>
        <v>0</v>
      </c>
      <c r="H71" s="49"/>
      <c r="J71" s="74">
        <f>IFERROR(VLOOKUP($D71,Actual_CGI_HDD!$A$9:$E$532,5),0)</f>
        <v>0</v>
      </c>
      <c r="K71" s="284">
        <f>IFERROR(VLOOKUP($A71&amp;$B71,'Staff Ranked NHDD'!$C$8:$F$374,4,FALSE),0)</f>
        <v>0</v>
      </c>
      <c r="M71" s="279"/>
      <c r="N71" s="279"/>
      <c r="O71" s="72"/>
      <c r="P71" s="279"/>
    </row>
    <row r="72" spans="1:16" x14ac:dyDescent="0.25">
      <c r="A72" s="110">
        <f t="shared" si="4"/>
        <v>4</v>
      </c>
      <c r="B72" s="110">
        <f t="shared" si="5"/>
        <v>9</v>
      </c>
      <c r="C72" s="110">
        <f t="shared" si="6"/>
        <v>2020</v>
      </c>
      <c r="D72" s="75">
        <f t="shared" si="7"/>
        <v>43930</v>
      </c>
      <c r="E72" s="284">
        <f>IFERROR(VLOOKUP($D72,Actual_Kirk_HDD!$A$4:$F$471,6,FALSE),0)</f>
        <v>2.2250000000000001</v>
      </c>
      <c r="F72" s="284">
        <f>IFERROR(VLOOKUP($A72&amp;$B72,'Staff Ranked NHDD'!$C$8:$F$374,2,FALSE),0)</f>
        <v>1.0096296296296299</v>
      </c>
      <c r="H72" s="49"/>
      <c r="J72" s="74">
        <f>IFERROR(VLOOKUP($D72,Actual_CGI_HDD!$A$9:$E$532,5),0)</f>
        <v>10</v>
      </c>
      <c r="K72" s="284">
        <f>IFERROR(VLOOKUP($A72&amp;$B72,'Staff Ranked NHDD'!$C$8:$F$374,4,FALSE),0)</f>
        <v>7.1274074074074081</v>
      </c>
      <c r="M72" s="279"/>
      <c r="N72" s="279"/>
      <c r="O72" s="72"/>
      <c r="P72" s="279"/>
    </row>
    <row r="73" spans="1:16" x14ac:dyDescent="0.25">
      <c r="A73" s="110">
        <f t="shared" si="4"/>
        <v>4</v>
      </c>
      <c r="B73" s="110">
        <f t="shared" si="5"/>
        <v>10</v>
      </c>
      <c r="C73" s="110">
        <f t="shared" si="6"/>
        <v>2020</v>
      </c>
      <c r="D73" s="75">
        <f t="shared" si="7"/>
        <v>43931</v>
      </c>
      <c r="E73" s="284">
        <f>IFERROR(VLOOKUP($D73,Actual_Kirk_HDD!$A$4:$F$471,6,FALSE),0)</f>
        <v>25.587500000000002</v>
      </c>
      <c r="F73" s="284">
        <f>IFERROR(VLOOKUP($A73&amp;$B73,'Staff Ranked NHDD'!$C$8:$F$374,2,FALSE),0)</f>
        <v>19.974629629629629</v>
      </c>
      <c r="H73" s="49"/>
      <c r="J73" s="74">
        <f>IFERROR(VLOOKUP($D73,Actual_CGI_HDD!$A$9:$E$532,5),0)</f>
        <v>18</v>
      </c>
      <c r="K73" s="284">
        <f>IFERROR(VLOOKUP($A73&amp;$B73,'Staff Ranked NHDD'!$C$8:$F$374,4,FALSE),0)</f>
        <v>18.302407407407408</v>
      </c>
      <c r="M73" s="279"/>
      <c r="N73" s="279"/>
      <c r="O73" s="72"/>
      <c r="P73" s="279"/>
    </row>
    <row r="74" spans="1:16" x14ac:dyDescent="0.25">
      <c r="A74" s="110">
        <f t="shared" si="4"/>
        <v>4</v>
      </c>
      <c r="B74" s="110">
        <f t="shared" si="5"/>
        <v>11</v>
      </c>
      <c r="C74" s="110">
        <f t="shared" si="6"/>
        <v>2020</v>
      </c>
      <c r="D74" s="75">
        <f t="shared" si="7"/>
        <v>43932</v>
      </c>
      <c r="E74" s="284">
        <f>IFERROR(VLOOKUP($D74,Actual_Kirk_HDD!$A$4:$F$471,6,FALSE),0)</f>
        <v>25.03125</v>
      </c>
      <c r="F74" s="284">
        <f>IFERROR(VLOOKUP($A74&amp;$B74,'Staff Ranked NHDD'!$C$8:$F$374,2,FALSE),0)</f>
        <v>19.123888888888889</v>
      </c>
      <c r="H74" s="49"/>
      <c r="J74" s="74">
        <f>IFERROR(VLOOKUP($D74,Actual_CGI_HDD!$A$9:$E$532,5),0)</f>
        <v>12.5</v>
      </c>
      <c r="K74" s="284">
        <f>IFERROR(VLOOKUP($A74&amp;$B74,'Staff Ranked NHDD'!$C$8:$F$374,4,FALSE),0)</f>
        <v>12.688333333333333</v>
      </c>
      <c r="M74" s="279"/>
      <c r="N74" s="279"/>
      <c r="O74" s="72"/>
      <c r="P74" s="279"/>
    </row>
    <row r="75" spans="1:16" x14ac:dyDescent="0.25">
      <c r="A75" s="110">
        <f t="shared" si="4"/>
        <v>4</v>
      </c>
      <c r="B75" s="110">
        <f t="shared" si="5"/>
        <v>12</v>
      </c>
      <c r="C75" s="110">
        <f t="shared" si="6"/>
        <v>2020</v>
      </c>
      <c r="D75" s="75">
        <f t="shared" si="7"/>
        <v>43933</v>
      </c>
      <c r="E75" s="284">
        <f>IFERROR(VLOOKUP($D75,Actual_Kirk_HDD!$A$4:$F$471,6,FALSE),0)</f>
        <v>10.56875</v>
      </c>
      <c r="F75" s="284">
        <f>IFERROR(VLOOKUP($A75&amp;$B75,'Staff Ranked NHDD'!$C$8:$F$374,2,FALSE),0)</f>
        <v>10.536481481481482</v>
      </c>
      <c r="H75" s="49"/>
      <c r="J75" s="74">
        <f>IFERROR(VLOOKUP($D75,Actual_CGI_HDD!$A$9:$E$532,5),0)</f>
        <v>7.5</v>
      </c>
      <c r="K75" s="284">
        <f>IFERROR(VLOOKUP($A75&amp;$B75,'Staff Ranked NHDD'!$C$8:$F$374,4,FALSE),0)</f>
        <v>3.5242592592592588</v>
      </c>
      <c r="M75" s="279"/>
      <c r="N75" s="279"/>
      <c r="O75" s="72"/>
      <c r="P75" s="279"/>
    </row>
    <row r="76" spans="1:16" x14ac:dyDescent="0.25">
      <c r="A76" s="110">
        <f t="shared" si="4"/>
        <v>4</v>
      </c>
      <c r="B76" s="110">
        <f t="shared" si="5"/>
        <v>13</v>
      </c>
      <c r="C76" s="110">
        <f t="shared" si="6"/>
        <v>2020</v>
      </c>
      <c r="D76" s="75">
        <f t="shared" si="7"/>
        <v>43934</v>
      </c>
      <c r="E76" s="284">
        <f>IFERROR(VLOOKUP($D76,Actual_Kirk_HDD!$A$4:$F$471,6,FALSE),0)</f>
        <v>20.025000000000002</v>
      </c>
      <c r="F76" s="284">
        <f>IFERROR(VLOOKUP($A76&amp;$B76,'Staff Ranked NHDD'!$C$8:$F$374,2,FALSE),0)</f>
        <v>17.042222222222222</v>
      </c>
      <c r="H76" s="49"/>
      <c r="J76" s="74">
        <f>IFERROR(VLOOKUP($D76,Actual_CGI_HDD!$A$9:$E$532,5),0)</f>
        <v>15.5</v>
      </c>
      <c r="K76" s="284">
        <f>IFERROR(VLOOKUP($A76&amp;$B76,'Staff Ranked NHDD'!$C$8:$F$374,4,FALSE),0)</f>
        <v>15.515925925925925</v>
      </c>
      <c r="M76" s="279"/>
      <c r="N76" s="279"/>
      <c r="O76" s="72"/>
      <c r="P76" s="279"/>
    </row>
    <row r="77" spans="1:16" x14ac:dyDescent="0.25">
      <c r="A77" s="110">
        <f t="shared" si="4"/>
        <v>4</v>
      </c>
      <c r="B77" s="110">
        <f t="shared" si="5"/>
        <v>14</v>
      </c>
      <c r="C77" s="110">
        <f t="shared" si="6"/>
        <v>2020</v>
      </c>
      <c r="D77" s="75">
        <f t="shared" si="7"/>
        <v>43935</v>
      </c>
      <c r="E77" s="284">
        <f>IFERROR(VLOOKUP($D77,Actual_Kirk_HDD!$A$4:$F$471,6,FALSE),0)</f>
        <v>32.818750000000001</v>
      </c>
      <c r="F77" s="284">
        <f>IFERROR(VLOOKUP($A77&amp;$B77,'Staff Ranked NHDD'!$C$8:$F$374,2,FALSE),0)</f>
        <v>29.198333333333334</v>
      </c>
      <c r="H77" s="49"/>
      <c r="J77" s="74">
        <f>IFERROR(VLOOKUP($D77,Actual_CGI_HDD!$A$9:$E$532,5),0)</f>
        <v>22</v>
      </c>
      <c r="K77" s="284">
        <f>IFERROR(VLOOKUP($A77&amp;$B77,'Staff Ranked NHDD'!$C$8:$F$374,4,FALSE),0)</f>
        <v>26.646851851851856</v>
      </c>
      <c r="M77" s="279"/>
      <c r="N77" s="279"/>
      <c r="O77" s="72"/>
      <c r="P77" s="279"/>
    </row>
    <row r="78" spans="1:16" x14ac:dyDescent="0.25">
      <c r="A78" s="110">
        <f t="shared" si="4"/>
        <v>4</v>
      </c>
      <c r="B78" s="110">
        <f t="shared" si="5"/>
        <v>15</v>
      </c>
      <c r="C78" s="110">
        <f t="shared" si="6"/>
        <v>2020</v>
      </c>
      <c r="D78" s="75">
        <f t="shared" si="7"/>
        <v>43936</v>
      </c>
      <c r="E78" s="284">
        <f>IFERROR(VLOOKUP($D78,Actual_Kirk_HDD!$A$4:$F$471,6,FALSE),0)</f>
        <v>29.481250000000003</v>
      </c>
      <c r="F78" s="284">
        <f>IFERROR(VLOOKUP($A78&amp;$B78,'Staff Ranked NHDD'!$C$8:$F$374,2,FALSE),0)</f>
        <v>23.402037037037029</v>
      </c>
      <c r="H78" s="49"/>
      <c r="J78" s="74">
        <f>IFERROR(VLOOKUP($D78,Actual_CGI_HDD!$A$9:$E$532,5),0)</f>
        <v>18.5</v>
      </c>
      <c r="K78" s="284">
        <f>IFERROR(VLOOKUP($A78&amp;$B78,'Staff Ranked NHDD'!$C$8:$F$374,4,FALSE),0)</f>
        <v>19.818888888888885</v>
      </c>
      <c r="M78" s="279"/>
      <c r="N78" s="279"/>
      <c r="O78" s="72"/>
      <c r="P78" s="279"/>
    </row>
    <row r="79" spans="1:16" x14ac:dyDescent="0.25">
      <c r="A79" s="110">
        <f t="shared" si="4"/>
        <v>4</v>
      </c>
      <c r="B79" s="110">
        <f t="shared" si="5"/>
        <v>16</v>
      </c>
      <c r="C79" s="110">
        <f t="shared" si="6"/>
        <v>2020</v>
      </c>
      <c r="D79" s="75">
        <f t="shared" si="7"/>
        <v>43937</v>
      </c>
      <c r="E79" s="284">
        <f>IFERROR(VLOOKUP($D79,Actual_Kirk_HDD!$A$4:$F$471,6,FALSE),0)</f>
        <v>27.8125</v>
      </c>
      <c r="F79" s="284">
        <f>IFERROR(VLOOKUP($A79&amp;$B79,'Staff Ranked NHDD'!$C$8:$F$374,2,FALSE),0)</f>
        <v>21.171111111111109</v>
      </c>
      <c r="H79" s="49"/>
      <c r="J79" s="74">
        <f>IFERROR(VLOOKUP($D79,Actual_CGI_HDD!$A$9:$E$532,5),0)</f>
        <v>16</v>
      </c>
      <c r="K79" s="284">
        <f>IFERROR(VLOOKUP($A79&amp;$B79,'Staff Ranked NHDD'!$C$8:$F$374,4,FALSE),0)</f>
        <v>16.889444444444443</v>
      </c>
      <c r="M79" s="279"/>
      <c r="N79" s="279"/>
      <c r="O79" s="72"/>
      <c r="P79" s="279"/>
    </row>
    <row r="80" spans="1:16" x14ac:dyDescent="0.25">
      <c r="A80" s="110">
        <f t="shared" si="4"/>
        <v>4</v>
      </c>
      <c r="B80" s="110">
        <f t="shared" si="5"/>
        <v>17</v>
      </c>
      <c r="C80" s="110">
        <f t="shared" si="6"/>
        <v>2020</v>
      </c>
      <c r="D80" s="75">
        <f t="shared" si="7"/>
        <v>43938</v>
      </c>
      <c r="E80" s="284">
        <f>IFERROR(VLOOKUP($D80,Actual_Kirk_HDD!$A$4:$F$471,6,FALSE),0)</f>
        <v>32.818750000000001</v>
      </c>
      <c r="F80" s="284">
        <f>IFERROR(VLOOKUP($A80&amp;$B80,'Staff Ranked NHDD'!$C$8:$F$374,2,FALSE),0)</f>
        <v>26.697962962962961</v>
      </c>
      <c r="H80" s="49"/>
      <c r="J80" s="74">
        <f>IFERROR(VLOOKUP($D80,Actual_CGI_HDD!$A$9:$E$532,5),0)</f>
        <v>13.5</v>
      </c>
      <c r="K80" s="284">
        <f>IFERROR(VLOOKUP($A80&amp;$B80,'Staff Ranked NHDD'!$C$8:$F$374,4,FALSE),0)</f>
        <v>13.653703703703705</v>
      </c>
      <c r="M80" s="279"/>
      <c r="N80" s="279"/>
      <c r="O80" s="72"/>
      <c r="P80" s="279"/>
    </row>
    <row r="81" spans="1:16" x14ac:dyDescent="0.25">
      <c r="A81" s="110">
        <f t="shared" si="4"/>
        <v>4</v>
      </c>
      <c r="B81" s="110">
        <f t="shared" si="5"/>
        <v>18</v>
      </c>
      <c r="C81" s="110">
        <f t="shared" si="6"/>
        <v>2020</v>
      </c>
      <c r="D81" s="75">
        <f t="shared" si="7"/>
        <v>43939</v>
      </c>
      <c r="E81" s="284">
        <f>IFERROR(VLOOKUP($D81,Actual_Kirk_HDD!$A$4:$F$471,6,FALSE),0)</f>
        <v>29.481250000000003</v>
      </c>
      <c r="F81" s="284">
        <f>IFERROR(VLOOKUP($A81&amp;$B81,'Staff Ranked NHDD'!$C$8:$F$374,2,FALSE),0)</f>
        <v>22.302962962962965</v>
      </c>
      <c r="H81" s="49"/>
      <c r="J81" s="74">
        <f>IFERROR(VLOOKUP($D81,Actual_CGI_HDD!$A$9:$E$532,5),0)</f>
        <v>21</v>
      </c>
      <c r="K81" s="284">
        <f>IFERROR(VLOOKUP($A81&amp;$B81,'Staff Ranked NHDD'!$C$8:$F$374,4,FALSE),0)</f>
        <v>22.43</v>
      </c>
      <c r="M81" s="279"/>
      <c r="N81" s="279"/>
      <c r="O81" s="72"/>
      <c r="P81" s="279"/>
    </row>
    <row r="82" spans="1:16" x14ac:dyDescent="0.25">
      <c r="A82" s="110">
        <f t="shared" si="4"/>
        <v>4</v>
      </c>
      <c r="B82" s="110">
        <f t="shared" si="5"/>
        <v>19</v>
      </c>
      <c r="C82" s="110">
        <f t="shared" si="6"/>
        <v>2020</v>
      </c>
      <c r="D82" s="75">
        <f t="shared" si="7"/>
        <v>43940</v>
      </c>
      <c r="E82" s="284">
        <f>IFERROR(VLOOKUP($D82,Actual_Kirk_HDD!$A$4:$F$471,6,FALSE),0)</f>
        <v>19.46875</v>
      </c>
      <c r="F82" s="284">
        <f>IFERROR(VLOOKUP($A82&amp;$B82,'Staff Ranked NHDD'!$C$8:$F$374,2,FALSE),0)</f>
        <v>16.192037037037032</v>
      </c>
      <c r="H82" s="49"/>
      <c r="J82" s="74">
        <f>IFERROR(VLOOKUP($D82,Actual_CGI_HDD!$A$9:$E$532,5),0)</f>
        <v>11</v>
      </c>
      <c r="K82" s="284">
        <f>IFERROR(VLOOKUP($A82&amp;$B82,'Staff Ranked NHDD'!$C$8:$F$374,4,FALSE),0)</f>
        <v>9.5764814814814816</v>
      </c>
      <c r="M82" s="279"/>
      <c r="N82" s="279"/>
      <c r="O82" s="72"/>
      <c r="P82" s="279"/>
    </row>
    <row r="83" spans="1:16" x14ac:dyDescent="0.25">
      <c r="A83" s="110">
        <f t="shared" si="4"/>
        <v>4</v>
      </c>
      <c r="B83" s="110">
        <f t="shared" si="5"/>
        <v>20</v>
      </c>
      <c r="C83" s="110">
        <f t="shared" si="6"/>
        <v>2020</v>
      </c>
      <c r="D83" s="75">
        <f t="shared" si="7"/>
        <v>43941</v>
      </c>
      <c r="E83" s="284">
        <f>IFERROR(VLOOKUP($D83,Actual_Kirk_HDD!$A$4:$F$471,6,FALSE),0)</f>
        <v>13.90625</v>
      </c>
      <c r="F83" s="284">
        <f>IFERROR(VLOOKUP($A83&amp;$B83,'Staff Ranked NHDD'!$C$8:$F$374,2,FALSE),0)</f>
        <v>14.625185185185185</v>
      </c>
      <c r="H83" s="49"/>
      <c r="J83" s="74">
        <f>IFERROR(VLOOKUP($D83,Actual_CGI_HDD!$A$9:$E$532,5),0)</f>
        <v>9.5</v>
      </c>
      <c r="K83" s="284">
        <f>IFERROR(VLOOKUP($A83&amp;$B83,'Staff Ranked NHDD'!$C$8:$F$374,4,FALSE),0)</f>
        <v>5.458333333333333</v>
      </c>
      <c r="M83" s="279"/>
      <c r="N83" s="279"/>
      <c r="O83" s="72"/>
      <c r="P83" s="279"/>
    </row>
    <row r="84" spans="1:16" x14ac:dyDescent="0.25">
      <c r="A84" s="110">
        <f t="shared" si="4"/>
        <v>4</v>
      </c>
      <c r="B84" s="110">
        <f t="shared" si="5"/>
        <v>21</v>
      </c>
      <c r="C84" s="110">
        <f t="shared" si="6"/>
        <v>2020</v>
      </c>
      <c r="D84" s="75">
        <f t="shared" si="7"/>
        <v>43942</v>
      </c>
      <c r="E84" s="284">
        <f>IFERROR(VLOOKUP($D84,Actual_Kirk_HDD!$A$4:$F$471,6,FALSE),0)</f>
        <v>11.125</v>
      </c>
      <c r="F84" s="284">
        <f>IFERROR(VLOOKUP($A84&amp;$B84,'Staff Ranked NHDD'!$C$8:$F$374,2,FALSE),0)</f>
        <v>11.393888888888887</v>
      </c>
      <c r="H84" s="49"/>
      <c r="J84" s="74">
        <f>IFERROR(VLOOKUP($D84,Actual_CGI_HDD!$A$9:$E$532,5),0)</f>
        <v>7.5</v>
      </c>
      <c r="K84" s="284">
        <f>IFERROR(VLOOKUP($A84&amp;$B84,'Staff Ranked NHDD'!$C$8:$F$374,4,FALSE),0)</f>
        <v>2.7599999999999993</v>
      </c>
      <c r="M84" s="279"/>
      <c r="N84" s="279"/>
      <c r="O84" s="72"/>
      <c r="P84" s="279"/>
    </row>
    <row r="85" spans="1:16" x14ac:dyDescent="0.25">
      <c r="A85" s="110">
        <f t="shared" si="4"/>
        <v>4</v>
      </c>
      <c r="B85" s="110">
        <f t="shared" si="5"/>
        <v>22</v>
      </c>
      <c r="C85" s="110">
        <f t="shared" si="6"/>
        <v>2020</v>
      </c>
      <c r="D85" s="75">
        <f t="shared" si="7"/>
        <v>43943</v>
      </c>
      <c r="E85" s="284">
        <f>IFERROR(VLOOKUP($D85,Actual_Kirk_HDD!$A$4:$F$471,6,FALSE),0)</f>
        <v>10.012500000000001</v>
      </c>
      <c r="F85" s="284">
        <f>IFERROR(VLOOKUP($A85&amp;$B85,'Staff Ranked NHDD'!$C$8:$F$374,2,FALSE),0)</f>
        <v>9.5966666666666658</v>
      </c>
      <c r="H85" s="49"/>
      <c r="J85" s="74">
        <f>IFERROR(VLOOKUP($D85,Actual_CGI_HDD!$A$9:$E$532,5),0)</f>
        <v>12.5</v>
      </c>
      <c r="K85" s="284">
        <f>IFERROR(VLOOKUP($A85&amp;$B85,'Staff Ranked NHDD'!$C$8:$F$374,4,FALSE),0)</f>
        <v>11.841666666666667</v>
      </c>
      <c r="M85" s="279"/>
      <c r="N85" s="279"/>
      <c r="O85" s="72"/>
      <c r="P85" s="279"/>
    </row>
    <row r="86" spans="1:16" x14ac:dyDescent="0.25">
      <c r="A86" s="110">
        <f t="shared" si="4"/>
        <v>4</v>
      </c>
      <c r="B86" s="110">
        <f t="shared" si="5"/>
        <v>23</v>
      </c>
      <c r="C86" s="110">
        <f t="shared" si="6"/>
        <v>2020</v>
      </c>
      <c r="D86" s="75">
        <f t="shared" si="7"/>
        <v>43944</v>
      </c>
      <c r="E86" s="284">
        <f>IFERROR(VLOOKUP($D86,Actual_Kirk_HDD!$A$4:$F$471,6,FALSE),0)</f>
        <v>5.0062500000000005</v>
      </c>
      <c r="F86" s="284">
        <f>IFERROR(VLOOKUP($A86&amp;$B86,'Staff Ranked NHDD'!$C$8:$F$374,2,FALSE),0)</f>
        <v>5.3733333333333331</v>
      </c>
      <c r="H86" s="49"/>
      <c r="J86" s="74">
        <f>IFERROR(VLOOKUP($D86,Actual_CGI_HDD!$A$9:$E$532,5),0)</f>
        <v>8</v>
      </c>
      <c r="K86" s="284">
        <f>IFERROR(VLOOKUP($A86&amp;$B86,'Staff Ranked NHDD'!$C$8:$F$374,4,FALSE),0)</f>
        <v>4.4479629629629622</v>
      </c>
      <c r="M86" s="279"/>
      <c r="N86" s="279"/>
      <c r="O86" s="72"/>
      <c r="P86" s="279"/>
    </row>
    <row r="87" spans="1:16" x14ac:dyDescent="0.25">
      <c r="A87" s="110">
        <f t="shared" si="4"/>
        <v>4</v>
      </c>
      <c r="B87" s="110">
        <f t="shared" si="5"/>
        <v>24</v>
      </c>
      <c r="C87" s="110">
        <f t="shared" si="6"/>
        <v>2020</v>
      </c>
      <c r="D87" s="75">
        <f t="shared" si="7"/>
        <v>43945</v>
      </c>
      <c r="E87" s="284">
        <f>IFERROR(VLOOKUP($D87,Actual_Kirk_HDD!$A$4:$F$471,6,FALSE),0)</f>
        <v>2.78125</v>
      </c>
      <c r="F87" s="284">
        <f>IFERROR(VLOOKUP($A87&amp;$B87,'Staff Ranked NHDD'!$C$8:$F$374,2,FALSE),0)</f>
        <v>2.6312962962962967</v>
      </c>
      <c r="H87" s="49"/>
      <c r="J87" s="74">
        <f>IFERROR(VLOOKUP($D87,Actual_CGI_HDD!$A$9:$E$532,5),0)</f>
        <v>7.5</v>
      </c>
      <c r="K87" s="284">
        <f>IFERROR(VLOOKUP($A87&amp;$B87,'Staff Ranked NHDD'!$C$8:$F$374,4,FALSE),0)</f>
        <v>1.6033333333333339</v>
      </c>
      <c r="M87" s="279"/>
      <c r="N87" s="279"/>
      <c r="O87" s="72"/>
      <c r="P87" s="279"/>
    </row>
    <row r="88" spans="1:16" x14ac:dyDescent="0.25">
      <c r="A88" s="110">
        <f t="shared" si="4"/>
        <v>4</v>
      </c>
      <c r="B88" s="110">
        <f t="shared" si="5"/>
        <v>25</v>
      </c>
      <c r="C88" s="110">
        <f t="shared" si="6"/>
        <v>2020</v>
      </c>
      <c r="D88" s="75">
        <f t="shared" si="7"/>
        <v>43946</v>
      </c>
      <c r="E88" s="284">
        <f>IFERROR(VLOOKUP($D88,Actual_Kirk_HDD!$A$4:$F$471,6,FALSE),0)</f>
        <v>8.9</v>
      </c>
      <c r="F88" s="284">
        <f>IFERROR(VLOOKUP($A88&amp;$B88,'Staff Ranked NHDD'!$C$8:$F$374,2,FALSE),0)</f>
        <v>7.5246296296296293</v>
      </c>
      <c r="H88" s="49"/>
      <c r="J88" s="74">
        <f>IFERROR(VLOOKUP($D88,Actual_CGI_HDD!$A$9:$E$532,5),0)</f>
        <v>7.5</v>
      </c>
      <c r="K88" s="284">
        <f>IFERROR(VLOOKUP($A88&amp;$B88,'Staff Ranked NHDD'!$C$8:$F$374,4,FALSE),0)</f>
        <v>0.70833333333333359</v>
      </c>
      <c r="M88" s="279"/>
      <c r="N88" s="279"/>
      <c r="O88" s="72"/>
      <c r="P88" s="279"/>
    </row>
    <row r="89" spans="1:16" x14ac:dyDescent="0.25">
      <c r="A89" s="110">
        <f t="shared" si="4"/>
        <v>4</v>
      </c>
      <c r="B89" s="110">
        <f t="shared" si="5"/>
        <v>26</v>
      </c>
      <c r="C89" s="110">
        <f t="shared" si="6"/>
        <v>2020</v>
      </c>
      <c r="D89" s="75">
        <f t="shared" si="7"/>
        <v>43947</v>
      </c>
      <c r="E89" s="284">
        <f>IFERROR(VLOOKUP($D89,Actual_Kirk_HDD!$A$4:$F$471,6,FALSE),0)</f>
        <v>12.237500000000001</v>
      </c>
      <c r="F89" s="284">
        <f>IFERROR(VLOOKUP($A89&amp;$B89,'Staff Ranked NHDD'!$C$8:$F$374,2,FALSE),0)</f>
        <v>13.144444444444446</v>
      </c>
      <c r="H89" s="49"/>
      <c r="J89" s="74">
        <f>IFERROR(VLOOKUP($D89,Actual_CGI_HDD!$A$9:$E$532,5),0)</f>
        <v>10</v>
      </c>
      <c r="K89" s="284">
        <f>IFERROR(VLOOKUP($A89&amp;$B89,'Staff Ranked NHDD'!$C$8:$F$374,4,FALSE),0)</f>
        <v>6.3129629629629624</v>
      </c>
      <c r="M89" s="279"/>
      <c r="N89" s="279"/>
      <c r="O89" s="72"/>
      <c r="P89" s="279"/>
    </row>
    <row r="90" spans="1:16" x14ac:dyDescent="0.25">
      <c r="A90" s="110">
        <f t="shared" si="4"/>
        <v>4</v>
      </c>
      <c r="B90" s="110">
        <f t="shared" si="5"/>
        <v>27</v>
      </c>
      <c r="C90" s="110">
        <f t="shared" si="6"/>
        <v>2020</v>
      </c>
      <c r="D90" s="75">
        <f t="shared" si="7"/>
        <v>43948</v>
      </c>
      <c r="E90" s="284">
        <f>IFERROR(VLOOKUP($D90,Actual_Kirk_HDD!$A$4:$F$471,6,FALSE),0)</f>
        <v>5.0062500000000005</v>
      </c>
      <c r="F90" s="284">
        <f>IFERROR(VLOOKUP($A90&amp;$B90,'Staff Ranked NHDD'!$C$8:$F$374,2,FALSE),0)</f>
        <v>4.1103703703703705</v>
      </c>
      <c r="H90" s="49"/>
      <c r="J90" s="74">
        <f>IFERROR(VLOOKUP($D90,Actual_CGI_HDD!$A$9:$E$532,5),0)</f>
        <v>12.5</v>
      </c>
      <c r="K90" s="284">
        <f>IFERROR(VLOOKUP($A90&amp;$B90,'Staff Ranked NHDD'!$C$8:$F$374,4,FALSE),0)</f>
        <v>11.198888888888888</v>
      </c>
      <c r="M90" s="279"/>
      <c r="N90" s="279"/>
      <c r="O90" s="72"/>
      <c r="P90" s="279"/>
    </row>
    <row r="91" spans="1:16" x14ac:dyDescent="0.25">
      <c r="A91" s="110">
        <f t="shared" si="4"/>
        <v>4</v>
      </c>
      <c r="B91" s="110">
        <f t="shared" si="5"/>
        <v>28</v>
      </c>
      <c r="C91" s="110">
        <f t="shared" si="6"/>
        <v>2020</v>
      </c>
      <c r="D91" s="75">
        <f t="shared" si="7"/>
        <v>43949</v>
      </c>
      <c r="E91" s="284">
        <f>IFERROR(VLOOKUP($D91,Actual_Kirk_HDD!$A$4:$F$471,6,FALSE),0)</f>
        <v>0.55625000000000002</v>
      </c>
      <c r="F91" s="284">
        <f>IFERROR(VLOOKUP($A91&amp;$B91,'Staff Ranked NHDD'!$C$8:$F$374,2,FALSE),0)</f>
        <v>0</v>
      </c>
      <c r="H91" s="49"/>
      <c r="J91" s="74">
        <f>IFERROR(VLOOKUP($D91,Actual_CGI_HDD!$A$9:$E$532,5),0)</f>
        <v>0.5</v>
      </c>
      <c r="K91" s="284">
        <f>IFERROR(VLOOKUP($A91&amp;$B91,'Staff Ranked NHDD'!$C$8:$F$374,4,FALSE),0)</f>
        <v>0</v>
      </c>
      <c r="M91" s="279"/>
      <c r="N91" s="279"/>
      <c r="O91" s="72"/>
      <c r="P91" s="279"/>
    </row>
    <row r="92" spans="1:16" x14ac:dyDescent="0.25">
      <c r="A92" s="110">
        <f t="shared" si="4"/>
        <v>4</v>
      </c>
      <c r="B92" s="110">
        <f t="shared" si="5"/>
        <v>29</v>
      </c>
      <c r="C92" s="110">
        <f t="shared" si="6"/>
        <v>2020</v>
      </c>
      <c r="D92" s="75">
        <f t="shared" si="7"/>
        <v>43950</v>
      </c>
      <c r="E92" s="284">
        <f>IFERROR(VLOOKUP($D92,Actual_Kirk_HDD!$A$4:$F$471,6,FALSE),0)</f>
        <v>2.2250000000000001</v>
      </c>
      <c r="F92" s="284">
        <f>IFERROR(VLOOKUP($A92&amp;$B92,'Staff Ranked NHDD'!$C$8:$F$374,2,FALSE),0)</f>
        <v>2.222222222222096E-3</v>
      </c>
      <c r="H92" s="49"/>
      <c r="J92" s="74">
        <f>IFERROR(VLOOKUP($D92,Actual_CGI_HDD!$A$9:$E$532,5),0)</f>
        <v>4.5</v>
      </c>
      <c r="K92" s="284">
        <f>IFERROR(VLOOKUP($A92&amp;$B92,'Staff Ranked NHDD'!$C$8:$F$374,4,FALSE),0)</f>
        <v>0</v>
      </c>
      <c r="M92" s="279"/>
      <c r="N92" s="279"/>
      <c r="O92" s="72"/>
      <c r="P92" s="279"/>
    </row>
    <row r="93" spans="1:16" x14ac:dyDescent="0.25">
      <c r="A93" s="110">
        <f t="shared" si="4"/>
        <v>4</v>
      </c>
      <c r="B93" s="110">
        <f t="shared" si="5"/>
        <v>30</v>
      </c>
      <c r="C93" s="110">
        <f t="shared" si="6"/>
        <v>2020</v>
      </c>
      <c r="D93" s="75">
        <f t="shared" si="7"/>
        <v>43951</v>
      </c>
      <c r="E93" s="284">
        <f>IFERROR(VLOOKUP($D93,Actual_Kirk_HDD!$A$4:$F$471,6,FALSE),0)</f>
        <v>9.4562500000000007</v>
      </c>
      <c r="F93" s="284">
        <f>IFERROR(VLOOKUP($A93&amp;$B93,'Staff Ranked NHDD'!$C$8:$F$374,2,FALSE),0)</f>
        <v>8.6698148148148118</v>
      </c>
      <c r="H93" s="49"/>
      <c r="J93" s="74">
        <f>IFERROR(VLOOKUP($D93,Actual_CGI_HDD!$A$9:$E$532,5),0)</f>
        <v>5.5</v>
      </c>
      <c r="K93" s="284">
        <f>IFERROR(VLOOKUP($A93&amp;$B93,'Staff Ranked NHDD'!$C$8:$F$374,4,FALSE),0)</f>
        <v>3.166666666666676E-2</v>
      </c>
      <c r="M93" s="279"/>
      <c r="N93" s="279"/>
      <c r="O93" s="72"/>
      <c r="P93" s="279"/>
    </row>
    <row r="94" spans="1:16" x14ac:dyDescent="0.25">
      <c r="A94" s="110">
        <f t="shared" si="4"/>
        <v>5</v>
      </c>
      <c r="B94" s="110">
        <f t="shared" si="5"/>
        <v>1</v>
      </c>
      <c r="C94" s="110">
        <f t="shared" si="6"/>
        <v>2020</v>
      </c>
      <c r="D94" s="75">
        <f t="shared" si="7"/>
        <v>43952</v>
      </c>
      <c r="E94" s="284">
        <f>IFERROR(VLOOKUP($D94,Actual_Kirk_HDD!$A$4:$F$471,6,FALSE),0)</f>
        <v>6.4414999999999996</v>
      </c>
      <c r="F94" s="284">
        <f>IFERROR(VLOOKUP($A94&amp;$B94,'Staff Ranked NHDD'!$C$8:$F$374,2,FALSE),0)</f>
        <v>5.1713978494623651</v>
      </c>
      <c r="H94" s="49"/>
      <c r="J94" s="74">
        <f>IFERROR(VLOOKUP($D94,Actual_CGI_HDD!$A$9:$E$532,5),0)</f>
        <v>6</v>
      </c>
      <c r="K94" s="284">
        <f>IFERROR(VLOOKUP($A94&amp;$B94,'Staff Ranked NHDD'!$C$8:$F$374,4,FALSE),0)</f>
        <v>2.792150537634408</v>
      </c>
      <c r="M94" s="279"/>
      <c r="N94" s="279"/>
      <c r="O94" s="72"/>
      <c r="P94" s="279"/>
    </row>
    <row r="95" spans="1:16" x14ac:dyDescent="0.25">
      <c r="A95" s="110">
        <f t="shared" si="4"/>
        <v>5</v>
      </c>
      <c r="B95" s="110">
        <f t="shared" si="5"/>
        <v>2</v>
      </c>
      <c r="C95" s="110">
        <f t="shared" si="6"/>
        <v>2020</v>
      </c>
      <c r="D95" s="75">
        <f t="shared" si="7"/>
        <v>43953</v>
      </c>
      <c r="E95" s="284">
        <f>IFERROR(VLOOKUP($D95,Actual_Kirk_HDD!$A$4:$F$471,6,FALSE),0)</f>
        <v>2.5766</v>
      </c>
      <c r="F95" s="284">
        <f>IFERROR(VLOOKUP($A95&amp;$B95,'Staff Ranked NHDD'!$C$8:$F$374,2,FALSE),0)</f>
        <v>0.78505376344085775</v>
      </c>
      <c r="H95" s="49"/>
      <c r="J95" s="74">
        <f>IFERROR(VLOOKUP($D95,Actual_CGI_HDD!$A$9:$E$532,5),0)</f>
        <v>0</v>
      </c>
      <c r="K95" s="284">
        <f>IFERROR(VLOOKUP($A95&amp;$B95,'Staff Ranked NHDD'!$C$8:$F$374,4,FALSE),0)</f>
        <v>0</v>
      </c>
      <c r="M95" s="279"/>
      <c r="N95" s="279"/>
      <c r="O95" s="72"/>
      <c r="P95" s="279"/>
    </row>
    <row r="96" spans="1:16" x14ac:dyDescent="0.25">
      <c r="A96" s="110">
        <f t="shared" si="4"/>
        <v>5</v>
      </c>
      <c r="B96" s="110">
        <f t="shared" si="5"/>
        <v>3</v>
      </c>
      <c r="C96" s="110">
        <f t="shared" si="6"/>
        <v>2020</v>
      </c>
      <c r="D96" s="75">
        <f t="shared" si="7"/>
        <v>43954</v>
      </c>
      <c r="E96" s="284">
        <f>IFERROR(VLOOKUP($D96,Actual_Kirk_HDD!$A$4:$F$471,6,FALSE),0)</f>
        <v>0</v>
      </c>
      <c r="F96" s="284">
        <f>IFERROR(VLOOKUP($A96&amp;$B96,'Staff Ranked NHDD'!$C$8:$F$374,2,FALSE),0)</f>
        <v>0</v>
      </c>
      <c r="H96" s="49"/>
      <c r="J96" s="74">
        <f>IFERROR(VLOOKUP($D96,Actual_CGI_HDD!$A$9:$E$532,5),0)</f>
        <v>0</v>
      </c>
      <c r="K96" s="284">
        <f>IFERROR(VLOOKUP($A96&amp;$B96,'Staff Ranked NHDD'!$C$8:$F$374,4,FALSE),0)</f>
        <v>0</v>
      </c>
      <c r="M96" s="279"/>
      <c r="N96" s="279"/>
      <c r="O96" s="72"/>
      <c r="P96" s="279"/>
    </row>
    <row r="97" spans="1:16" x14ac:dyDescent="0.25">
      <c r="A97" s="110">
        <f t="shared" si="4"/>
        <v>5</v>
      </c>
      <c r="B97" s="110">
        <f t="shared" si="5"/>
        <v>4</v>
      </c>
      <c r="C97" s="110">
        <f t="shared" si="6"/>
        <v>2020</v>
      </c>
      <c r="D97" s="75">
        <f t="shared" si="7"/>
        <v>43955</v>
      </c>
      <c r="E97" s="284">
        <f>IFERROR(VLOOKUP($D97,Actual_Kirk_HDD!$A$4:$F$471,6,FALSE),0)</f>
        <v>3.8649</v>
      </c>
      <c r="F97" s="284">
        <f>IFERROR(VLOOKUP($A97&amp;$B97,'Staff Ranked NHDD'!$C$8:$F$374,2,FALSE),0)</f>
        <v>3.8116129032258059</v>
      </c>
      <c r="H97" s="49"/>
      <c r="J97" s="74">
        <f>IFERROR(VLOOKUP($D97,Actual_CGI_HDD!$A$9:$E$532,5),0)</f>
        <v>2</v>
      </c>
      <c r="K97" s="284">
        <f>IFERROR(VLOOKUP($A97&amp;$B97,'Staff Ranked NHDD'!$C$8:$F$374,4,FALSE),0)</f>
        <v>1.221612903225809</v>
      </c>
      <c r="M97" s="279"/>
      <c r="N97" s="279"/>
      <c r="O97" s="72"/>
      <c r="P97" s="279"/>
    </row>
    <row r="98" spans="1:16" x14ac:dyDescent="0.25">
      <c r="A98" s="110">
        <f t="shared" si="4"/>
        <v>5</v>
      </c>
      <c r="B98" s="110">
        <f t="shared" si="5"/>
        <v>5</v>
      </c>
      <c r="C98" s="110">
        <f t="shared" si="6"/>
        <v>2020</v>
      </c>
      <c r="D98" s="75">
        <f t="shared" si="7"/>
        <v>43956</v>
      </c>
      <c r="E98" s="284">
        <f>IFERROR(VLOOKUP($D98,Actual_Kirk_HDD!$A$4:$F$471,6,FALSE),0)</f>
        <v>13.527150000000001</v>
      </c>
      <c r="F98" s="284">
        <f>IFERROR(VLOOKUP($A98&amp;$B98,'Staff Ranked NHDD'!$C$8:$F$374,2,FALSE),0)</f>
        <v>9.8802150537634432</v>
      </c>
      <c r="H98" s="49"/>
      <c r="J98" s="74">
        <f>IFERROR(VLOOKUP($D98,Actual_CGI_HDD!$A$9:$E$532,5),0)</f>
        <v>1</v>
      </c>
      <c r="K98" s="284">
        <f>IFERROR(VLOOKUP($A98&amp;$B98,'Staff Ranked NHDD'!$C$8:$F$374,4,FALSE),0)</f>
        <v>0.4753405017921139</v>
      </c>
      <c r="M98" s="279"/>
      <c r="N98" s="279"/>
      <c r="O98" s="72"/>
      <c r="P98" s="279"/>
    </row>
    <row r="99" spans="1:16" x14ac:dyDescent="0.25">
      <c r="A99" s="110">
        <f t="shared" si="4"/>
        <v>5</v>
      </c>
      <c r="B99" s="110">
        <f t="shared" si="5"/>
        <v>6</v>
      </c>
      <c r="C99" s="110">
        <f t="shared" si="6"/>
        <v>2020</v>
      </c>
      <c r="D99" s="75">
        <f t="shared" si="7"/>
        <v>43957</v>
      </c>
      <c r="E99" s="284">
        <f>IFERROR(VLOOKUP($D99,Actual_Kirk_HDD!$A$4:$F$471,6,FALSE),0)</f>
        <v>13.527150000000001</v>
      </c>
      <c r="F99" s="284">
        <f>IFERROR(VLOOKUP($A99&amp;$B99,'Staff Ranked NHDD'!$C$8:$F$374,2,FALSE),0)</f>
        <v>8.982849462365591</v>
      </c>
      <c r="H99" s="49"/>
      <c r="J99" s="74">
        <f>IFERROR(VLOOKUP($D99,Actual_CGI_HDD!$A$9:$E$532,5),0)</f>
        <v>12</v>
      </c>
      <c r="K99" s="284">
        <f>IFERROR(VLOOKUP($A99&amp;$B99,'Staff Ranked NHDD'!$C$8:$F$374,4,FALSE),0)</f>
        <v>6.4521863799283157</v>
      </c>
      <c r="M99" s="279"/>
      <c r="N99" s="279"/>
      <c r="O99" s="72"/>
      <c r="P99" s="279"/>
    </row>
    <row r="100" spans="1:16" x14ac:dyDescent="0.25">
      <c r="A100" s="110">
        <f t="shared" si="4"/>
        <v>5</v>
      </c>
      <c r="B100" s="110">
        <f t="shared" si="5"/>
        <v>7</v>
      </c>
      <c r="C100" s="110">
        <f t="shared" si="6"/>
        <v>2020</v>
      </c>
      <c r="D100" s="75">
        <f t="shared" si="7"/>
        <v>43958</v>
      </c>
      <c r="E100" s="284">
        <f>IFERROR(VLOOKUP($D100,Actual_Kirk_HDD!$A$4:$F$471,6,FALSE),0)</f>
        <v>19.96865</v>
      </c>
      <c r="F100" s="284">
        <f>IFERROR(VLOOKUP($A100&amp;$B100,'Staff Ranked NHDD'!$C$8:$F$374,2,FALSE),0)</f>
        <v>13.489767025089604</v>
      </c>
      <c r="H100" s="49"/>
      <c r="J100" s="74">
        <f>IFERROR(VLOOKUP($D100,Actual_CGI_HDD!$A$9:$E$532,5),0)</f>
        <v>11</v>
      </c>
      <c r="K100" s="284">
        <f>IFERROR(VLOOKUP($A100&amp;$B100,'Staff Ranked NHDD'!$C$8:$F$374,4,FALSE),0)</f>
        <v>5.3442114695340477</v>
      </c>
      <c r="M100" s="279"/>
      <c r="N100" s="279"/>
      <c r="O100" s="72"/>
      <c r="P100" s="279"/>
    </row>
    <row r="101" spans="1:16" x14ac:dyDescent="0.25">
      <c r="A101" s="110">
        <f t="shared" si="4"/>
        <v>5</v>
      </c>
      <c r="B101" s="110">
        <f t="shared" si="5"/>
        <v>8</v>
      </c>
      <c r="C101" s="110">
        <f t="shared" si="6"/>
        <v>2020</v>
      </c>
      <c r="D101" s="75">
        <f t="shared" si="7"/>
        <v>43959</v>
      </c>
      <c r="E101" s="284">
        <f>IFERROR(VLOOKUP($D101,Actual_Kirk_HDD!$A$4:$F$471,6,FALSE),0)</f>
        <v>11.5947</v>
      </c>
      <c r="F101" s="284">
        <f>IFERROR(VLOOKUP($A101&amp;$B101,'Staff Ranked NHDD'!$C$8:$F$374,2,FALSE),0)</f>
        <v>8.0816666666666688</v>
      </c>
      <c r="H101" s="49"/>
      <c r="J101" s="74">
        <f>IFERROR(VLOOKUP($D101,Actual_CGI_HDD!$A$9:$E$532,5),0)</f>
        <v>12.5</v>
      </c>
      <c r="K101" s="284">
        <f>IFERROR(VLOOKUP($A101&amp;$B101,'Staff Ranked NHDD'!$C$8:$F$374,4,FALSE),0)</f>
        <v>7.5023118279569854</v>
      </c>
      <c r="M101" s="279"/>
      <c r="N101" s="279"/>
      <c r="O101" s="72"/>
      <c r="P101" s="279"/>
    </row>
    <row r="102" spans="1:16" x14ac:dyDescent="0.25">
      <c r="A102" s="110">
        <f t="shared" si="4"/>
        <v>5</v>
      </c>
      <c r="B102" s="110">
        <f t="shared" si="5"/>
        <v>9</v>
      </c>
      <c r="C102" s="110">
        <f t="shared" si="6"/>
        <v>2020</v>
      </c>
      <c r="D102" s="75">
        <f t="shared" si="7"/>
        <v>43960</v>
      </c>
      <c r="E102" s="284">
        <f>IFERROR(VLOOKUP($D102,Actual_Kirk_HDD!$A$4:$F$471,6,FALSE),0)</f>
        <v>23.833549999999999</v>
      </c>
      <c r="F102" s="284">
        <f>IFERROR(VLOOKUP($A102&amp;$B102,'Staff Ranked NHDD'!$C$8:$F$374,2,FALSE),0)</f>
        <v>21.017365591397848</v>
      </c>
      <c r="H102" s="49"/>
      <c r="J102" s="74">
        <f>IFERROR(VLOOKUP($D102,Actual_CGI_HDD!$A$9:$E$532,5),0)</f>
        <v>14</v>
      </c>
      <c r="K102" s="284">
        <f>IFERROR(VLOOKUP($A102&amp;$B102,'Staff Ranked NHDD'!$C$8:$F$374,4,FALSE),0)</f>
        <v>14.161756272401432</v>
      </c>
      <c r="M102" s="279"/>
      <c r="N102" s="279"/>
      <c r="O102" s="72"/>
      <c r="P102" s="279"/>
    </row>
    <row r="103" spans="1:16" x14ac:dyDescent="0.25">
      <c r="A103" s="110">
        <f t="shared" si="4"/>
        <v>5</v>
      </c>
      <c r="B103" s="110">
        <f t="shared" si="5"/>
        <v>10</v>
      </c>
      <c r="C103" s="110">
        <f t="shared" si="6"/>
        <v>2020</v>
      </c>
      <c r="D103" s="75">
        <f t="shared" si="7"/>
        <v>43961</v>
      </c>
      <c r="E103" s="284">
        <f>IFERROR(VLOOKUP($D103,Actual_Kirk_HDD!$A$4:$F$471,6,FALSE),0)</f>
        <v>16.103750000000002</v>
      </c>
      <c r="F103" s="284">
        <f>IFERROR(VLOOKUP($A103&amp;$B103,'Staff Ranked NHDD'!$C$8:$F$374,2,FALSE),0)</f>
        <v>10.827544802867385</v>
      </c>
      <c r="H103" s="49"/>
      <c r="J103" s="74">
        <f>IFERROR(VLOOKUP($D103,Actual_CGI_HDD!$A$9:$E$532,5),0)</f>
        <v>8</v>
      </c>
      <c r="K103" s="284">
        <f>IFERROR(VLOOKUP($A103&amp;$B103,'Staff Ranked NHDD'!$C$8:$F$374,4,FALSE),0)</f>
        <v>4.3445878136200689</v>
      </c>
      <c r="M103" s="279"/>
      <c r="N103" s="279"/>
      <c r="O103" s="72"/>
      <c r="P103" s="279"/>
    </row>
    <row r="104" spans="1:16" x14ac:dyDescent="0.25">
      <c r="A104" s="110">
        <f t="shared" si="4"/>
        <v>5</v>
      </c>
      <c r="B104" s="110">
        <f t="shared" si="5"/>
        <v>11</v>
      </c>
      <c r="C104" s="110">
        <f t="shared" si="6"/>
        <v>2020</v>
      </c>
      <c r="D104" s="75">
        <f t="shared" si="7"/>
        <v>43962</v>
      </c>
      <c r="E104" s="284">
        <f>IFERROR(VLOOKUP($D104,Actual_Kirk_HDD!$A$4:$F$471,6,FALSE),0)</f>
        <v>21.9011</v>
      </c>
      <c r="F104" s="284">
        <f>IFERROR(VLOOKUP($A104&amp;$B104,'Staff Ranked NHDD'!$C$8:$F$374,2,FALSE),0)</f>
        <v>17.241881720430108</v>
      </c>
      <c r="H104" s="49"/>
      <c r="J104" s="74">
        <f>IFERROR(VLOOKUP($D104,Actual_CGI_HDD!$A$9:$E$532,5),0)</f>
        <v>13.5</v>
      </c>
      <c r="K104" s="284">
        <f>IFERROR(VLOOKUP($A104&amp;$B104,'Staff Ranked NHDD'!$C$8:$F$374,4,FALSE),0)</f>
        <v>8.9752508960573412</v>
      </c>
      <c r="M104" s="279"/>
      <c r="N104" s="279"/>
      <c r="O104" s="72"/>
      <c r="P104" s="279"/>
    </row>
    <row r="105" spans="1:16" x14ac:dyDescent="0.25">
      <c r="A105" s="110">
        <f t="shared" si="4"/>
        <v>5</v>
      </c>
      <c r="B105" s="110">
        <f t="shared" si="5"/>
        <v>12</v>
      </c>
      <c r="C105" s="110">
        <f t="shared" si="6"/>
        <v>2020</v>
      </c>
      <c r="D105" s="75">
        <f t="shared" si="7"/>
        <v>43963</v>
      </c>
      <c r="E105" s="284">
        <f>IFERROR(VLOOKUP($D105,Actual_Kirk_HDD!$A$4:$F$471,6,FALSE),0)</f>
        <v>20.6128</v>
      </c>
      <c r="F105" s="284">
        <f>IFERROR(VLOOKUP($A105&amp;$B105,'Staff Ranked NHDD'!$C$8:$F$374,2,FALSE),0)</f>
        <v>15.166075268817208</v>
      </c>
      <c r="H105" s="49"/>
      <c r="J105" s="74">
        <f>IFERROR(VLOOKUP($D105,Actual_CGI_HDD!$A$9:$E$532,5),0)</f>
        <v>14</v>
      </c>
      <c r="K105" s="284">
        <f>IFERROR(VLOOKUP($A105&amp;$B105,'Staff Ranked NHDD'!$C$8:$F$374,4,FALSE),0)</f>
        <v>10.776702508960573</v>
      </c>
      <c r="M105" s="279"/>
      <c r="N105" s="279"/>
      <c r="O105" s="72"/>
      <c r="P105" s="279"/>
    </row>
    <row r="106" spans="1:16" x14ac:dyDescent="0.25">
      <c r="A106" s="110">
        <f t="shared" si="4"/>
        <v>5</v>
      </c>
      <c r="B106" s="110">
        <f t="shared" si="5"/>
        <v>13</v>
      </c>
      <c r="C106" s="110">
        <f t="shared" si="6"/>
        <v>2020</v>
      </c>
      <c r="D106" s="75">
        <f t="shared" si="7"/>
        <v>43964</v>
      </c>
      <c r="E106" s="284">
        <f>IFERROR(VLOOKUP($D106,Actual_Kirk_HDD!$A$4:$F$471,6,FALSE),0)</f>
        <v>18.680350000000001</v>
      </c>
      <c r="F106" s="284">
        <f>IFERROR(VLOOKUP($A106&amp;$B106,'Staff Ranked NHDD'!$C$8:$F$374,2,FALSE),0)</f>
        <v>12.038440860215056</v>
      </c>
      <c r="H106" s="49"/>
      <c r="J106" s="74">
        <f>IFERROR(VLOOKUP($D106,Actual_CGI_HDD!$A$9:$E$532,5),0)</f>
        <v>7.5</v>
      </c>
      <c r="K106" s="284">
        <f>IFERROR(VLOOKUP($A106&amp;$B106,'Staff Ranked NHDD'!$C$8:$F$374,4,FALSE),0)</f>
        <v>3.6909318996415759</v>
      </c>
      <c r="M106" s="279"/>
      <c r="N106" s="279"/>
      <c r="O106" s="72"/>
      <c r="P106" s="279"/>
    </row>
    <row r="107" spans="1:16" x14ac:dyDescent="0.25">
      <c r="A107" s="110">
        <f t="shared" si="4"/>
        <v>5</v>
      </c>
      <c r="B107" s="110">
        <f t="shared" si="5"/>
        <v>14</v>
      </c>
      <c r="C107" s="110">
        <f t="shared" si="6"/>
        <v>2020</v>
      </c>
      <c r="D107" s="75">
        <f t="shared" si="7"/>
        <v>43965</v>
      </c>
      <c r="E107" s="284">
        <f>IFERROR(VLOOKUP($D107,Actual_Kirk_HDD!$A$4:$F$471,6,FALSE),0)</f>
        <v>11.5947</v>
      </c>
      <c r="F107" s="284">
        <f>IFERROR(VLOOKUP($A107&amp;$B107,'Staff Ranked NHDD'!$C$8:$F$374,2,FALSE),0)</f>
        <v>7.2565591397849447</v>
      </c>
      <c r="H107" s="49"/>
      <c r="J107" s="74">
        <f>IFERROR(VLOOKUP($D107,Actual_CGI_HDD!$A$9:$E$532,5),0)</f>
        <v>0</v>
      </c>
      <c r="K107" s="284">
        <f>IFERROR(VLOOKUP($A107&amp;$B107,'Staff Ranked NHDD'!$C$8:$F$374,4,FALSE),0)</f>
        <v>0</v>
      </c>
      <c r="M107" s="279"/>
      <c r="N107" s="279"/>
      <c r="O107" s="72"/>
      <c r="P107" s="279"/>
    </row>
    <row r="108" spans="1:16" x14ac:dyDescent="0.25">
      <c r="A108" s="110">
        <f t="shared" si="4"/>
        <v>5</v>
      </c>
      <c r="B108" s="110">
        <f t="shared" si="5"/>
        <v>15</v>
      </c>
      <c r="C108" s="110">
        <f t="shared" si="6"/>
        <v>2020</v>
      </c>
      <c r="D108" s="75">
        <f t="shared" si="7"/>
        <v>43966</v>
      </c>
      <c r="E108" s="284">
        <f>IFERROR(VLOOKUP($D108,Actual_Kirk_HDD!$A$4:$F$471,6,FALSE),0)</f>
        <v>0</v>
      </c>
      <c r="F108" s="284">
        <f>IFERROR(VLOOKUP($A108&amp;$B108,'Staff Ranked NHDD'!$C$8:$F$374,2,FALSE),0)</f>
        <v>0</v>
      </c>
      <c r="H108" s="49"/>
      <c r="J108" s="74">
        <f>IFERROR(VLOOKUP($D108,Actual_CGI_HDD!$A$9:$E$532,5),0)</f>
        <v>0</v>
      </c>
      <c r="K108" s="284">
        <f>IFERROR(VLOOKUP($A108&amp;$B108,'Staff Ranked NHDD'!$C$8:$F$374,4,FALSE),0)</f>
        <v>0</v>
      </c>
      <c r="M108" s="279"/>
      <c r="N108" s="279"/>
      <c r="O108" s="72"/>
      <c r="P108" s="279"/>
    </row>
    <row r="109" spans="1:16" x14ac:dyDescent="0.25">
      <c r="A109" s="110">
        <f t="shared" si="4"/>
        <v>5</v>
      </c>
      <c r="B109" s="110">
        <f t="shared" si="5"/>
        <v>16</v>
      </c>
      <c r="C109" s="110">
        <f t="shared" si="6"/>
        <v>2020</v>
      </c>
      <c r="D109" s="75">
        <f t="shared" si="7"/>
        <v>43967</v>
      </c>
      <c r="E109" s="284">
        <f>IFERROR(VLOOKUP($D109,Actual_Kirk_HDD!$A$4:$F$471,6,FALSE),0)</f>
        <v>0</v>
      </c>
      <c r="F109" s="284">
        <f>IFERROR(VLOOKUP($A109&amp;$B109,'Staff Ranked NHDD'!$C$8:$F$374,2,FALSE),0)</f>
        <v>0</v>
      </c>
      <c r="H109" s="49"/>
      <c r="J109" s="74">
        <f>IFERROR(VLOOKUP($D109,Actual_CGI_HDD!$A$9:$E$532,5),0)</f>
        <v>0</v>
      </c>
      <c r="K109" s="284">
        <f>IFERROR(VLOOKUP($A109&amp;$B109,'Staff Ranked NHDD'!$C$8:$F$374,4,FALSE),0)</f>
        <v>0</v>
      </c>
      <c r="M109" s="279"/>
      <c r="N109" s="279"/>
      <c r="O109" s="72"/>
      <c r="P109" s="279"/>
    </row>
    <row r="110" spans="1:16" x14ac:dyDescent="0.25">
      <c r="A110" s="110">
        <f t="shared" si="4"/>
        <v>5</v>
      </c>
      <c r="B110" s="110">
        <f t="shared" si="5"/>
        <v>17</v>
      </c>
      <c r="C110" s="110">
        <f t="shared" si="6"/>
        <v>2020</v>
      </c>
      <c r="D110" s="75">
        <f t="shared" si="7"/>
        <v>43968</v>
      </c>
      <c r="E110" s="284">
        <f>IFERROR(VLOOKUP($D110,Actual_Kirk_HDD!$A$4:$F$471,6,FALSE),0)</f>
        <v>0</v>
      </c>
      <c r="F110" s="284">
        <f>IFERROR(VLOOKUP($A110&amp;$B110,'Staff Ranked NHDD'!$C$8:$F$374,2,FALSE),0)</f>
        <v>4.1075268817203893E-2</v>
      </c>
      <c r="H110" s="49"/>
      <c r="J110" s="74">
        <f>IFERROR(VLOOKUP($D110,Actual_CGI_HDD!$A$9:$E$532,5),0)</f>
        <v>0</v>
      </c>
      <c r="K110" s="284">
        <f>IFERROR(VLOOKUP($A110&amp;$B110,'Staff Ranked NHDD'!$C$8:$F$374,4,FALSE),0)</f>
        <v>0</v>
      </c>
      <c r="M110" s="279"/>
      <c r="N110" s="279"/>
      <c r="O110" s="72"/>
      <c r="P110" s="279"/>
    </row>
    <row r="111" spans="1:16" x14ac:dyDescent="0.25">
      <c r="A111" s="110">
        <f t="shared" si="4"/>
        <v>5</v>
      </c>
      <c r="B111" s="110">
        <f t="shared" si="5"/>
        <v>18</v>
      </c>
      <c r="C111" s="110">
        <f t="shared" si="6"/>
        <v>2020</v>
      </c>
      <c r="D111" s="75">
        <f t="shared" si="7"/>
        <v>43969</v>
      </c>
      <c r="E111" s="284">
        <f>IFERROR(VLOOKUP($D111,Actual_Kirk_HDD!$A$4:$F$471,6,FALSE),0)</f>
        <v>5.1532</v>
      </c>
      <c r="F111" s="284">
        <f>IFERROR(VLOOKUP($A111&amp;$B111,'Staff Ranked NHDD'!$C$8:$F$374,2,FALSE),0)</f>
        <v>4.5589784946236547</v>
      </c>
      <c r="H111" s="49"/>
      <c r="J111" s="74">
        <f>IFERROR(VLOOKUP($D111,Actual_CGI_HDD!$A$9:$E$532,5),0)</f>
        <v>4.5</v>
      </c>
      <c r="K111" s="284">
        <f>IFERROR(VLOOKUP($A111&amp;$B111,'Staff Ranked NHDD'!$C$8:$F$374,4,FALSE),0)</f>
        <v>2.012078853046595</v>
      </c>
      <c r="M111" s="279"/>
      <c r="N111" s="279"/>
      <c r="O111" s="72"/>
      <c r="P111" s="279"/>
    </row>
    <row r="112" spans="1:16" x14ac:dyDescent="0.25">
      <c r="A112" s="110">
        <f t="shared" si="4"/>
        <v>5</v>
      </c>
      <c r="B112" s="110">
        <f t="shared" si="5"/>
        <v>19</v>
      </c>
      <c r="C112" s="110">
        <f t="shared" si="6"/>
        <v>2020</v>
      </c>
      <c r="D112" s="75">
        <f t="shared" si="7"/>
        <v>43970</v>
      </c>
      <c r="E112" s="284">
        <f>IFERROR(VLOOKUP($D112,Actual_Kirk_HDD!$A$4:$F$471,6,FALSE),0)</f>
        <v>10.3064</v>
      </c>
      <c r="F112" s="284">
        <f>IFERROR(VLOOKUP($A112&amp;$B112,'Staff Ranked NHDD'!$C$8:$F$374,2,FALSE),0)</f>
        <v>6.6210752688172052</v>
      </c>
      <c r="H112" s="49"/>
      <c r="J112" s="74">
        <f>IFERROR(VLOOKUP($D112,Actual_CGI_HDD!$A$9:$E$532,5),0)</f>
        <v>0</v>
      </c>
      <c r="K112" s="284">
        <f>IFERROR(VLOOKUP($A112&amp;$B112,'Staff Ranked NHDD'!$C$8:$F$374,4,FALSE),0)</f>
        <v>2.1899641577060435E-2</v>
      </c>
      <c r="M112" s="279"/>
      <c r="N112" s="279"/>
      <c r="O112" s="72"/>
      <c r="P112" s="279"/>
    </row>
    <row r="113" spans="1:16" x14ac:dyDescent="0.25">
      <c r="A113" s="110">
        <f t="shared" si="4"/>
        <v>5</v>
      </c>
      <c r="B113" s="110">
        <f t="shared" si="5"/>
        <v>20</v>
      </c>
      <c r="C113" s="110">
        <f t="shared" si="6"/>
        <v>2020</v>
      </c>
      <c r="D113" s="75">
        <f t="shared" si="7"/>
        <v>43971</v>
      </c>
      <c r="E113" s="284">
        <f>IFERROR(VLOOKUP($D113,Actual_Kirk_HDD!$A$4:$F$471,6,FALSE),0)</f>
        <v>7.0856500000000002</v>
      </c>
      <c r="F113" s="284">
        <f>IFERROR(VLOOKUP($A113&amp;$B113,'Staff Ranked NHDD'!$C$8:$F$374,2,FALSE),0)</f>
        <v>5.9051254480286746</v>
      </c>
      <c r="H113" s="49"/>
      <c r="J113" s="74">
        <f>IFERROR(VLOOKUP($D113,Actual_CGI_HDD!$A$9:$E$532,5),0)</f>
        <v>0</v>
      </c>
      <c r="K113" s="284">
        <f>IFERROR(VLOOKUP($A113&amp;$B113,'Staff Ranked NHDD'!$C$8:$F$374,4,FALSE),0)</f>
        <v>0</v>
      </c>
      <c r="M113" s="279"/>
      <c r="N113" s="279"/>
      <c r="O113" s="72"/>
      <c r="P113" s="279"/>
    </row>
    <row r="114" spans="1:16" x14ac:dyDescent="0.25">
      <c r="A114" s="110">
        <f t="shared" si="4"/>
        <v>5</v>
      </c>
      <c r="B114" s="110">
        <f t="shared" si="5"/>
        <v>21</v>
      </c>
      <c r="C114" s="110">
        <f t="shared" si="6"/>
        <v>2020</v>
      </c>
      <c r="D114" s="75">
        <f t="shared" si="7"/>
        <v>43972</v>
      </c>
      <c r="E114" s="284">
        <f>IFERROR(VLOOKUP($D114,Actual_Kirk_HDD!$A$4:$F$471,6,FALSE),0)</f>
        <v>3.8649</v>
      </c>
      <c r="F114" s="284">
        <f>IFERROR(VLOOKUP($A114&amp;$B114,'Staff Ranked NHDD'!$C$8:$F$374,2,FALSE),0)</f>
        <v>3.0827956989247287</v>
      </c>
      <c r="H114" s="49"/>
      <c r="J114" s="74">
        <f>IFERROR(VLOOKUP($D114,Actual_CGI_HDD!$A$9:$E$532,5),0)</f>
        <v>0</v>
      </c>
      <c r="K114" s="284">
        <f>IFERROR(VLOOKUP($A114&amp;$B114,'Staff Ranked NHDD'!$C$8:$F$374,4,FALSE),0)</f>
        <v>0</v>
      </c>
      <c r="M114" s="279"/>
      <c r="N114" s="279"/>
      <c r="O114" s="72"/>
      <c r="P114" s="279"/>
    </row>
    <row r="115" spans="1:16" x14ac:dyDescent="0.25">
      <c r="A115" s="110">
        <f t="shared" si="4"/>
        <v>5</v>
      </c>
      <c r="B115" s="110">
        <f t="shared" si="5"/>
        <v>22</v>
      </c>
      <c r="C115" s="110">
        <f t="shared" si="6"/>
        <v>2020</v>
      </c>
      <c r="D115" s="75">
        <f t="shared" si="7"/>
        <v>43973</v>
      </c>
      <c r="E115" s="284">
        <f>IFERROR(VLOOKUP($D115,Actual_Kirk_HDD!$A$4:$F$471,6,FALSE),0)</f>
        <v>3.8649</v>
      </c>
      <c r="F115" s="284">
        <f>IFERROR(VLOOKUP($A115&amp;$B115,'Staff Ranked NHDD'!$C$8:$F$374,2,FALSE),0)</f>
        <v>2.3866129032258052</v>
      </c>
      <c r="H115" s="49"/>
      <c r="J115" s="74">
        <f>IFERROR(VLOOKUP($D115,Actual_CGI_HDD!$A$9:$E$532,5),0)</f>
        <v>0</v>
      </c>
      <c r="K115" s="284">
        <f>IFERROR(VLOOKUP($A115&amp;$B115,'Staff Ranked NHDD'!$C$8:$F$374,4,FALSE),0)</f>
        <v>0</v>
      </c>
      <c r="M115" s="279"/>
      <c r="N115" s="279"/>
      <c r="O115" s="72"/>
      <c r="P115" s="279"/>
    </row>
    <row r="116" spans="1:16" x14ac:dyDescent="0.25">
      <c r="A116" s="110">
        <f t="shared" si="4"/>
        <v>5</v>
      </c>
      <c r="B116" s="110">
        <f t="shared" si="5"/>
        <v>23</v>
      </c>
      <c r="C116" s="110">
        <f t="shared" si="6"/>
        <v>2020</v>
      </c>
      <c r="D116" s="75">
        <f t="shared" si="7"/>
        <v>43974</v>
      </c>
      <c r="E116" s="284">
        <f>IFERROR(VLOOKUP($D116,Actual_Kirk_HDD!$A$4:$F$471,6,FALSE),0)</f>
        <v>0</v>
      </c>
      <c r="F116" s="284">
        <f>IFERROR(VLOOKUP($A116&amp;$B116,'Staff Ranked NHDD'!$C$8:$F$374,2,FALSE),0)</f>
        <v>0</v>
      </c>
      <c r="H116" s="49"/>
      <c r="J116" s="74">
        <f>IFERROR(VLOOKUP($D116,Actual_CGI_HDD!$A$9:$E$532,5),0)</f>
        <v>0</v>
      </c>
      <c r="K116" s="284">
        <f>IFERROR(VLOOKUP($A116&amp;$B116,'Staff Ranked NHDD'!$C$8:$F$374,4,FALSE),0)</f>
        <v>0</v>
      </c>
      <c r="M116" s="279"/>
      <c r="N116" s="279"/>
      <c r="O116" s="72"/>
      <c r="P116" s="279"/>
    </row>
    <row r="117" spans="1:16" x14ac:dyDescent="0.25">
      <c r="A117" s="110">
        <f t="shared" si="4"/>
        <v>5</v>
      </c>
      <c r="B117" s="110">
        <f t="shared" si="5"/>
        <v>24</v>
      </c>
      <c r="C117" s="110">
        <f t="shared" si="6"/>
        <v>2020</v>
      </c>
      <c r="D117" s="75">
        <f t="shared" si="7"/>
        <v>43975</v>
      </c>
      <c r="E117" s="284">
        <f>IFERROR(VLOOKUP($D117,Actual_Kirk_HDD!$A$4:$F$471,6,FALSE),0)</f>
        <v>0</v>
      </c>
      <c r="F117" s="284">
        <f>IFERROR(VLOOKUP($A117&amp;$B117,'Staff Ranked NHDD'!$C$8:$F$374,2,FALSE),0)</f>
        <v>0</v>
      </c>
      <c r="H117" s="49"/>
      <c r="J117" s="74">
        <f>IFERROR(VLOOKUP($D117,Actual_CGI_HDD!$A$9:$E$532,5),0)</f>
        <v>0</v>
      </c>
      <c r="K117" s="284">
        <f>IFERROR(VLOOKUP($A117&amp;$B117,'Staff Ranked NHDD'!$C$8:$F$374,4,FALSE),0)</f>
        <v>0</v>
      </c>
      <c r="M117" s="279"/>
      <c r="N117" s="279"/>
      <c r="O117" s="72"/>
      <c r="P117" s="279"/>
    </row>
    <row r="118" spans="1:16" x14ac:dyDescent="0.25">
      <c r="A118" s="110">
        <f t="shared" si="4"/>
        <v>5</v>
      </c>
      <c r="B118" s="110">
        <f t="shared" si="5"/>
        <v>25</v>
      </c>
      <c r="C118" s="110">
        <f t="shared" si="6"/>
        <v>2020</v>
      </c>
      <c r="D118" s="75">
        <f t="shared" si="7"/>
        <v>43976</v>
      </c>
      <c r="E118" s="284">
        <f>IFERROR(VLOOKUP($D118,Actual_Kirk_HDD!$A$4:$F$471,6,FALSE),0)</f>
        <v>0</v>
      </c>
      <c r="F118" s="284">
        <f>IFERROR(VLOOKUP($A118&amp;$B118,'Staff Ranked NHDD'!$C$8:$F$374,2,FALSE),0)</f>
        <v>0</v>
      </c>
      <c r="H118" s="49"/>
      <c r="J118" s="74">
        <f>IFERROR(VLOOKUP($D118,Actual_CGI_HDD!$A$9:$E$532,5),0)</f>
        <v>0</v>
      </c>
      <c r="K118" s="284">
        <f>IFERROR(VLOOKUP($A118&amp;$B118,'Staff Ranked NHDD'!$C$8:$F$374,4,FALSE),0)</f>
        <v>0</v>
      </c>
      <c r="M118" s="279"/>
      <c r="N118" s="279"/>
      <c r="O118" s="72"/>
      <c r="P118" s="279"/>
    </row>
    <row r="119" spans="1:16" x14ac:dyDescent="0.25">
      <c r="A119" s="110">
        <f t="shared" si="4"/>
        <v>5</v>
      </c>
      <c r="B119" s="110">
        <f t="shared" si="5"/>
        <v>26</v>
      </c>
      <c r="C119" s="110">
        <f t="shared" si="6"/>
        <v>2020</v>
      </c>
      <c r="D119" s="75">
        <f t="shared" si="7"/>
        <v>43977</v>
      </c>
      <c r="E119" s="284">
        <f>IFERROR(VLOOKUP($D119,Actual_Kirk_HDD!$A$4:$F$471,6,FALSE),0)</f>
        <v>0</v>
      </c>
      <c r="F119" s="284">
        <f>IFERROR(VLOOKUP($A119&amp;$B119,'Staff Ranked NHDD'!$C$8:$F$374,2,FALSE),0)</f>
        <v>0</v>
      </c>
      <c r="H119" s="49"/>
      <c r="J119" s="74">
        <f>IFERROR(VLOOKUP($D119,Actual_CGI_HDD!$A$9:$E$532,5),0)</f>
        <v>0</v>
      </c>
      <c r="K119" s="284">
        <f>IFERROR(VLOOKUP($A119&amp;$B119,'Staff Ranked NHDD'!$C$8:$F$374,4,FALSE),0)</f>
        <v>0</v>
      </c>
      <c r="M119" s="279"/>
      <c r="N119" s="279"/>
      <c r="O119" s="72"/>
      <c r="P119" s="279"/>
    </row>
    <row r="120" spans="1:16" x14ac:dyDescent="0.25">
      <c r="A120" s="110">
        <f t="shared" si="4"/>
        <v>5</v>
      </c>
      <c r="B120" s="110">
        <f t="shared" si="5"/>
        <v>27</v>
      </c>
      <c r="C120" s="110">
        <f t="shared" si="6"/>
        <v>2020</v>
      </c>
      <c r="D120" s="75">
        <f t="shared" si="7"/>
        <v>43978</v>
      </c>
      <c r="E120" s="284">
        <f>IFERROR(VLOOKUP($D120,Actual_Kirk_HDD!$A$4:$F$471,6,FALSE),0)</f>
        <v>0</v>
      </c>
      <c r="F120" s="284">
        <f>IFERROR(VLOOKUP($A120&amp;$B120,'Staff Ranked NHDD'!$C$8:$F$374,2,FALSE),0)</f>
        <v>0</v>
      </c>
      <c r="H120" s="49"/>
      <c r="J120" s="74">
        <f>IFERROR(VLOOKUP($D120,Actual_CGI_HDD!$A$9:$E$532,5),0)</f>
        <v>0</v>
      </c>
      <c r="K120" s="284">
        <f>IFERROR(VLOOKUP($A120&amp;$B120,'Staff Ranked NHDD'!$C$8:$F$374,4,FALSE),0)</f>
        <v>0</v>
      </c>
      <c r="M120" s="279"/>
      <c r="N120" s="279"/>
      <c r="O120" s="72"/>
      <c r="P120" s="279"/>
    </row>
    <row r="121" spans="1:16" x14ac:dyDescent="0.25">
      <c r="A121" s="110">
        <f t="shared" si="4"/>
        <v>5</v>
      </c>
      <c r="B121" s="110">
        <f t="shared" si="5"/>
        <v>28</v>
      </c>
      <c r="C121" s="110">
        <f t="shared" si="6"/>
        <v>2020</v>
      </c>
      <c r="D121" s="75">
        <f t="shared" si="7"/>
        <v>43979</v>
      </c>
      <c r="E121" s="284">
        <f>IFERROR(VLOOKUP($D121,Actual_Kirk_HDD!$A$4:$F$471,6,FALSE),0)</f>
        <v>0</v>
      </c>
      <c r="F121" s="284">
        <f>IFERROR(VLOOKUP($A121&amp;$B121,'Staff Ranked NHDD'!$C$8:$F$374,2,FALSE),0)</f>
        <v>0</v>
      </c>
      <c r="H121" s="49"/>
      <c r="J121" s="74">
        <f>IFERROR(VLOOKUP($D121,Actual_CGI_HDD!$A$9:$E$532,5),0)</f>
        <v>0</v>
      </c>
      <c r="K121" s="284">
        <f>IFERROR(VLOOKUP($A121&amp;$B121,'Staff Ranked NHDD'!$C$8:$F$374,4,FALSE),0)</f>
        <v>0</v>
      </c>
      <c r="M121" s="279"/>
      <c r="N121" s="279"/>
      <c r="O121" s="72"/>
      <c r="P121" s="279"/>
    </row>
    <row r="122" spans="1:16" x14ac:dyDescent="0.25">
      <c r="A122" s="110">
        <f t="shared" si="4"/>
        <v>5</v>
      </c>
      <c r="B122" s="110">
        <f t="shared" si="5"/>
        <v>29</v>
      </c>
      <c r="C122" s="110">
        <f t="shared" si="6"/>
        <v>2020</v>
      </c>
      <c r="D122" s="75">
        <f t="shared" si="7"/>
        <v>43980</v>
      </c>
      <c r="E122" s="284">
        <f>IFERROR(VLOOKUP($D122,Actual_Kirk_HDD!$A$4:$F$471,6,FALSE),0)</f>
        <v>3.8649</v>
      </c>
      <c r="F122" s="284">
        <f>IFERROR(VLOOKUP($A122&amp;$B122,'Staff Ranked NHDD'!$C$8:$F$374,2,FALSE),0)</f>
        <v>1.6625806451612888</v>
      </c>
      <c r="H122" s="49"/>
      <c r="J122" s="74">
        <f>IFERROR(VLOOKUP($D122,Actual_CGI_HDD!$A$9:$E$532,5),0)</f>
        <v>0</v>
      </c>
      <c r="K122" s="284">
        <f>IFERROR(VLOOKUP($A122&amp;$B122,'Staff Ranked NHDD'!$C$8:$F$374,4,FALSE),0)</f>
        <v>0</v>
      </c>
      <c r="M122" s="279"/>
      <c r="N122" s="279"/>
      <c r="O122" s="72"/>
      <c r="P122" s="279"/>
    </row>
    <row r="123" spans="1:16" x14ac:dyDescent="0.25">
      <c r="A123" s="110">
        <f t="shared" si="4"/>
        <v>5</v>
      </c>
      <c r="B123" s="110">
        <f t="shared" si="5"/>
        <v>30</v>
      </c>
      <c r="C123" s="110">
        <f t="shared" si="6"/>
        <v>2020</v>
      </c>
      <c r="D123" s="75">
        <f t="shared" si="7"/>
        <v>43981</v>
      </c>
      <c r="E123" s="284">
        <f>IFERROR(VLOOKUP($D123,Actual_Kirk_HDD!$A$4:$F$471,6,FALSE),0)</f>
        <v>0</v>
      </c>
      <c r="F123" s="284">
        <f>IFERROR(VLOOKUP($A123&amp;$B123,'Staff Ranked NHDD'!$C$8:$F$374,2,FALSE),0)</f>
        <v>0</v>
      </c>
      <c r="H123" s="49"/>
      <c r="J123" s="74">
        <f>IFERROR(VLOOKUP($D123,Actual_CGI_HDD!$A$9:$E$532,5),0)</f>
        <v>0</v>
      </c>
      <c r="K123" s="284">
        <f>IFERROR(VLOOKUP($A123&amp;$B123,'Staff Ranked NHDD'!$C$8:$F$374,4,FALSE),0)</f>
        <v>0</v>
      </c>
      <c r="M123" s="279"/>
      <c r="N123" s="279"/>
      <c r="O123" s="72"/>
      <c r="P123" s="279"/>
    </row>
    <row r="124" spans="1:16" x14ac:dyDescent="0.25">
      <c r="A124" s="110">
        <f t="shared" si="4"/>
        <v>5</v>
      </c>
      <c r="B124" s="110">
        <f t="shared" si="5"/>
        <v>31</v>
      </c>
      <c r="C124" s="110">
        <f t="shared" si="6"/>
        <v>2020</v>
      </c>
      <c r="D124" s="75">
        <f t="shared" si="7"/>
        <v>43982</v>
      </c>
      <c r="E124" s="284">
        <f>IFERROR(VLOOKUP($D124,Actual_Kirk_HDD!$A$4:$F$471,6,FALSE),0)</f>
        <v>0</v>
      </c>
      <c r="F124" s="284">
        <f>IFERROR(VLOOKUP($A124&amp;$B124,'Staff Ranked NHDD'!$C$8:$F$374,2,FALSE),0)</f>
        <v>0</v>
      </c>
      <c r="H124" s="49"/>
      <c r="J124" s="74">
        <f>IFERROR(VLOOKUP($D124,Actual_CGI_HDD!$A$9:$E$532,5),0)</f>
        <v>0</v>
      </c>
      <c r="K124" s="284">
        <f>IFERROR(VLOOKUP($A124&amp;$B124,'Staff Ranked NHDD'!$C$8:$F$374,4,FALSE),0)</f>
        <v>0</v>
      </c>
      <c r="M124" s="279"/>
      <c r="N124" s="279"/>
      <c r="O124" s="72"/>
      <c r="P124" s="279"/>
    </row>
    <row r="125" spans="1:16" x14ac:dyDescent="0.25">
      <c r="A125" s="110">
        <f t="shared" si="4"/>
        <v>6</v>
      </c>
      <c r="B125" s="110">
        <f t="shared" si="5"/>
        <v>1</v>
      </c>
      <c r="C125" s="110">
        <f t="shared" si="6"/>
        <v>2020</v>
      </c>
      <c r="D125" s="75">
        <f t="shared" si="7"/>
        <v>43983</v>
      </c>
      <c r="E125" s="284">
        <f>IFERROR(VLOOKUP($D125,Actual_Kirk_HDD!$A$4:$F$471,6,FALSE),0)</f>
        <v>0</v>
      </c>
      <c r="F125" s="284">
        <f>IFERROR(VLOOKUP($A125&amp;$B125,'Staff Ranked NHDD'!$C$8:$F$374,2,FALSE),0)</f>
        <v>4.7616666666666667</v>
      </c>
      <c r="H125" s="49"/>
      <c r="J125" s="74">
        <f>IFERROR(VLOOKUP($D125,Actual_CGI_HDD!$A$9:$E$532,5),0)</f>
        <v>0</v>
      </c>
      <c r="K125" s="284">
        <f>IFERROR(VLOOKUP($A125&amp;$B125,'Staff Ranked NHDD'!$C$8:$F$374,4,FALSE),0)</f>
        <v>8.0000000000000196E-2</v>
      </c>
      <c r="M125" s="279"/>
      <c r="N125" s="279"/>
      <c r="O125" s="72"/>
      <c r="P125" s="279"/>
    </row>
    <row r="126" spans="1:16" x14ac:dyDescent="0.25">
      <c r="A126" s="110">
        <f t="shared" si="4"/>
        <v>6</v>
      </c>
      <c r="B126" s="110">
        <f t="shared" si="5"/>
        <v>2</v>
      </c>
      <c r="C126" s="110">
        <f t="shared" si="6"/>
        <v>2020</v>
      </c>
      <c r="D126" s="75">
        <f t="shared" si="7"/>
        <v>43984</v>
      </c>
      <c r="E126" s="284">
        <f>IFERROR(VLOOKUP($D126,Actual_Kirk_HDD!$A$4:$F$471,6,FALSE),0)</f>
        <v>0</v>
      </c>
      <c r="F126" s="284">
        <f>IFERROR(VLOOKUP($A126&amp;$B126,'Staff Ranked NHDD'!$C$8:$F$374,2,FALSE),0)</f>
        <v>0</v>
      </c>
      <c r="H126" s="49"/>
      <c r="J126" s="74">
        <f>IFERROR(VLOOKUP($D126,Actual_CGI_HDD!$A$9:$E$532,5),0)</f>
        <v>0</v>
      </c>
      <c r="K126" s="284">
        <f>IFERROR(VLOOKUP($A126&amp;$B126,'Staff Ranked NHDD'!$C$8:$F$374,4,FALSE),0)</f>
        <v>0</v>
      </c>
      <c r="M126" s="279"/>
      <c r="N126" s="279"/>
      <c r="O126" s="72"/>
      <c r="P126" s="279"/>
    </row>
    <row r="127" spans="1:16" x14ac:dyDescent="0.25">
      <c r="A127" s="110">
        <f t="shared" si="4"/>
        <v>6</v>
      </c>
      <c r="B127" s="110">
        <f t="shared" si="5"/>
        <v>3</v>
      </c>
      <c r="C127" s="110">
        <f t="shared" si="6"/>
        <v>2020</v>
      </c>
      <c r="D127" s="75">
        <f t="shared" si="7"/>
        <v>43985</v>
      </c>
      <c r="E127" s="284">
        <f>IFERROR(VLOOKUP($D127,Actual_Kirk_HDD!$A$4:$F$471,6,FALSE),0)</f>
        <v>0</v>
      </c>
      <c r="F127" s="284">
        <f>IFERROR(VLOOKUP($A127&amp;$B127,'Staff Ranked NHDD'!$C$8:$F$374,2,FALSE),0)</f>
        <v>0</v>
      </c>
      <c r="H127" s="49"/>
      <c r="J127" s="74">
        <f>IFERROR(VLOOKUP($D127,Actual_CGI_HDD!$A$9:$E$532,5),0)</f>
        <v>0</v>
      </c>
      <c r="K127" s="284">
        <f>IFERROR(VLOOKUP($A127&amp;$B127,'Staff Ranked NHDD'!$C$8:$F$374,4,FALSE),0)</f>
        <v>0</v>
      </c>
      <c r="M127" s="279"/>
      <c r="N127" s="279"/>
      <c r="O127" s="72"/>
      <c r="P127" s="279"/>
    </row>
    <row r="128" spans="1:16" x14ac:dyDescent="0.25">
      <c r="A128" s="110">
        <f t="shared" si="4"/>
        <v>6</v>
      </c>
      <c r="B128" s="110">
        <f t="shared" si="5"/>
        <v>4</v>
      </c>
      <c r="C128" s="110">
        <f t="shared" si="6"/>
        <v>2020</v>
      </c>
      <c r="D128" s="75">
        <f t="shared" si="7"/>
        <v>43986</v>
      </c>
      <c r="E128" s="284">
        <f>IFERROR(VLOOKUP($D128,Actual_Kirk_HDD!$A$4:$F$471,6,FALSE),0)</f>
        <v>0</v>
      </c>
      <c r="F128" s="284">
        <f>IFERROR(VLOOKUP($A128&amp;$B128,'Staff Ranked NHDD'!$C$8:$F$374,2,FALSE),0)</f>
        <v>0</v>
      </c>
      <c r="H128" s="49"/>
      <c r="J128" s="74">
        <f>IFERROR(VLOOKUP($D128,Actual_CGI_HDD!$A$9:$E$532,5),0)</f>
        <v>0</v>
      </c>
      <c r="K128" s="284">
        <f>IFERROR(VLOOKUP($A128&amp;$B128,'Staff Ranked NHDD'!$C$8:$F$374,4,FALSE),0)</f>
        <v>0</v>
      </c>
      <c r="M128" s="279"/>
      <c r="N128" s="279"/>
      <c r="O128" s="72"/>
      <c r="P128" s="279"/>
    </row>
    <row r="129" spans="1:16" x14ac:dyDescent="0.25">
      <c r="A129" s="110">
        <f t="shared" si="4"/>
        <v>6</v>
      </c>
      <c r="B129" s="110">
        <f t="shared" si="5"/>
        <v>5</v>
      </c>
      <c r="C129" s="110">
        <f t="shared" si="6"/>
        <v>2020</v>
      </c>
      <c r="D129" s="75">
        <f t="shared" si="7"/>
        <v>43987</v>
      </c>
      <c r="E129" s="284">
        <f>IFERROR(VLOOKUP($D129,Actual_Kirk_HDD!$A$4:$F$471,6,FALSE),0)</f>
        <v>0</v>
      </c>
      <c r="F129" s="284">
        <f>IFERROR(VLOOKUP($A129&amp;$B129,'Staff Ranked NHDD'!$C$8:$F$374,2,FALSE),0)</f>
        <v>0</v>
      </c>
      <c r="H129" s="49"/>
      <c r="J129" s="74">
        <f>IFERROR(VLOOKUP($D129,Actual_CGI_HDD!$A$9:$E$532,5),0)</f>
        <v>0</v>
      </c>
      <c r="K129" s="284">
        <f>IFERROR(VLOOKUP($A129&amp;$B129,'Staff Ranked NHDD'!$C$8:$F$374,4,FALSE),0)</f>
        <v>0</v>
      </c>
      <c r="M129" s="279"/>
      <c r="N129" s="279"/>
      <c r="O129" s="72"/>
      <c r="P129" s="279"/>
    </row>
    <row r="130" spans="1:16" x14ac:dyDescent="0.25">
      <c r="A130" s="110">
        <f t="shared" si="4"/>
        <v>6</v>
      </c>
      <c r="B130" s="110">
        <f t="shared" si="5"/>
        <v>6</v>
      </c>
      <c r="C130" s="110">
        <f t="shared" si="6"/>
        <v>2020</v>
      </c>
      <c r="D130" s="75">
        <f t="shared" si="7"/>
        <v>43988</v>
      </c>
      <c r="E130" s="284">
        <f>IFERROR(VLOOKUP($D130,Actual_Kirk_HDD!$A$4:$F$471,6,FALSE),0)</f>
        <v>0</v>
      </c>
      <c r="F130" s="284">
        <f>IFERROR(VLOOKUP($A130&amp;$B130,'Staff Ranked NHDD'!$C$8:$F$374,2,FALSE),0)</f>
        <v>0</v>
      </c>
      <c r="H130" s="49"/>
      <c r="J130" s="74">
        <f>IFERROR(VLOOKUP($D130,Actual_CGI_HDD!$A$9:$E$532,5),0)</f>
        <v>0</v>
      </c>
      <c r="K130" s="284">
        <f>IFERROR(VLOOKUP($A130&amp;$B130,'Staff Ranked NHDD'!$C$8:$F$374,4,FALSE),0)</f>
        <v>0</v>
      </c>
      <c r="M130" s="279"/>
      <c r="N130" s="279"/>
      <c r="O130" s="72"/>
      <c r="P130" s="279"/>
    </row>
    <row r="131" spans="1:16" x14ac:dyDescent="0.25">
      <c r="A131" s="110">
        <f t="shared" si="4"/>
        <v>6</v>
      </c>
      <c r="B131" s="110">
        <f t="shared" si="5"/>
        <v>7</v>
      </c>
      <c r="C131" s="110">
        <f t="shared" si="6"/>
        <v>2020</v>
      </c>
      <c r="D131" s="75">
        <f t="shared" si="7"/>
        <v>43989</v>
      </c>
      <c r="E131" s="284">
        <f>IFERROR(VLOOKUP($D131,Actual_Kirk_HDD!$A$4:$F$471,6,FALSE),0)</f>
        <v>0</v>
      </c>
      <c r="F131" s="284">
        <f>IFERROR(VLOOKUP($A131&amp;$B131,'Staff Ranked NHDD'!$C$8:$F$374,2,FALSE),0)</f>
        <v>0</v>
      </c>
      <c r="H131" s="49"/>
      <c r="J131" s="74">
        <f>IFERROR(VLOOKUP($D131,Actual_CGI_HDD!$A$9:$E$532,5),0)</f>
        <v>0</v>
      </c>
      <c r="K131" s="284">
        <f>IFERROR(VLOOKUP($A131&amp;$B131,'Staff Ranked NHDD'!$C$8:$F$374,4,FALSE),0)</f>
        <v>0</v>
      </c>
      <c r="M131" s="279"/>
      <c r="N131" s="279"/>
      <c r="O131" s="72"/>
      <c r="P131" s="279"/>
    </row>
    <row r="132" spans="1:16" x14ac:dyDescent="0.25">
      <c r="A132" s="110">
        <f t="shared" si="4"/>
        <v>6</v>
      </c>
      <c r="B132" s="110">
        <f t="shared" si="5"/>
        <v>8</v>
      </c>
      <c r="C132" s="110">
        <f t="shared" si="6"/>
        <v>2020</v>
      </c>
      <c r="D132" s="75">
        <f t="shared" si="7"/>
        <v>43990</v>
      </c>
      <c r="E132" s="284">
        <f>IFERROR(VLOOKUP($D132,Actual_Kirk_HDD!$A$4:$F$471,6,FALSE),0)</f>
        <v>0</v>
      </c>
      <c r="F132" s="284">
        <f>IFERROR(VLOOKUP($A132&amp;$B132,'Staff Ranked NHDD'!$C$8:$F$374,2,FALSE),0)</f>
        <v>0</v>
      </c>
      <c r="H132" s="49"/>
      <c r="J132" s="74">
        <f>IFERROR(VLOOKUP($D132,Actual_CGI_HDD!$A$9:$E$532,5),0)</f>
        <v>0</v>
      </c>
      <c r="K132" s="284">
        <f>IFERROR(VLOOKUP($A132&amp;$B132,'Staff Ranked NHDD'!$C$8:$F$374,4,FALSE),0)</f>
        <v>0</v>
      </c>
      <c r="M132" s="279"/>
      <c r="N132" s="279"/>
      <c r="O132" s="72"/>
      <c r="P132" s="279"/>
    </row>
    <row r="133" spans="1:16" x14ac:dyDescent="0.25">
      <c r="A133" s="110">
        <f t="shared" si="4"/>
        <v>6</v>
      </c>
      <c r="B133" s="110">
        <f t="shared" si="5"/>
        <v>9</v>
      </c>
      <c r="C133" s="110">
        <f t="shared" si="6"/>
        <v>2020</v>
      </c>
      <c r="D133" s="75">
        <f t="shared" si="7"/>
        <v>43991</v>
      </c>
      <c r="E133" s="284">
        <f>IFERROR(VLOOKUP($D133,Actual_Kirk_HDD!$A$4:$F$471,6,FALSE),0)</f>
        <v>0</v>
      </c>
      <c r="F133" s="284">
        <f>IFERROR(VLOOKUP($A133&amp;$B133,'Staff Ranked NHDD'!$C$8:$F$374,2,FALSE),0)</f>
        <v>0</v>
      </c>
      <c r="H133" s="49"/>
      <c r="J133" s="74">
        <f>IFERROR(VLOOKUP($D133,Actual_CGI_HDD!$A$9:$E$532,5),0)</f>
        <v>0</v>
      </c>
      <c r="K133" s="284">
        <f>IFERROR(VLOOKUP($A133&amp;$B133,'Staff Ranked NHDD'!$C$8:$F$374,4,FALSE),0)</f>
        <v>0</v>
      </c>
      <c r="M133" s="279"/>
      <c r="N133" s="279"/>
      <c r="O133" s="72"/>
      <c r="P133" s="279"/>
    </row>
    <row r="134" spans="1:16" x14ac:dyDescent="0.25">
      <c r="A134" s="110">
        <f t="shared" ref="A134:A197" si="8">MONTH(D134)</f>
        <v>6</v>
      </c>
      <c r="B134" s="110">
        <f t="shared" ref="B134:B197" si="9">+DAY(D134)</f>
        <v>10</v>
      </c>
      <c r="C134" s="110">
        <f t="shared" ref="C134:C197" si="10">YEAR(D134)</f>
        <v>2020</v>
      </c>
      <c r="D134" s="75">
        <f t="shared" ref="D134:D197" si="11">D133+1</f>
        <v>43992</v>
      </c>
      <c r="E134" s="284">
        <f>IFERROR(VLOOKUP($D134,Actual_Kirk_HDD!$A$4:$F$471,6,FALSE),0)</f>
        <v>0</v>
      </c>
      <c r="F134" s="284">
        <f>IFERROR(VLOOKUP($A134&amp;$B134,'Staff Ranked NHDD'!$C$8:$F$374,2,FALSE),0)</f>
        <v>0</v>
      </c>
      <c r="H134" s="49"/>
      <c r="J134" s="74">
        <f>IFERROR(VLOOKUP($D134,Actual_CGI_HDD!$A$9:$E$532,5),0)</f>
        <v>0</v>
      </c>
      <c r="K134" s="284">
        <f>IFERROR(VLOOKUP($A134&amp;$B134,'Staff Ranked NHDD'!$C$8:$F$374,4,FALSE),0)</f>
        <v>0</v>
      </c>
      <c r="M134" s="279"/>
      <c r="N134" s="279"/>
      <c r="O134" s="72"/>
      <c r="P134" s="279"/>
    </row>
    <row r="135" spans="1:16" x14ac:dyDescent="0.25">
      <c r="A135" s="110">
        <f t="shared" si="8"/>
        <v>6</v>
      </c>
      <c r="B135" s="110">
        <f t="shared" si="9"/>
        <v>11</v>
      </c>
      <c r="C135" s="110">
        <f t="shared" si="10"/>
        <v>2020</v>
      </c>
      <c r="D135" s="75">
        <f t="shared" si="11"/>
        <v>43993</v>
      </c>
      <c r="E135" s="284">
        <f>IFERROR(VLOOKUP($D135,Actual_Kirk_HDD!$A$4:$F$471,6,FALSE),0)</f>
        <v>0</v>
      </c>
      <c r="F135" s="284">
        <f>IFERROR(VLOOKUP($A135&amp;$B135,'Staff Ranked NHDD'!$C$8:$F$374,2,FALSE),0)</f>
        <v>8.915555555555553</v>
      </c>
      <c r="H135" s="49"/>
      <c r="J135" s="74">
        <f>IFERROR(VLOOKUP($D135,Actual_CGI_HDD!$A$9:$E$532,5),0)</f>
        <v>0</v>
      </c>
      <c r="K135" s="284">
        <f>IFERROR(VLOOKUP($A135&amp;$B135,'Staff Ranked NHDD'!$C$8:$F$374,4,FALSE),0)</f>
        <v>0</v>
      </c>
      <c r="M135" s="279"/>
      <c r="N135" s="279"/>
      <c r="O135" s="72"/>
      <c r="P135" s="279"/>
    </row>
    <row r="136" spans="1:16" x14ac:dyDescent="0.25">
      <c r="A136" s="110">
        <f t="shared" si="8"/>
        <v>6</v>
      </c>
      <c r="B136" s="110">
        <f t="shared" si="9"/>
        <v>12</v>
      </c>
      <c r="C136" s="110">
        <f t="shared" si="10"/>
        <v>2020</v>
      </c>
      <c r="D136" s="75">
        <f t="shared" si="11"/>
        <v>43994</v>
      </c>
      <c r="E136" s="284">
        <f>IFERROR(VLOOKUP($D136,Actual_Kirk_HDD!$A$4:$F$471,6,FALSE),0)</f>
        <v>0</v>
      </c>
      <c r="F136" s="284">
        <f>IFERROR(VLOOKUP($A136&amp;$B136,'Staff Ranked NHDD'!$C$8:$F$374,2,FALSE),0)</f>
        <v>0</v>
      </c>
      <c r="H136" s="49"/>
      <c r="J136" s="74">
        <f>IFERROR(VLOOKUP($D136,Actual_CGI_HDD!$A$9:$E$532,5),0)</f>
        <v>0</v>
      </c>
      <c r="K136" s="284">
        <f>IFERROR(VLOOKUP($A136&amp;$B136,'Staff Ranked NHDD'!$C$8:$F$374,4,FALSE),0)</f>
        <v>0</v>
      </c>
      <c r="M136" s="279"/>
      <c r="N136" s="279"/>
      <c r="O136" s="72"/>
      <c r="P136" s="279"/>
    </row>
    <row r="137" spans="1:16" x14ac:dyDescent="0.25">
      <c r="A137" s="110">
        <f t="shared" si="8"/>
        <v>6</v>
      </c>
      <c r="B137" s="110">
        <f t="shared" si="9"/>
        <v>13</v>
      </c>
      <c r="C137" s="110">
        <f t="shared" si="10"/>
        <v>2020</v>
      </c>
      <c r="D137" s="75">
        <f t="shared" si="11"/>
        <v>43995</v>
      </c>
      <c r="E137" s="284">
        <f>IFERROR(VLOOKUP($D137,Actual_Kirk_HDD!$A$4:$F$471,6,FALSE),0)</f>
        <v>0</v>
      </c>
      <c r="F137" s="284">
        <f>IFERROR(VLOOKUP($A137&amp;$B137,'Staff Ranked NHDD'!$C$8:$F$374,2,FALSE),0)</f>
        <v>0</v>
      </c>
      <c r="H137" s="49"/>
      <c r="J137" s="74">
        <f>IFERROR(VLOOKUP($D137,Actual_CGI_HDD!$A$9:$E$532,5),0)</f>
        <v>0</v>
      </c>
      <c r="K137" s="284">
        <f>IFERROR(VLOOKUP($A137&amp;$B137,'Staff Ranked NHDD'!$C$8:$F$374,4,FALSE),0)</f>
        <v>0</v>
      </c>
      <c r="M137" s="279"/>
      <c r="N137" s="279"/>
      <c r="O137" s="72"/>
      <c r="P137" s="279"/>
    </row>
    <row r="138" spans="1:16" x14ac:dyDescent="0.25">
      <c r="A138" s="110">
        <f t="shared" si="8"/>
        <v>6</v>
      </c>
      <c r="B138" s="110">
        <f t="shared" si="9"/>
        <v>14</v>
      </c>
      <c r="C138" s="110">
        <f t="shared" si="10"/>
        <v>2020</v>
      </c>
      <c r="D138" s="75">
        <f t="shared" si="11"/>
        <v>43996</v>
      </c>
      <c r="E138" s="284">
        <f>IFERROR(VLOOKUP($D138,Actual_Kirk_HDD!$A$4:$F$471,6,FALSE),0)</f>
        <v>0</v>
      </c>
      <c r="F138" s="284">
        <f>IFERROR(VLOOKUP($A138&amp;$B138,'Staff Ranked NHDD'!$C$8:$F$374,2,FALSE),0)</f>
        <v>0</v>
      </c>
      <c r="H138" s="49"/>
      <c r="J138" s="74">
        <f>IFERROR(VLOOKUP($D138,Actual_CGI_HDD!$A$9:$E$532,5),0)</f>
        <v>0</v>
      </c>
      <c r="K138" s="284">
        <f>IFERROR(VLOOKUP($A138&amp;$B138,'Staff Ranked NHDD'!$C$8:$F$374,4,FALSE),0)</f>
        <v>0</v>
      </c>
      <c r="M138" s="279"/>
      <c r="N138" s="279"/>
      <c r="O138" s="72"/>
      <c r="P138" s="279"/>
    </row>
    <row r="139" spans="1:16" x14ac:dyDescent="0.25">
      <c r="A139" s="110">
        <f t="shared" si="8"/>
        <v>6</v>
      </c>
      <c r="B139" s="110">
        <f t="shared" si="9"/>
        <v>15</v>
      </c>
      <c r="C139" s="110">
        <f t="shared" si="10"/>
        <v>2020</v>
      </c>
      <c r="D139" s="75">
        <f t="shared" si="11"/>
        <v>43997</v>
      </c>
      <c r="E139" s="284">
        <f>IFERROR(VLOOKUP($D139,Actual_Kirk_HDD!$A$4:$F$471,6,FALSE),0)</f>
        <v>0</v>
      </c>
      <c r="F139" s="284">
        <f>IFERROR(VLOOKUP($A139&amp;$B139,'Staff Ranked NHDD'!$C$8:$F$374,2,FALSE),0)</f>
        <v>0</v>
      </c>
      <c r="H139" s="49"/>
      <c r="J139" s="74">
        <f>IFERROR(VLOOKUP($D139,Actual_CGI_HDD!$A$9:$E$532,5),0)</f>
        <v>0</v>
      </c>
      <c r="K139" s="284">
        <f>IFERROR(VLOOKUP($A139&amp;$B139,'Staff Ranked NHDD'!$C$8:$F$374,4,FALSE),0)</f>
        <v>0</v>
      </c>
      <c r="M139" s="279"/>
      <c r="N139" s="279"/>
      <c r="O139" s="72"/>
      <c r="P139" s="279"/>
    </row>
    <row r="140" spans="1:16" x14ac:dyDescent="0.25">
      <c r="A140" s="110">
        <f t="shared" si="8"/>
        <v>6</v>
      </c>
      <c r="B140" s="110">
        <f t="shared" si="9"/>
        <v>16</v>
      </c>
      <c r="C140" s="110">
        <f t="shared" si="10"/>
        <v>2020</v>
      </c>
      <c r="D140" s="75">
        <f t="shared" si="11"/>
        <v>43998</v>
      </c>
      <c r="E140" s="284">
        <f>IFERROR(VLOOKUP($D140,Actual_Kirk_HDD!$A$4:$F$471,6,FALSE),0)</f>
        <v>0</v>
      </c>
      <c r="F140" s="284">
        <f>IFERROR(VLOOKUP($A140&amp;$B140,'Staff Ranked NHDD'!$C$8:$F$374,2,FALSE),0)</f>
        <v>0</v>
      </c>
      <c r="H140" s="49"/>
      <c r="J140" s="74">
        <f>IFERROR(VLOOKUP($D140,Actual_CGI_HDD!$A$9:$E$532,5),0)</f>
        <v>0</v>
      </c>
      <c r="K140" s="284">
        <f>IFERROR(VLOOKUP($A140&amp;$B140,'Staff Ranked NHDD'!$C$8:$F$374,4,FALSE),0)</f>
        <v>3.4888888888888894</v>
      </c>
      <c r="M140" s="279"/>
      <c r="N140" s="279"/>
      <c r="O140" s="72"/>
      <c r="P140" s="279"/>
    </row>
    <row r="141" spans="1:16" x14ac:dyDescent="0.25">
      <c r="A141" s="110">
        <f t="shared" si="8"/>
        <v>6</v>
      </c>
      <c r="B141" s="110">
        <f t="shared" si="9"/>
        <v>17</v>
      </c>
      <c r="C141" s="110">
        <f t="shared" si="10"/>
        <v>2020</v>
      </c>
      <c r="D141" s="75">
        <f t="shared" si="11"/>
        <v>43999</v>
      </c>
      <c r="E141" s="284">
        <f>IFERROR(VLOOKUP($D141,Actual_Kirk_HDD!$A$4:$F$471,6,FALSE),0)</f>
        <v>0</v>
      </c>
      <c r="F141" s="284">
        <f>IFERROR(VLOOKUP($A141&amp;$B141,'Staff Ranked NHDD'!$C$8:$F$374,2,FALSE),0)</f>
        <v>0</v>
      </c>
      <c r="H141" s="49"/>
      <c r="J141" s="74">
        <f>IFERROR(VLOOKUP($D141,Actual_CGI_HDD!$A$9:$E$532,5),0)</f>
        <v>0</v>
      </c>
      <c r="K141" s="284">
        <f>IFERROR(VLOOKUP($A141&amp;$B141,'Staff Ranked NHDD'!$C$8:$F$374,4,FALSE),0)</f>
        <v>0</v>
      </c>
      <c r="M141" s="279"/>
      <c r="N141" s="279"/>
      <c r="O141" s="72"/>
      <c r="P141" s="279"/>
    </row>
    <row r="142" spans="1:16" x14ac:dyDescent="0.25">
      <c r="A142" s="110">
        <f t="shared" si="8"/>
        <v>6</v>
      </c>
      <c r="B142" s="110">
        <f t="shared" si="9"/>
        <v>18</v>
      </c>
      <c r="C142" s="110">
        <f t="shared" si="10"/>
        <v>2020</v>
      </c>
      <c r="D142" s="75">
        <f t="shared" si="11"/>
        <v>44000</v>
      </c>
      <c r="E142" s="284">
        <f>IFERROR(VLOOKUP($D142,Actual_Kirk_HDD!$A$4:$F$471,6,FALSE),0)</f>
        <v>0</v>
      </c>
      <c r="F142" s="284">
        <f>IFERROR(VLOOKUP($A142&amp;$B142,'Staff Ranked NHDD'!$C$8:$F$374,2,FALSE),0)</f>
        <v>0</v>
      </c>
      <c r="H142" s="49"/>
      <c r="J142" s="74">
        <f>IFERROR(VLOOKUP($D142,Actual_CGI_HDD!$A$9:$E$532,5),0)</f>
        <v>0</v>
      </c>
      <c r="K142" s="284">
        <f>IFERROR(VLOOKUP($A142&amp;$B142,'Staff Ranked NHDD'!$C$8:$F$374,4,FALSE),0)</f>
        <v>0</v>
      </c>
      <c r="M142" s="279"/>
      <c r="N142" s="279"/>
      <c r="O142" s="72"/>
      <c r="P142" s="279"/>
    </row>
    <row r="143" spans="1:16" x14ac:dyDescent="0.25">
      <c r="A143" s="110">
        <f t="shared" si="8"/>
        <v>6</v>
      </c>
      <c r="B143" s="110">
        <f t="shared" si="9"/>
        <v>19</v>
      </c>
      <c r="C143" s="110">
        <f t="shared" si="10"/>
        <v>2020</v>
      </c>
      <c r="D143" s="75">
        <f t="shared" si="11"/>
        <v>44001</v>
      </c>
      <c r="E143" s="284">
        <f>IFERROR(VLOOKUP($D143,Actual_Kirk_HDD!$A$4:$F$471,6,FALSE),0)</f>
        <v>0</v>
      </c>
      <c r="F143" s="284">
        <f>IFERROR(VLOOKUP($A143&amp;$B143,'Staff Ranked NHDD'!$C$8:$F$374,2,FALSE),0)</f>
        <v>0</v>
      </c>
      <c r="H143" s="49"/>
      <c r="J143" s="74">
        <f>IFERROR(VLOOKUP($D143,Actual_CGI_HDD!$A$9:$E$532,5),0)</f>
        <v>0</v>
      </c>
      <c r="K143" s="284">
        <f>IFERROR(VLOOKUP($A143&amp;$B143,'Staff Ranked NHDD'!$C$8:$F$374,4,FALSE),0)</f>
        <v>0</v>
      </c>
      <c r="M143" s="279"/>
      <c r="N143" s="279"/>
      <c r="O143" s="72"/>
      <c r="P143" s="279"/>
    </row>
    <row r="144" spans="1:16" x14ac:dyDescent="0.25">
      <c r="A144" s="110">
        <f t="shared" si="8"/>
        <v>6</v>
      </c>
      <c r="B144" s="110">
        <f t="shared" si="9"/>
        <v>20</v>
      </c>
      <c r="C144" s="110">
        <f t="shared" si="10"/>
        <v>2020</v>
      </c>
      <c r="D144" s="75">
        <f t="shared" si="11"/>
        <v>44002</v>
      </c>
      <c r="E144" s="284">
        <f>IFERROR(VLOOKUP($D144,Actual_Kirk_HDD!$A$4:$F$471,6,FALSE),0)</f>
        <v>0</v>
      </c>
      <c r="F144" s="284">
        <f>IFERROR(VLOOKUP($A144&amp;$B144,'Staff Ranked NHDD'!$C$8:$F$374,2,FALSE),0)</f>
        <v>0</v>
      </c>
      <c r="H144" s="49"/>
      <c r="J144" s="74">
        <f>IFERROR(VLOOKUP($D144,Actual_CGI_HDD!$A$9:$E$532,5),0)</f>
        <v>0</v>
      </c>
      <c r="K144" s="284">
        <f>IFERROR(VLOOKUP($A144&amp;$B144,'Staff Ranked NHDD'!$C$8:$F$374,4,FALSE),0)</f>
        <v>0</v>
      </c>
      <c r="M144" s="279"/>
      <c r="N144" s="279"/>
      <c r="O144" s="72"/>
      <c r="P144" s="279"/>
    </row>
    <row r="145" spans="1:16" x14ac:dyDescent="0.25">
      <c r="A145" s="110">
        <f t="shared" si="8"/>
        <v>6</v>
      </c>
      <c r="B145" s="110">
        <f t="shared" si="9"/>
        <v>21</v>
      </c>
      <c r="C145" s="110">
        <f t="shared" si="10"/>
        <v>2020</v>
      </c>
      <c r="D145" s="75">
        <f t="shared" si="11"/>
        <v>44003</v>
      </c>
      <c r="E145" s="284">
        <f>IFERROR(VLOOKUP($D145,Actual_Kirk_HDD!$A$4:$F$471,6,FALSE),0)</f>
        <v>0</v>
      </c>
      <c r="F145" s="284">
        <f>IFERROR(VLOOKUP($A145&amp;$B145,'Staff Ranked NHDD'!$C$8:$F$374,2,FALSE),0)</f>
        <v>0</v>
      </c>
      <c r="H145" s="49"/>
      <c r="J145" s="74">
        <f>IFERROR(VLOOKUP($D145,Actual_CGI_HDD!$A$9:$E$532,5),0)</f>
        <v>0</v>
      </c>
      <c r="K145" s="284">
        <f>IFERROR(VLOOKUP($A145&amp;$B145,'Staff Ranked NHDD'!$C$8:$F$374,4,FALSE),0)</f>
        <v>0</v>
      </c>
      <c r="M145" s="279"/>
      <c r="N145" s="279"/>
      <c r="O145" s="72"/>
      <c r="P145" s="279"/>
    </row>
    <row r="146" spans="1:16" x14ac:dyDescent="0.25">
      <c r="A146" s="110">
        <f t="shared" si="8"/>
        <v>6</v>
      </c>
      <c r="B146" s="110">
        <f t="shared" si="9"/>
        <v>22</v>
      </c>
      <c r="C146" s="110">
        <f t="shared" si="10"/>
        <v>2020</v>
      </c>
      <c r="D146" s="75">
        <f t="shared" si="11"/>
        <v>44004</v>
      </c>
      <c r="E146" s="284">
        <f>IFERROR(VLOOKUP($D146,Actual_Kirk_HDD!$A$4:$F$471,6,FALSE),0)</f>
        <v>0</v>
      </c>
      <c r="F146" s="284">
        <f>IFERROR(VLOOKUP($A146&amp;$B146,'Staff Ranked NHDD'!$C$8:$F$374,2,FALSE),0)</f>
        <v>0</v>
      </c>
      <c r="H146" s="49"/>
      <c r="J146" s="74">
        <f>IFERROR(VLOOKUP($D146,Actual_CGI_HDD!$A$9:$E$532,5),0)</f>
        <v>0</v>
      </c>
      <c r="K146" s="284">
        <f>IFERROR(VLOOKUP($A146&amp;$B146,'Staff Ranked NHDD'!$C$8:$F$374,4,FALSE),0)</f>
        <v>0</v>
      </c>
      <c r="M146" s="279"/>
      <c r="N146" s="279"/>
      <c r="O146" s="72"/>
      <c r="P146" s="279"/>
    </row>
    <row r="147" spans="1:16" x14ac:dyDescent="0.25">
      <c r="A147" s="110">
        <f t="shared" si="8"/>
        <v>6</v>
      </c>
      <c r="B147" s="110">
        <f t="shared" si="9"/>
        <v>23</v>
      </c>
      <c r="C147" s="110">
        <f t="shared" si="10"/>
        <v>2020</v>
      </c>
      <c r="D147" s="75">
        <f t="shared" si="11"/>
        <v>44005</v>
      </c>
      <c r="E147" s="284">
        <f>IFERROR(VLOOKUP($D147,Actual_Kirk_HDD!$A$4:$F$471,6,FALSE),0)</f>
        <v>0</v>
      </c>
      <c r="F147" s="284">
        <f>IFERROR(VLOOKUP($A147&amp;$B147,'Staff Ranked NHDD'!$C$8:$F$374,2,FALSE),0)</f>
        <v>1.5494444444444448</v>
      </c>
      <c r="H147" s="49"/>
      <c r="J147" s="74">
        <f>IFERROR(VLOOKUP($D147,Actual_CGI_HDD!$A$9:$E$532,5),0)</f>
        <v>0</v>
      </c>
      <c r="K147" s="284">
        <f>IFERROR(VLOOKUP($A147&amp;$B147,'Staff Ranked NHDD'!$C$8:$F$374,4,FALSE),0)</f>
        <v>0</v>
      </c>
      <c r="M147" s="279"/>
      <c r="N147" s="279"/>
      <c r="O147" s="72"/>
      <c r="P147" s="279"/>
    </row>
    <row r="148" spans="1:16" x14ac:dyDescent="0.25">
      <c r="A148" s="110">
        <f t="shared" si="8"/>
        <v>6</v>
      </c>
      <c r="B148" s="110">
        <f t="shared" si="9"/>
        <v>24</v>
      </c>
      <c r="C148" s="110">
        <f t="shared" si="10"/>
        <v>2020</v>
      </c>
      <c r="D148" s="75">
        <f t="shared" si="11"/>
        <v>44006</v>
      </c>
      <c r="E148" s="284">
        <f>IFERROR(VLOOKUP($D148,Actual_Kirk_HDD!$A$4:$F$471,6,FALSE),0)</f>
        <v>0</v>
      </c>
      <c r="F148" s="284">
        <f>IFERROR(VLOOKUP($A148&amp;$B148,'Staff Ranked NHDD'!$C$8:$F$374,2,FALSE),0)</f>
        <v>2.7677777777777779</v>
      </c>
      <c r="H148" s="49"/>
      <c r="J148" s="74">
        <f>IFERROR(VLOOKUP($D148,Actual_CGI_HDD!$A$9:$E$532,5),0)</f>
        <v>0</v>
      </c>
      <c r="K148" s="284">
        <f>IFERROR(VLOOKUP($A148&amp;$B148,'Staff Ranked NHDD'!$C$8:$F$374,4,FALSE),0)</f>
        <v>0</v>
      </c>
      <c r="M148" s="279"/>
      <c r="N148" s="279"/>
      <c r="O148" s="72"/>
      <c r="P148" s="279"/>
    </row>
    <row r="149" spans="1:16" x14ac:dyDescent="0.25">
      <c r="A149" s="110">
        <f t="shared" si="8"/>
        <v>6</v>
      </c>
      <c r="B149" s="110">
        <f t="shared" si="9"/>
        <v>25</v>
      </c>
      <c r="C149" s="110">
        <f t="shared" si="10"/>
        <v>2020</v>
      </c>
      <c r="D149" s="75">
        <f t="shared" si="11"/>
        <v>44007</v>
      </c>
      <c r="E149" s="284">
        <f>IFERROR(VLOOKUP($D149,Actual_Kirk_HDD!$A$4:$F$471,6,FALSE),0)</f>
        <v>0</v>
      </c>
      <c r="F149" s="284">
        <f>IFERROR(VLOOKUP($A149&amp;$B149,'Staff Ranked NHDD'!$C$8:$F$374,2,FALSE),0)</f>
        <v>0.46277777777777657</v>
      </c>
      <c r="H149" s="49"/>
      <c r="J149" s="74">
        <f>IFERROR(VLOOKUP($D149,Actual_CGI_HDD!$A$9:$E$532,5),0)</f>
        <v>0</v>
      </c>
      <c r="K149" s="284">
        <f>IFERROR(VLOOKUP($A149&amp;$B149,'Staff Ranked NHDD'!$C$8:$F$374,4,FALSE),0)</f>
        <v>0</v>
      </c>
      <c r="M149" s="279"/>
      <c r="N149" s="279"/>
      <c r="O149" s="72"/>
      <c r="P149" s="279"/>
    </row>
    <row r="150" spans="1:16" x14ac:dyDescent="0.25">
      <c r="A150" s="110">
        <f t="shared" si="8"/>
        <v>6</v>
      </c>
      <c r="B150" s="110">
        <f t="shared" si="9"/>
        <v>26</v>
      </c>
      <c r="C150" s="110">
        <f t="shared" si="10"/>
        <v>2020</v>
      </c>
      <c r="D150" s="75">
        <f t="shared" si="11"/>
        <v>44008</v>
      </c>
      <c r="E150" s="284">
        <f>IFERROR(VLOOKUP($D150,Actual_Kirk_HDD!$A$4:$F$471,6,FALSE),0)</f>
        <v>0</v>
      </c>
      <c r="F150" s="284">
        <f>IFERROR(VLOOKUP($A150&amp;$B150,'Staff Ranked NHDD'!$C$8:$F$374,2,FALSE),0)</f>
        <v>0</v>
      </c>
      <c r="H150" s="49"/>
      <c r="J150" s="74">
        <f>IFERROR(VLOOKUP($D150,Actual_CGI_HDD!$A$9:$E$532,5),0)</f>
        <v>0</v>
      </c>
      <c r="K150" s="284">
        <f>IFERROR(VLOOKUP($A150&amp;$B150,'Staff Ranked NHDD'!$C$8:$F$374,4,FALSE),0)</f>
        <v>0</v>
      </c>
      <c r="M150" s="279"/>
      <c r="N150" s="279"/>
      <c r="O150" s="72"/>
      <c r="P150" s="279"/>
    </row>
    <row r="151" spans="1:16" x14ac:dyDescent="0.25">
      <c r="A151" s="110">
        <f t="shared" si="8"/>
        <v>6</v>
      </c>
      <c r="B151" s="110">
        <f t="shared" si="9"/>
        <v>27</v>
      </c>
      <c r="C151" s="110">
        <f t="shared" si="10"/>
        <v>2020</v>
      </c>
      <c r="D151" s="75">
        <f t="shared" si="11"/>
        <v>44009</v>
      </c>
      <c r="E151" s="284">
        <f>IFERROR(VLOOKUP($D151,Actual_Kirk_HDD!$A$4:$F$471,6,FALSE),0)</f>
        <v>0</v>
      </c>
      <c r="F151" s="284">
        <f>IFERROR(VLOOKUP($A151&amp;$B151,'Staff Ranked NHDD'!$C$8:$F$374,2,FALSE),0)</f>
        <v>0</v>
      </c>
      <c r="H151" s="49"/>
      <c r="J151" s="74">
        <f>IFERROR(VLOOKUP($D151,Actual_CGI_HDD!$A$9:$E$532,5),0)</f>
        <v>0</v>
      </c>
      <c r="K151" s="284">
        <f>IFERROR(VLOOKUP($A151&amp;$B151,'Staff Ranked NHDD'!$C$8:$F$374,4,FALSE),0)</f>
        <v>0</v>
      </c>
      <c r="M151" s="279"/>
      <c r="N151" s="279"/>
      <c r="O151" s="72"/>
      <c r="P151" s="279"/>
    </row>
    <row r="152" spans="1:16" x14ac:dyDescent="0.25">
      <c r="A152" s="110">
        <f t="shared" si="8"/>
        <v>6</v>
      </c>
      <c r="B152" s="110">
        <f t="shared" si="9"/>
        <v>28</v>
      </c>
      <c r="C152" s="110">
        <f t="shared" si="10"/>
        <v>2020</v>
      </c>
      <c r="D152" s="75">
        <f t="shared" si="11"/>
        <v>44010</v>
      </c>
      <c r="E152" s="284">
        <f>IFERROR(VLOOKUP($D152,Actual_Kirk_HDD!$A$4:$F$471,6,FALSE),0)</f>
        <v>0</v>
      </c>
      <c r="F152" s="284">
        <f>IFERROR(VLOOKUP($A152&amp;$B152,'Staff Ranked NHDD'!$C$8:$F$374,2,FALSE),0)</f>
        <v>0</v>
      </c>
      <c r="H152" s="49"/>
      <c r="J152" s="74">
        <f>IFERROR(VLOOKUP($D152,Actual_CGI_HDD!$A$9:$E$532,5),0)</f>
        <v>0</v>
      </c>
      <c r="K152" s="284">
        <f>IFERROR(VLOOKUP($A152&amp;$B152,'Staff Ranked NHDD'!$C$8:$F$374,4,FALSE),0)</f>
        <v>0</v>
      </c>
      <c r="M152" s="279"/>
      <c r="N152" s="279"/>
      <c r="O152" s="72"/>
      <c r="P152" s="279"/>
    </row>
    <row r="153" spans="1:16" x14ac:dyDescent="0.25">
      <c r="A153" s="110">
        <f t="shared" si="8"/>
        <v>6</v>
      </c>
      <c r="B153" s="110">
        <f t="shared" si="9"/>
        <v>29</v>
      </c>
      <c r="C153" s="110">
        <f t="shared" si="10"/>
        <v>2020</v>
      </c>
      <c r="D153" s="75">
        <f t="shared" si="11"/>
        <v>44011</v>
      </c>
      <c r="E153" s="284">
        <f>IFERROR(VLOOKUP($D153,Actual_Kirk_HDD!$A$4:$F$471,6,FALSE),0)</f>
        <v>0</v>
      </c>
      <c r="F153" s="284">
        <f>IFERROR(VLOOKUP($A153&amp;$B153,'Staff Ranked NHDD'!$C$8:$F$374,2,FALSE),0)</f>
        <v>0</v>
      </c>
      <c r="H153" s="49"/>
      <c r="J153" s="74">
        <f>IFERROR(VLOOKUP($D153,Actual_CGI_HDD!$A$9:$E$532,5),0)</f>
        <v>0</v>
      </c>
      <c r="K153" s="284">
        <f>IFERROR(VLOOKUP($A153&amp;$B153,'Staff Ranked NHDD'!$C$8:$F$374,4,FALSE),0)</f>
        <v>0</v>
      </c>
      <c r="M153" s="279"/>
      <c r="N153" s="279"/>
      <c r="O153" s="72"/>
      <c r="P153" s="279"/>
    </row>
    <row r="154" spans="1:16" x14ac:dyDescent="0.25">
      <c r="A154" s="110">
        <f t="shared" si="8"/>
        <v>6</v>
      </c>
      <c r="B154" s="110">
        <f t="shared" si="9"/>
        <v>30</v>
      </c>
      <c r="C154" s="110">
        <f t="shared" si="10"/>
        <v>2020</v>
      </c>
      <c r="D154" s="75">
        <f t="shared" si="11"/>
        <v>44012</v>
      </c>
      <c r="E154" s="284">
        <f>IFERROR(VLOOKUP($D154,Actual_Kirk_HDD!$A$4:$F$471,6,FALSE),0)</f>
        <v>0</v>
      </c>
      <c r="F154" s="284">
        <f>IFERROR(VLOOKUP($A154&amp;$B154,'Staff Ranked NHDD'!$C$8:$F$374,2,FALSE),0)</f>
        <v>0</v>
      </c>
      <c r="H154" s="49"/>
      <c r="J154" s="74">
        <f>IFERROR(VLOOKUP($D154,Actual_CGI_HDD!$A$9:$E$532,5),0)</f>
        <v>0</v>
      </c>
      <c r="K154" s="284">
        <f>IFERROR(VLOOKUP($A154&amp;$B154,'Staff Ranked NHDD'!$C$8:$F$374,4,FALSE),0)</f>
        <v>0</v>
      </c>
      <c r="M154" s="279"/>
      <c r="N154" s="279"/>
      <c r="O154" s="72"/>
      <c r="P154" s="279"/>
    </row>
    <row r="155" spans="1:16" x14ac:dyDescent="0.25">
      <c r="A155" s="110">
        <f t="shared" si="8"/>
        <v>7</v>
      </c>
      <c r="B155" s="110">
        <f t="shared" si="9"/>
        <v>1</v>
      </c>
      <c r="C155" s="110">
        <f t="shared" si="10"/>
        <v>2020</v>
      </c>
      <c r="D155" s="75">
        <f t="shared" si="11"/>
        <v>44013</v>
      </c>
      <c r="E155" s="284">
        <f>IFERROR(VLOOKUP($D155,Actual_Kirk_HDD!$A$4:$F$471,6,FALSE),0)</f>
        <v>0</v>
      </c>
      <c r="F155" s="284">
        <f>IFERROR(VLOOKUP($A155&amp;$B155,'Staff Ranked NHDD'!$C$8:$F$374,2,FALSE),0)</f>
        <v>0</v>
      </c>
      <c r="H155" s="49"/>
      <c r="J155" s="74">
        <f>IFERROR(VLOOKUP($D155,Actual_CGI_HDD!$A$9:$E$532,5),0)</f>
        <v>0</v>
      </c>
      <c r="K155" s="284">
        <f>IFERROR(VLOOKUP($A155&amp;$B155,'Staff Ranked NHDD'!$C$8:$F$374,4,FALSE),0)</f>
        <v>9.3333333333333712E-2</v>
      </c>
      <c r="M155" s="279"/>
      <c r="N155" s="279"/>
      <c r="O155" s="72"/>
      <c r="P155" s="279"/>
    </row>
    <row r="156" spans="1:16" x14ac:dyDescent="0.25">
      <c r="A156" s="110">
        <f t="shared" si="8"/>
        <v>7</v>
      </c>
      <c r="B156" s="110">
        <f t="shared" si="9"/>
        <v>2</v>
      </c>
      <c r="C156" s="110">
        <f t="shared" si="10"/>
        <v>2020</v>
      </c>
      <c r="D156" s="75">
        <f t="shared" si="11"/>
        <v>44014</v>
      </c>
      <c r="E156" s="284">
        <f>IFERROR(VLOOKUP($D156,Actual_Kirk_HDD!$A$4:$F$471,6,FALSE),0)</f>
        <v>0</v>
      </c>
      <c r="F156" s="284">
        <f>IFERROR(VLOOKUP($A156&amp;$B156,'Staff Ranked NHDD'!$C$8:$F$374,2,FALSE),0)</f>
        <v>0</v>
      </c>
      <c r="H156" s="49"/>
      <c r="J156" s="74">
        <f>IFERROR(VLOOKUP($D156,Actual_CGI_HDD!$A$9:$E$532,5),0)</f>
        <v>0</v>
      </c>
      <c r="K156" s="284">
        <f>IFERROR(VLOOKUP($A156&amp;$B156,'Staff Ranked NHDD'!$C$8:$F$374,4,FALSE),0)</f>
        <v>0</v>
      </c>
      <c r="M156" s="279"/>
      <c r="N156" s="279"/>
      <c r="O156" s="72"/>
      <c r="P156" s="279"/>
    </row>
    <row r="157" spans="1:16" x14ac:dyDescent="0.25">
      <c r="A157" s="110">
        <f t="shared" si="8"/>
        <v>7</v>
      </c>
      <c r="B157" s="110">
        <f t="shared" si="9"/>
        <v>3</v>
      </c>
      <c r="C157" s="110">
        <f t="shared" si="10"/>
        <v>2020</v>
      </c>
      <c r="D157" s="75">
        <f t="shared" si="11"/>
        <v>44015</v>
      </c>
      <c r="E157" s="284">
        <f>IFERROR(VLOOKUP($D157,Actual_Kirk_HDD!$A$4:$F$471,6,FALSE),0)</f>
        <v>0</v>
      </c>
      <c r="F157" s="284">
        <f>IFERROR(VLOOKUP($A157&amp;$B157,'Staff Ranked NHDD'!$C$8:$F$374,2,FALSE),0)</f>
        <v>0</v>
      </c>
      <c r="H157" s="49"/>
      <c r="J157" s="74">
        <f>IFERROR(VLOOKUP($D157,Actual_CGI_HDD!$A$9:$E$532,5),0)</f>
        <v>0</v>
      </c>
      <c r="K157" s="284">
        <f>IFERROR(VLOOKUP($A157&amp;$B157,'Staff Ranked NHDD'!$C$8:$F$374,4,FALSE),0)</f>
        <v>0</v>
      </c>
      <c r="M157" s="279"/>
      <c r="N157" s="279"/>
      <c r="O157" s="72"/>
      <c r="P157" s="279"/>
    </row>
    <row r="158" spans="1:16" x14ac:dyDescent="0.25">
      <c r="A158" s="110">
        <f t="shared" si="8"/>
        <v>7</v>
      </c>
      <c r="B158" s="110">
        <f t="shared" si="9"/>
        <v>4</v>
      </c>
      <c r="C158" s="110">
        <f t="shared" si="10"/>
        <v>2020</v>
      </c>
      <c r="D158" s="75">
        <f t="shared" si="11"/>
        <v>44016</v>
      </c>
      <c r="E158" s="284">
        <f>IFERROR(VLOOKUP($D158,Actual_Kirk_HDD!$A$4:$F$471,6,FALSE),0)</f>
        <v>0</v>
      </c>
      <c r="F158" s="284">
        <f>IFERROR(VLOOKUP($A158&amp;$B158,'Staff Ranked NHDD'!$C$8:$F$374,2,FALSE),0)</f>
        <v>0</v>
      </c>
      <c r="H158" s="49"/>
      <c r="J158" s="74">
        <f>IFERROR(VLOOKUP($D158,Actual_CGI_HDD!$A$9:$E$532,5),0)</f>
        <v>0</v>
      </c>
      <c r="K158" s="284">
        <f>IFERROR(VLOOKUP($A158&amp;$B158,'Staff Ranked NHDD'!$C$8:$F$374,4,FALSE),0)</f>
        <v>0</v>
      </c>
      <c r="M158" s="279"/>
      <c r="N158" s="279"/>
      <c r="O158" s="72"/>
      <c r="P158" s="279"/>
    </row>
    <row r="159" spans="1:16" x14ac:dyDescent="0.25">
      <c r="A159" s="110">
        <f t="shared" si="8"/>
        <v>7</v>
      </c>
      <c r="B159" s="110">
        <f t="shared" si="9"/>
        <v>5</v>
      </c>
      <c r="C159" s="110">
        <f t="shared" si="10"/>
        <v>2020</v>
      </c>
      <c r="D159" s="75">
        <f t="shared" si="11"/>
        <v>44017</v>
      </c>
      <c r="E159" s="284">
        <f>IFERROR(VLOOKUP($D159,Actual_Kirk_HDD!$A$4:$F$471,6,FALSE),0)</f>
        <v>0</v>
      </c>
      <c r="F159" s="284">
        <f>IFERROR(VLOOKUP($A159&amp;$B159,'Staff Ranked NHDD'!$C$8:$F$374,2,FALSE),0)</f>
        <v>0</v>
      </c>
      <c r="H159" s="49"/>
      <c r="J159" s="74">
        <f>IFERROR(VLOOKUP($D159,Actual_CGI_HDD!$A$9:$E$532,5),0)</f>
        <v>0</v>
      </c>
      <c r="K159" s="284">
        <f>IFERROR(VLOOKUP($A159&amp;$B159,'Staff Ranked NHDD'!$C$8:$F$374,4,FALSE),0)</f>
        <v>0</v>
      </c>
      <c r="M159" s="279"/>
      <c r="N159" s="279"/>
      <c r="O159" s="72"/>
      <c r="P159" s="279"/>
    </row>
    <row r="160" spans="1:16" x14ac:dyDescent="0.25">
      <c r="A160" s="110">
        <f t="shared" si="8"/>
        <v>7</v>
      </c>
      <c r="B160" s="110">
        <f t="shared" si="9"/>
        <v>6</v>
      </c>
      <c r="C160" s="110">
        <f t="shared" si="10"/>
        <v>2020</v>
      </c>
      <c r="D160" s="75">
        <f t="shared" si="11"/>
        <v>44018</v>
      </c>
      <c r="E160" s="284">
        <f>IFERROR(VLOOKUP($D160,Actual_Kirk_HDD!$A$4:$F$471,6,FALSE),0)</f>
        <v>0</v>
      </c>
      <c r="F160" s="284">
        <f>IFERROR(VLOOKUP($A160&amp;$B160,'Staff Ranked NHDD'!$C$8:$F$374,2,FALSE),0)</f>
        <v>0</v>
      </c>
      <c r="H160" s="49"/>
      <c r="J160" s="74">
        <f>IFERROR(VLOOKUP($D160,Actual_CGI_HDD!$A$9:$E$532,5),0)</f>
        <v>0</v>
      </c>
      <c r="K160" s="284">
        <f>IFERROR(VLOOKUP($A160&amp;$B160,'Staff Ranked NHDD'!$C$8:$F$374,4,FALSE),0)</f>
        <v>0</v>
      </c>
      <c r="M160" s="279"/>
      <c r="N160" s="279"/>
      <c r="O160" s="72"/>
      <c r="P160" s="279"/>
    </row>
    <row r="161" spans="1:16" x14ac:dyDescent="0.25">
      <c r="A161" s="110">
        <f t="shared" si="8"/>
        <v>7</v>
      </c>
      <c r="B161" s="110">
        <f t="shared" si="9"/>
        <v>7</v>
      </c>
      <c r="C161" s="110">
        <f t="shared" si="10"/>
        <v>2020</v>
      </c>
      <c r="D161" s="75">
        <f t="shared" si="11"/>
        <v>44019</v>
      </c>
      <c r="E161" s="284">
        <f>IFERROR(VLOOKUP($D161,Actual_Kirk_HDD!$A$4:$F$471,6,FALSE),0)</f>
        <v>0</v>
      </c>
      <c r="F161" s="284">
        <f>IFERROR(VLOOKUP($A161&amp;$B161,'Staff Ranked NHDD'!$C$8:$F$374,2,FALSE),0)</f>
        <v>0</v>
      </c>
      <c r="H161" s="49"/>
      <c r="J161" s="74">
        <f>IFERROR(VLOOKUP($D161,Actual_CGI_HDD!$A$9:$E$532,5),0)</f>
        <v>0</v>
      </c>
      <c r="K161" s="284">
        <f>IFERROR(VLOOKUP($A161&amp;$B161,'Staff Ranked NHDD'!$C$8:$F$374,4,FALSE),0)</f>
        <v>0</v>
      </c>
      <c r="M161" s="279"/>
      <c r="N161" s="279"/>
      <c r="O161" s="72"/>
      <c r="P161" s="279"/>
    </row>
    <row r="162" spans="1:16" x14ac:dyDescent="0.25">
      <c r="A162" s="110">
        <f t="shared" si="8"/>
        <v>7</v>
      </c>
      <c r="B162" s="110">
        <f t="shared" si="9"/>
        <v>8</v>
      </c>
      <c r="C162" s="110">
        <f t="shared" si="10"/>
        <v>2020</v>
      </c>
      <c r="D162" s="75">
        <f t="shared" si="11"/>
        <v>44020</v>
      </c>
      <c r="E162" s="284">
        <f>IFERROR(VLOOKUP($D162,Actual_Kirk_HDD!$A$4:$F$471,6,FALSE),0)</f>
        <v>0</v>
      </c>
      <c r="F162" s="284">
        <f>IFERROR(VLOOKUP($A162&amp;$B162,'Staff Ranked NHDD'!$C$8:$F$374,2,FALSE),0)</f>
        <v>0</v>
      </c>
      <c r="H162" s="49"/>
      <c r="J162" s="74">
        <f>IFERROR(VLOOKUP($D162,Actual_CGI_HDD!$A$9:$E$532,5),0)</f>
        <v>0</v>
      </c>
      <c r="K162" s="284">
        <f>IFERROR(VLOOKUP($A162&amp;$B162,'Staff Ranked NHDD'!$C$8:$F$374,4,FALSE),0)</f>
        <v>0</v>
      </c>
      <c r="M162" s="279"/>
      <c r="N162" s="279"/>
      <c r="O162" s="72"/>
      <c r="P162" s="279"/>
    </row>
    <row r="163" spans="1:16" x14ac:dyDescent="0.25">
      <c r="A163" s="110">
        <f t="shared" si="8"/>
        <v>7</v>
      </c>
      <c r="B163" s="110">
        <f t="shared" si="9"/>
        <v>9</v>
      </c>
      <c r="C163" s="110">
        <f t="shared" si="10"/>
        <v>2020</v>
      </c>
      <c r="D163" s="75">
        <f t="shared" si="11"/>
        <v>44021</v>
      </c>
      <c r="E163" s="284">
        <f>IFERROR(VLOOKUP($D163,Actual_Kirk_HDD!$A$4:$F$471,6,FALSE),0)</f>
        <v>0</v>
      </c>
      <c r="F163" s="284">
        <f>IFERROR(VLOOKUP($A163&amp;$B163,'Staff Ranked NHDD'!$C$8:$F$374,2,FALSE),0)</f>
        <v>0</v>
      </c>
      <c r="H163" s="49"/>
      <c r="J163" s="74">
        <f>IFERROR(VLOOKUP($D163,Actual_CGI_HDD!$A$9:$E$532,5),0)</f>
        <v>0</v>
      </c>
      <c r="K163" s="284">
        <f>IFERROR(VLOOKUP($A163&amp;$B163,'Staff Ranked NHDD'!$C$8:$F$374,4,FALSE),0)</f>
        <v>0</v>
      </c>
      <c r="M163" s="279"/>
      <c r="N163" s="279"/>
      <c r="O163" s="72"/>
      <c r="P163" s="279"/>
    </row>
    <row r="164" spans="1:16" x14ac:dyDescent="0.25">
      <c r="A164" s="110">
        <f t="shared" si="8"/>
        <v>7</v>
      </c>
      <c r="B164" s="110">
        <f t="shared" si="9"/>
        <v>10</v>
      </c>
      <c r="C164" s="110">
        <f t="shared" si="10"/>
        <v>2020</v>
      </c>
      <c r="D164" s="75">
        <f t="shared" si="11"/>
        <v>44022</v>
      </c>
      <c r="E164" s="284">
        <f>IFERROR(VLOOKUP($D164,Actual_Kirk_HDD!$A$4:$F$471,6,FALSE),0)</f>
        <v>0</v>
      </c>
      <c r="F164" s="284">
        <f>IFERROR(VLOOKUP($A164&amp;$B164,'Staff Ranked NHDD'!$C$8:$F$374,2,FALSE),0)</f>
        <v>0</v>
      </c>
      <c r="H164" s="49"/>
      <c r="J164" s="74">
        <f>IFERROR(VLOOKUP($D164,Actual_CGI_HDD!$A$9:$E$532,5),0)</f>
        <v>0</v>
      </c>
      <c r="K164" s="284">
        <f>IFERROR(VLOOKUP($A164&amp;$B164,'Staff Ranked NHDD'!$C$8:$F$374,4,FALSE),0)</f>
        <v>0</v>
      </c>
      <c r="M164" s="279"/>
      <c r="N164" s="279"/>
      <c r="O164" s="72"/>
      <c r="P164" s="279"/>
    </row>
    <row r="165" spans="1:16" x14ac:dyDescent="0.25">
      <c r="A165" s="110">
        <f t="shared" si="8"/>
        <v>7</v>
      </c>
      <c r="B165" s="110">
        <f t="shared" si="9"/>
        <v>11</v>
      </c>
      <c r="C165" s="110">
        <f t="shared" si="10"/>
        <v>2020</v>
      </c>
      <c r="D165" s="75">
        <f t="shared" si="11"/>
        <v>44023</v>
      </c>
      <c r="E165" s="284">
        <f>IFERROR(VLOOKUP($D165,Actual_Kirk_HDD!$A$4:$F$471,6,FALSE),0)</f>
        <v>0</v>
      </c>
      <c r="F165" s="284">
        <f>IFERROR(VLOOKUP($A165&amp;$B165,'Staff Ranked NHDD'!$C$8:$F$374,2,FALSE),0)</f>
        <v>0</v>
      </c>
      <c r="H165" s="49"/>
      <c r="J165" s="74">
        <f>IFERROR(VLOOKUP($D165,Actual_CGI_HDD!$A$9:$E$532,5),0)</f>
        <v>0</v>
      </c>
      <c r="K165" s="284">
        <f>IFERROR(VLOOKUP($A165&amp;$B165,'Staff Ranked NHDD'!$C$8:$F$374,4,FALSE),0)</f>
        <v>0</v>
      </c>
      <c r="M165" s="279"/>
      <c r="N165" s="279"/>
      <c r="O165" s="72"/>
      <c r="P165" s="279"/>
    </row>
    <row r="166" spans="1:16" x14ac:dyDescent="0.25">
      <c r="A166" s="110">
        <f t="shared" si="8"/>
        <v>7</v>
      </c>
      <c r="B166" s="110">
        <f t="shared" si="9"/>
        <v>12</v>
      </c>
      <c r="C166" s="110">
        <f t="shared" si="10"/>
        <v>2020</v>
      </c>
      <c r="D166" s="75">
        <f t="shared" si="11"/>
        <v>44024</v>
      </c>
      <c r="E166" s="284">
        <f>IFERROR(VLOOKUP($D166,Actual_Kirk_HDD!$A$4:$F$471,6,FALSE),0)</f>
        <v>0</v>
      </c>
      <c r="F166" s="284">
        <f>IFERROR(VLOOKUP($A166&amp;$B166,'Staff Ranked NHDD'!$C$8:$F$374,2,FALSE),0)</f>
        <v>0</v>
      </c>
      <c r="H166" s="49"/>
      <c r="J166" s="74">
        <f>IFERROR(VLOOKUP($D166,Actual_CGI_HDD!$A$9:$E$532,5),0)</f>
        <v>0</v>
      </c>
      <c r="K166" s="284">
        <f>IFERROR(VLOOKUP($A166&amp;$B166,'Staff Ranked NHDD'!$C$8:$F$374,4,FALSE),0)</f>
        <v>0</v>
      </c>
      <c r="M166" s="279"/>
      <c r="N166" s="279"/>
      <c r="O166" s="72"/>
      <c r="P166" s="279"/>
    </row>
    <row r="167" spans="1:16" x14ac:dyDescent="0.25">
      <c r="A167" s="110">
        <f t="shared" si="8"/>
        <v>7</v>
      </c>
      <c r="B167" s="110">
        <f t="shared" si="9"/>
        <v>13</v>
      </c>
      <c r="C167" s="110">
        <f t="shared" si="10"/>
        <v>2020</v>
      </c>
      <c r="D167" s="75">
        <f t="shared" si="11"/>
        <v>44025</v>
      </c>
      <c r="E167" s="284">
        <f>IFERROR(VLOOKUP($D167,Actual_Kirk_HDD!$A$4:$F$471,6,FALSE),0)</f>
        <v>0</v>
      </c>
      <c r="F167" s="284">
        <f>IFERROR(VLOOKUP($A167&amp;$B167,'Staff Ranked NHDD'!$C$8:$F$374,2,FALSE),0)</f>
        <v>0</v>
      </c>
      <c r="H167" s="49"/>
      <c r="J167" s="74">
        <f>IFERROR(VLOOKUP($D167,Actual_CGI_HDD!$A$9:$E$532,5),0)</f>
        <v>0</v>
      </c>
      <c r="K167" s="284">
        <f>IFERROR(VLOOKUP($A167&amp;$B167,'Staff Ranked NHDD'!$C$8:$F$374,4,FALSE),0)</f>
        <v>0</v>
      </c>
      <c r="M167" s="279"/>
      <c r="N167" s="279"/>
      <c r="O167" s="72"/>
      <c r="P167" s="279"/>
    </row>
    <row r="168" spans="1:16" x14ac:dyDescent="0.25">
      <c r="A168" s="110">
        <f t="shared" si="8"/>
        <v>7</v>
      </c>
      <c r="B168" s="110">
        <f t="shared" si="9"/>
        <v>14</v>
      </c>
      <c r="C168" s="110">
        <f t="shared" si="10"/>
        <v>2020</v>
      </c>
      <c r="D168" s="75">
        <f t="shared" si="11"/>
        <v>44026</v>
      </c>
      <c r="E168" s="284">
        <f>IFERROR(VLOOKUP($D168,Actual_Kirk_HDD!$A$4:$F$471,6,FALSE),0)</f>
        <v>0</v>
      </c>
      <c r="F168" s="284">
        <f>IFERROR(VLOOKUP($A168&amp;$B168,'Staff Ranked NHDD'!$C$8:$F$374,2,FALSE),0)</f>
        <v>0</v>
      </c>
      <c r="H168" s="49"/>
      <c r="J168" s="74">
        <f>IFERROR(VLOOKUP($D168,Actual_CGI_HDD!$A$9:$E$532,5),0)</f>
        <v>0</v>
      </c>
      <c r="K168" s="284">
        <f>IFERROR(VLOOKUP($A168&amp;$B168,'Staff Ranked NHDD'!$C$8:$F$374,4,FALSE),0)</f>
        <v>0</v>
      </c>
      <c r="M168" s="279"/>
      <c r="N168" s="279"/>
      <c r="O168" s="72"/>
      <c r="P168" s="279"/>
    </row>
    <row r="169" spans="1:16" x14ac:dyDescent="0.25">
      <c r="A169" s="110">
        <f t="shared" si="8"/>
        <v>7</v>
      </c>
      <c r="B169" s="110">
        <f t="shared" si="9"/>
        <v>15</v>
      </c>
      <c r="C169" s="110">
        <f t="shared" si="10"/>
        <v>2020</v>
      </c>
      <c r="D169" s="75">
        <f t="shared" si="11"/>
        <v>44027</v>
      </c>
      <c r="E169" s="284">
        <f>IFERROR(VLOOKUP($D169,Actual_Kirk_HDD!$A$4:$F$471,6,FALSE),0)</f>
        <v>0</v>
      </c>
      <c r="F169" s="284">
        <f>IFERROR(VLOOKUP($A169&amp;$B169,'Staff Ranked NHDD'!$C$8:$F$374,2,FALSE),0)</f>
        <v>0</v>
      </c>
      <c r="H169" s="49"/>
      <c r="J169" s="74">
        <f>IFERROR(VLOOKUP($D169,Actual_CGI_HDD!$A$9:$E$532,5),0)</f>
        <v>0</v>
      </c>
      <c r="K169" s="284">
        <f>IFERROR(VLOOKUP($A169&amp;$B169,'Staff Ranked NHDD'!$C$8:$F$374,4,FALSE),0)</f>
        <v>0</v>
      </c>
      <c r="M169" s="279"/>
      <c r="N169" s="279"/>
      <c r="O169" s="72"/>
      <c r="P169" s="279"/>
    </row>
    <row r="170" spans="1:16" x14ac:dyDescent="0.25">
      <c r="A170" s="110">
        <f t="shared" si="8"/>
        <v>7</v>
      </c>
      <c r="B170" s="110">
        <f t="shared" si="9"/>
        <v>16</v>
      </c>
      <c r="C170" s="110">
        <f t="shared" si="10"/>
        <v>2020</v>
      </c>
      <c r="D170" s="75">
        <f t="shared" si="11"/>
        <v>44028</v>
      </c>
      <c r="E170" s="284">
        <f>IFERROR(VLOOKUP($D170,Actual_Kirk_HDD!$A$4:$F$471,6,FALSE),0)</f>
        <v>0</v>
      </c>
      <c r="F170" s="284">
        <f>IFERROR(VLOOKUP($A170&amp;$B170,'Staff Ranked NHDD'!$C$8:$F$374,2,FALSE),0)</f>
        <v>1.9386200716845867</v>
      </c>
      <c r="H170" s="49"/>
      <c r="J170" s="74">
        <f>IFERROR(VLOOKUP($D170,Actual_CGI_HDD!$A$9:$E$532,5),0)</f>
        <v>0</v>
      </c>
      <c r="K170" s="284">
        <f>IFERROR(VLOOKUP($A170&amp;$B170,'Staff Ranked NHDD'!$C$8:$F$374,4,FALSE),0)</f>
        <v>0</v>
      </c>
      <c r="M170" s="279"/>
      <c r="N170" s="279"/>
      <c r="O170" s="72"/>
      <c r="P170" s="279"/>
    </row>
    <row r="171" spans="1:16" x14ac:dyDescent="0.25">
      <c r="A171" s="110">
        <f t="shared" si="8"/>
        <v>7</v>
      </c>
      <c r="B171" s="110">
        <f t="shared" si="9"/>
        <v>17</v>
      </c>
      <c r="C171" s="110">
        <f t="shared" si="10"/>
        <v>2020</v>
      </c>
      <c r="D171" s="75">
        <f t="shared" si="11"/>
        <v>44029</v>
      </c>
      <c r="E171" s="284">
        <f>IFERROR(VLOOKUP($D171,Actual_Kirk_HDD!$A$4:$F$471,6,FALSE),0)</f>
        <v>0</v>
      </c>
      <c r="F171" s="284">
        <f>IFERROR(VLOOKUP($A171&amp;$B171,'Staff Ranked NHDD'!$C$8:$F$374,2,FALSE),0)</f>
        <v>0</v>
      </c>
      <c r="H171" s="49"/>
      <c r="J171" s="74">
        <f>IFERROR(VLOOKUP($D171,Actual_CGI_HDD!$A$9:$E$532,5),0)</f>
        <v>0</v>
      </c>
      <c r="K171" s="284">
        <f>IFERROR(VLOOKUP($A171&amp;$B171,'Staff Ranked NHDD'!$C$8:$F$374,4,FALSE),0)</f>
        <v>0</v>
      </c>
      <c r="M171" s="279"/>
      <c r="N171" s="279"/>
      <c r="O171" s="72"/>
      <c r="P171" s="279"/>
    </row>
    <row r="172" spans="1:16" x14ac:dyDescent="0.25">
      <c r="A172" s="110">
        <f t="shared" si="8"/>
        <v>7</v>
      </c>
      <c r="B172" s="110">
        <f t="shared" si="9"/>
        <v>18</v>
      </c>
      <c r="C172" s="110">
        <f t="shared" si="10"/>
        <v>2020</v>
      </c>
      <c r="D172" s="75">
        <f t="shared" si="11"/>
        <v>44030</v>
      </c>
      <c r="E172" s="284">
        <f>IFERROR(VLOOKUP($D172,Actual_Kirk_HDD!$A$4:$F$471,6,FALSE),0)</f>
        <v>0</v>
      </c>
      <c r="F172" s="284">
        <f>IFERROR(VLOOKUP($A172&amp;$B172,'Staff Ranked NHDD'!$C$8:$F$374,2,FALSE),0)</f>
        <v>0</v>
      </c>
      <c r="H172" s="49"/>
      <c r="J172" s="74">
        <f>IFERROR(VLOOKUP($D172,Actual_CGI_HDD!$A$9:$E$532,5),0)</f>
        <v>0</v>
      </c>
      <c r="K172" s="284">
        <f>IFERROR(VLOOKUP($A172&amp;$B172,'Staff Ranked NHDD'!$C$8:$F$374,4,FALSE),0)</f>
        <v>0</v>
      </c>
      <c r="M172" s="279"/>
      <c r="N172" s="279"/>
      <c r="O172" s="72"/>
      <c r="P172" s="279"/>
    </row>
    <row r="173" spans="1:16" x14ac:dyDescent="0.25">
      <c r="A173" s="110">
        <f t="shared" si="8"/>
        <v>7</v>
      </c>
      <c r="B173" s="110">
        <f t="shared" si="9"/>
        <v>19</v>
      </c>
      <c r="C173" s="110">
        <f t="shared" si="10"/>
        <v>2020</v>
      </c>
      <c r="D173" s="75">
        <f t="shared" si="11"/>
        <v>44031</v>
      </c>
      <c r="E173" s="284">
        <f>IFERROR(VLOOKUP($D173,Actual_Kirk_HDD!$A$4:$F$471,6,FALSE),0)</f>
        <v>0</v>
      </c>
      <c r="F173" s="284">
        <f>IFERROR(VLOOKUP($A173&amp;$B173,'Staff Ranked NHDD'!$C$8:$F$374,2,FALSE),0)</f>
        <v>0</v>
      </c>
      <c r="H173" s="49"/>
      <c r="J173" s="74">
        <f>IFERROR(VLOOKUP($D173,Actual_CGI_HDD!$A$9:$E$532,5),0)</f>
        <v>0</v>
      </c>
      <c r="K173" s="284">
        <f>IFERROR(VLOOKUP($A173&amp;$B173,'Staff Ranked NHDD'!$C$8:$F$374,4,FALSE),0)</f>
        <v>0</v>
      </c>
      <c r="M173" s="279"/>
      <c r="N173" s="279"/>
      <c r="O173" s="72"/>
      <c r="P173" s="279"/>
    </row>
    <row r="174" spans="1:16" x14ac:dyDescent="0.25">
      <c r="A174" s="110">
        <f t="shared" si="8"/>
        <v>7</v>
      </c>
      <c r="B174" s="110">
        <f t="shared" si="9"/>
        <v>20</v>
      </c>
      <c r="C174" s="110">
        <f t="shared" si="10"/>
        <v>2020</v>
      </c>
      <c r="D174" s="75">
        <f t="shared" si="11"/>
        <v>44032</v>
      </c>
      <c r="E174" s="284">
        <f>IFERROR(VLOOKUP($D174,Actual_Kirk_HDD!$A$4:$F$471,6,FALSE),0)</f>
        <v>0</v>
      </c>
      <c r="F174" s="284">
        <f>IFERROR(VLOOKUP($A174&amp;$B174,'Staff Ranked NHDD'!$C$8:$F$374,2,FALSE),0)</f>
        <v>0</v>
      </c>
      <c r="H174" s="49"/>
      <c r="J174" s="74">
        <f>IFERROR(VLOOKUP($D174,Actual_CGI_HDD!$A$9:$E$532,5),0)</f>
        <v>0</v>
      </c>
      <c r="K174" s="284">
        <f>IFERROR(VLOOKUP($A174&amp;$B174,'Staff Ranked NHDD'!$C$8:$F$374,4,FALSE),0)</f>
        <v>0</v>
      </c>
      <c r="M174" s="279"/>
      <c r="N174" s="279"/>
      <c r="O174" s="72"/>
      <c r="P174" s="279"/>
    </row>
    <row r="175" spans="1:16" x14ac:dyDescent="0.25">
      <c r="A175" s="110">
        <f t="shared" si="8"/>
        <v>7</v>
      </c>
      <c r="B175" s="110">
        <f t="shared" si="9"/>
        <v>21</v>
      </c>
      <c r="C175" s="110">
        <f t="shared" si="10"/>
        <v>2020</v>
      </c>
      <c r="D175" s="75">
        <f t="shared" si="11"/>
        <v>44033</v>
      </c>
      <c r="E175" s="284">
        <f>IFERROR(VLOOKUP($D175,Actual_Kirk_HDD!$A$4:$F$471,6,FALSE),0)</f>
        <v>0</v>
      </c>
      <c r="F175" s="284">
        <f>IFERROR(VLOOKUP($A175&amp;$B175,'Staff Ranked NHDD'!$C$8:$F$374,2,FALSE),0)</f>
        <v>0</v>
      </c>
      <c r="H175" s="49"/>
      <c r="J175" s="74">
        <f>IFERROR(VLOOKUP($D175,Actual_CGI_HDD!$A$9:$E$532,5),0)</f>
        <v>0</v>
      </c>
      <c r="K175" s="284">
        <f>IFERROR(VLOOKUP($A175&amp;$B175,'Staff Ranked NHDD'!$C$8:$F$374,4,FALSE),0)</f>
        <v>0</v>
      </c>
      <c r="M175" s="279"/>
      <c r="N175" s="279"/>
      <c r="O175" s="72"/>
      <c r="P175" s="279"/>
    </row>
    <row r="176" spans="1:16" x14ac:dyDescent="0.25">
      <c r="A176" s="110">
        <f t="shared" si="8"/>
        <v>7</v>
      </c>
      <c r="B176" s="110">
        <f t="shared" si="9"/>
        <v>22</v>
      </c>
      <c r="C176" s="110">
        <f t="shared" si="10"/>
        <v>2020</v>
      </c>
      <c r="D176" s="75">
        <f t="shared" si="11"/>
        <v>44034</v>
      </c>
      <c r="E176" s="284">
        <f>IFERROR(VLOOKUP($D176,Actual_Kirk_HDD!$A$4:$F$471,6,FALSE),0)</f>
        <v>0</v>
      </c>
      <c r="F176" s="284">
        <f>IFERROR(VLOOKUP($A176&amp;$B176,'Staff Ranked NHDD'!$C$8:$F$374,2,FALSE),0)</f>
        <v>0</v>
      </c>
      <c r="H176" s="49"/>
      <c r="J176" s="74">
        <f>IFERROR(VLOOKUP($D176,Actual_CGI_HDD!$A$9:$E$532,5),0)</f>
        <v>0</v>
      </c>
      <c r="K176" s="284">
        <f>IFERROR(VLOOKUP($A176&amp;$B176,'Staff Ranked NHDD'!$C$8:$F$374,4,FALSE),0)</f>
        <v>0</v>
      </c>
      <c r="M176" s="279"/>
      <c r="N176" s="279"/>
      <c r="O176" s="72"/>
      <c r="P176" s="279"/>
    </row>
    <row r="177" spans="1:16" x14ac:dyDescent="0.25">
      <c r="A177" s="110">
        <f t="shared" si="8"/>
        <v>7</v>
      </c>
      <c r="B177" s="110">
        <f t="shared" si="9"/>
        <v>23</v>
      </c>
      <c r="C177" s="110">
        <f t="shared" si="10"/>
        <v>2020</v>
      </c>
      <c r="D177" s="75">
        <f t="shared" si="11"/>
        <v>44035</v>
      </c>
      <c r="E177" s="284">
        <f>IFERROR(VLOOKUP($D177,Actual_Kirk_HDD!$A$4:$F$471,6,FALSE),0)</f>
        <v>0</v>
      </c>
      <c r="F177" s="284">
        <f>IFERROR(VLOOKUP($A177&amp;$B177,'Staff Ranked NHDD'!$C$8:$F$374,2,FALSE),0)</f>
        <v>0</v>
      </c>
      <c r="H177" s="49"/>
      <c r="J177" s="74">
        <f>IFERROR(VLOOKUP($D177,Actual_CGI_HDD!$A$9:$E$532,5),0)</f>
        <v>0</v>
      </c>
      <c r="K177" s="284">
        <f>IFERROR(VLOOKUP($A177&amp;$B177,'Staff Ranked NHDD'!$C$8:$F$374,4,FALSE),0)</f>
        <v>0</v>
      </c>
      <c r="M177" s="279"/>
      <c r="N177" s="279"/>
      <c r="O177" s="72"/>
      <c r="P177" s="279"/>
    </row>
    <row r="178" spans="1:16" x14ac:dyDescent="0.25">
      <c r="A178" s="110">
        <f t="shared" si="8"/>
        <v>7</v>
      </c>
      <c r="B178" s="110">
        <f t="shared" si="9"/>
        <v>24</v>
      </c>
      <c r="C178" s="110">
        <f t="shared" si="10"/>
        <v>2020</v>
      </c>
      <c r="D178" s="75">
        <f t="shared" si="11"/>
        <v>44036</v>
      </c>
      <c r="E178" s="284">
        <f>IFERROR(VLOOKUP($D178,Actual_Kirk_HDD!$A$4:$F$471,6,FALSE),0)</f>
        <v>0</v>
      </c>
      <c r="F178" s="284">
        <f>IFERROR(VLOOKUP($A178&amp;$B178,'Staff Ranked NHDD'!$C$8:$F$374,2,FALSE),0)</f>
        <v>0</v>
      </c>
      <c r="H178" s="49"/>
      <c r="J178" s="74">
        <f>IFERROR(VLOOKUP($D178,Actual_CGI_HDD!$A$9:$E$532,5),0)</f>
        <v>0</v>
      </c>
      <c r="K178" s="284">
        <f>IFERROR(VLOOKUP($A178&amp;$B178,'Staff Ranked NHDD'!$C$8:$F$374,4,FALSE),0)</f>
        <v>0</v>
      </c>
      <c r="M178" s="279"/>
      <c r="N178" s="279"/>
      <c r="O178" s="72"/>
      <c r="P178" s="279"/>
    </row>
    <row r="179" spans="1:16" x14ac:dyDescent="0.25">
      <c r="A179" s="110">
        <f t="shared" si="8"/>
        <v>7</v>
      </c>
      <c r="B179" s="110">
        <f t="shared" si="9"/>
        <v>25</v>
      </c>
      <c r="C179" s="110">
        <f t="shared" si="10"/>
        <v>2020</v>
      </c>
      <c r="D179" s="75">
        <f t="shared" si="11"/>
        <v>44037</v>
      </c>
      <c r="E179" s="284">
        <f>IFERROR(VLOOKUP($D179,Actual_Kirk_HDD!$A$4:$F$471,6,FALSE),0)</f>
        <v>0</v>
      </c>
      <c r="F179" s="284">
        <f>IFERROR(VLOOKUP($A179&amp;$B179,'Staff Ranked NHDD'!$C$8:$F$374,2,FALSE),0)</f>
        <v>0</v>
      </c>
      <c r="H179" s="49"/>
      <c r="J179" s="74">
        <f>IFERROR(VLOOKUP($D179,Actual_CGI_HDD!$A$9:$E$532,5),0)</f>
        <v>0</v>
      </c>
      <c r="K179" s="284">
        <f>IFERROR(VLOOKUP($A179&amp;$B179,'Staff Ranked NHDD'!$C$8:$F$374,4,FALSE),0)</f>
        <v>0</v>
      </c>
      <c r="M179" s="279"/>
      <c r="N179" s="279"/>
      <c r="O179" s="72"/>
      <c r="P179" s="279"/>
    </row>
    <row r="180" spans="1:16" x14ac:dyDescent="0.25">
      <c r="A180" s="110">
        <f t="shared" si="8"/>
        <v>7</v>
      </c>
      <c r="B180" s="110">
        <f t="shared" si="9"/>
        <v>26</v>
      </c>
      <c r="C180" s="110">
        <f t="shared" si="10"/>
        <v>2020</v>
      </c>
      <c r="D180" s="75">
        <f t="shared" si="11"/>
        <v>44038</v>
      </c>
      <c r="E180" s="284">
        <f>IFERROR(VLOOKUP($D180,Actual_Kirk_HDD!$A$4:$F$471,6,FALSE),0)</f>
        <v>0</v>
      </c>
      <c r="F180" s="284">
        <f>IFERROR(VLOOKUP($A180&amp;$B180,'Staff Ranked NHDD'!$C$8:$F$374,2,FALSE),0)</f>
        <v>0</v>
      </c>
      <c r="H180" s="49"/>
      <c r="J180" s="74">
        <f>IFERROR(VLOOKUP($D180,Actual_CGI_HDD!$A$9:$E$532,5),0)</f>
        <v>0</v>
      </c>
      <c r="K180" s="284">
        <f>IFERROR(VLOOKUP($A180&amp;$B180,'Staff Ranked NHDD'!$C$8:$F$374,4,FALSE),0)</f>
        <v>0</v>
      </c>
      <c r="M180" s="279"/>
      <c r="N180" s="279"/>
      <c r="O180" s="72"/>
      <c r="P180" s="279"/>
    </row>
    <row r="181" spans="1:16" x14ac:dyDescent="0.25">
      <c r="A181" s="110">
        <f t="shared" si="8"/>
        <v>7</v>
      </c>
      <c r="B181" s="110">
        <f t="shared" si="9"/>
        <v>27</v>
      </c>
      <c r="C181" s="110">
        <f t="shared" si="10"/>
        <v>2020</v>
      </c>
      <c r="D181" s="75">
        <f t="shared" si="11"/>
        <v>44039</v>
      </c>
      <c r="E181" s="284">
        <f>IFERROR(VLOOKUP($D181,Actual_Kirk_HDD!$A$4:$F$471,6,FALSE),0)</f>
        <v>0</v>
      </c>
      <c r="F181" s="284">
        <f>IFERROR(VLOOKUP($A181&amp;$B181,'Staff Ranked NHDD'!$C$8:$F$374,2,FALSE),0)</f>
        <v>0</v>
      </c>
      <c r="H181" s="49"/>
      <c r="J181" s="74">
        <f>IFERROR(VLOOKUP($D181,Actual_CGI_HDD!$A$9:$E$532,5),0)</f>
        <v>0</v>
      </c>
      <c r="K181" s="284">
        <f>IFERROR(VLOOKUP($A181&amp;$B181,'Staff Ranked NHDD'!$C$8:$F$374,4,FALSE),0)</f>
        <v>0</v>
      </c>
      <c r="M181" s="279"/>
      <c r="N181" s="279"/>
      <c r="O181" s="72"/>
      <c r="P181" s="279"/>
    </row>
    <row r="182" spans="1:16" x14ac:dyDescent="0.25">
      <c r="A182" s="110">
        <f t="shared" si="8"/>
        <v>7</v>
      </c>
      <c r="B182" s="110">
        <f t="shared" si="9"/>
        <v>28</v>
      </c>
      <c r="C182" s="110">
        <f t="shared" si="10"/>
        <v>2020</v>
      </c>
      <c r="D182" s="75">
        <f t="shared" si="11"/>
        <v>44040</v>
      </c>
      <c r="E182" s="284">
        <f>IFERROR(VLOOKUP($D182,Actual_Kirk_HDD!$A$4:$F$471,6,FALSE),0)</f>
        <v>0</v>
      </c>
      <c r="F182" s="284">
        <f>IFERROR(VLOOKUP($A182&amp;$B182,'Staff Ranked NHDD'!$C$8:$F$374,2,FALSE),0)</f>
        <v>0</v>
      </c>
      <c r="H182" s="49"/>
      <c r="J182" s="74">
        <f>IFERROR(VLOOKUP($D182,Actual_CGI_HDD!$A$9:$E$532,5),0)</f>
        <v>0</v>
      </c>
      <c r="K182" s="284">
        <f>IFERROR(VLOOKUP($A182&amp;$B182,'Staff Ranked NHDD'!$C$8:$F$374,4,FALSE),0)</f>
        <v>0</v>
      </c>
      <c r="M182" s="279"/>
      <c r="N182" s="279"/>
      <c r="O182" s="72"/>
      <c r="P182" s="279"/>
    </row>
    <row r="183" spans="1:16" x14ac:dyDescent="0.25">
      <c r="A183" s="110">
        <f t="shared" si="8"/>
        <v>7</v>
      </c>
      <c r="B183" s="110">
        <f t="shared" si="9"/>
        <v>29</v>
      </c>
      <c r="C183" s="110">
        <f t="shared" si="10"/>
        <v>2020</v>
      </c>
      <c r="D183" s="75">
        <f t="shared" si="11"/>
        <v>44041</v>
      </c>
      <c r="E183" s="284">
        <f>IFERROR(VLOOKUP($D183,Actual_Kirk_HDD!$A$4:$F$471,6,FALSE),0)</f>
        <v>0</v>
      </c>
      <c r="F183" s="284">
        <f>IFERROR(VLOOKUP($A183&amp;$B183,'Staff Ranked NHDD'!$C$8:$F$374,2,FALSE),0)</f>
        <v>0</v>
      </c>
      <c r="H183" s="49"/>
      <c r="J183" s="74">
        <f>IFERROR(VLOOKUP($D183,Actual_CGI_HDD!$A$9:$E$532,5),0)</f>
        <v>0</v>
      </c>
      <c r="K183" s="284">
        <f>IFERROR(VLOOKUP($A183&amp;$B183,'Staff Ranked NHDD'!$C$8:$F$374,4,FALSE),0)</f>
        <v>0</v>
      </c>
      <c r="M183" s="279"/>
      <c r="N183" s="279"/>
      <c r="O183" s="72"/>
      <c r="P183" s="279"/>
    </row>
    <row r="184" spans="1:16" x14ac:dyDescent="0.25">
      <c r="A184" s="110">
        <f t="shared" si="8"/>
        <v>7</v>
      </c>
      <c r="B184" s="110">
        <f t="shared" si="9"/>
        <v>30</v>
      </c>
      <c r="C184" s="110">
        <f t="shared" si="10"/>
        <v>2020</v>
      </c>
      <c r="D184" s="75">
        <f t="shared" si="11"/>
        <v>44042</v>
      </c>
      <c r="E184" s="284">
        <f>IFERROR(VLOOKUP($D184,Actual_Kirk_HDD!$A$4:$F$471,6,FALSE),0)</f>
        <v>0</v>
      </c>
      <c r="F184" s="284">
        <f>IFERROR(VLOOKUP($A184&amp;$B184,'Staff Ranked NHDD'!$C$8:$F$374,2,FALSE),0)</f>
        <v>0</v>
      </c>
      <c r="H184" s="49"/>
      <c r="J184" s="74">
        <f>IFERROR(VLOOKUP($D184,Actual_CGI_HDD!$A$9:$E$532,5),0)</f>
        <v>0</v>
      </c>
      <c r="K184" s="284">
        <f>IFERROR(VLOOKUP($A184&amp;$B184,'Staff Ranked NHDD'!$C$8:$F$374,4,FALSE),0)</f>
        <v>0</v>
      </c>
      <c r="M184" s="279"/>
      <c r="N184" s="279"/>
      <c r="O184" s="72"/>
      <c r="P184" s="279"/>
    </row>
    <row r="185" spans="1:16" x14ac:dyDescent="0.25">
      <c r="A185" s="110">
        <f t="shared" si="8"/>
        <v>7</v>
      </c>
      <c r="B185" s="110">
        <f t="shared" si="9"/>
        <v>31</v>
      </c>
      <c r="C185" s="110">
        <f t="shared" si="10"/>
        <v>2020</v>
      </c>
      <c r="D185" s="75">
        <f t="shared" si="11"/>
        <v>44043</v>
      </c>
      <c r="E185" s="284">
        <f>IFERROR(VLOOKUP($D185,Actual_Kirk_HDD!$A$4:$F$471,6,FALSE),0)</f>
        <v>0</v>
      </c>
      <c r="F185" s="284">
        <f>IFERROR(VLOOKUP($A185&amp;$B185,'Staff Ranked NHDD'!$C$8:$F$374,2,FALSE),0)</f>
        <v>0</v>
      </c>
      <c r="H185" s="49"/>
      <c r="J185" s="74">
        <f>IFERROR(VLOOKUP($D185,Actual_CGI_HDD!$A$9:$E$532,5),0)</f>
        <v>0</v>
      </c>
      <c r="K185" s="284">
        <f>IFERROR(VLOOKUP($A185&amp;$B185,'Staff Ranked NHDD'!$C$8:$F$374,4,FALSE),0)</f>
        <v>0</v>
      </c>
      <c r="M185" s="279"/>
      <c r="N185" s="279"/>
      <c r="O185" s="72"/>
      <c r="P185" s="279"/>
    </row>
    <row r="186" spans="1:16" x14ac:dyDescent="0.25">
      <c r="A186" s="110">
        <f t="shared" si="8"/>
        <v>8</v>
      </c>
      <c r="B186" s="110">
        <f t="shared" si="9"/>
        <v>1</v>
      </c>
      <c r="C186" s="110">
        <f t="shared" si="10"/>
        <v>2020</v>
      </c>
      <c r="D186" s="75">
        <f t="shared" si="11"/>
        <v>44044</v>
      </c>
      <c r="E186" s="284">
        <f>IFERROR(VLOOKUP($D186,Actual_Kirk_HDD!$A$4:$F$471,6,FALSE),0)</f>
        <v>0</v>
      </c>
      <c r="F186" s="284">
        <f>IFERROR(VLOOKUP($A186&amp;$B186,'Staff Ranked NHDD'!$C$8:$F$374,2,FALSE),0)</f>
        <v>0</v>
      </c>
      <c r="H186" s="49"/>
      <c r="J186" s="74">
        <f>IFERROR(VLOOKUP($D186,Actual_CGI_HDD!$A$9:$E$532,5),0)</f>
        <v>0</v>
      </c>
      <c r="K186" s="284">
        <f>IFERROR(VLOOKUP($A186&amp;$B186,'Staff Ranked NHDD'!$C$8:$F$374,4,FALSE),0)</f>
        <v>0</v>
      </c>
      <c r="M186" s="279"/>
      <c r="N186" s="279"/>
      <c r="O186" s="72"/>
      <c r="P186" s="279"/>
    </row>
    <row r="187" spans="1:16" x14ac:dyDescent="0.25">
      <c r="A187" s="110">
        <f t="shared" si="8"/>
        <v>8</v>
      </c>
      <c r="B187" s="110">
        <f t="shared" si="9"/>
        <v>2</v>
      </c>
      <c r="C187" s="110">
        <f t="shared" si="10"/>
        <v>2020</v>
      </c>
      <c r="D187" s="75">
        <f t="shared" si="11"/>
        <v>44045</v>
      </c>
      <c r="E187" s="284">
        <f>IFERROR(VLOOKUP($D187,Actual_Kirk_HDD!$A$4:$F$471,6,FALSE),0)</f>
        <v>0</v>
      </c>
      <c r="F187" s="284">
        <f>IFERROR(VLOOKUP($A187&amp;$B187,'Staff Ranked NHDD'!$C$8:$F$374,2,FALSE),0)</f>
        <v>0</v>
      </c>
      <c r="H187" s="49"/>
      <c r="J187" s="74">
        <f>IFERROR(VLOOKUP($D187,Actual_CGI_HDD!$A$9:$E$532,5),0)</f>
        <v>0</v>
      </c>
      <c r="K187" s="284">
        <f>IFERROR(VLOOKUP($A187&amp;$B187,'Staff Ranked NHDD'!$C$8:$F$374,4,FALSE),0)</f>
        <v>0</v>
      </c>
      <c r="M187" s="279"/>
      <c r="N187" s="279"/>
      <c r="O187" s="72"/>
      <c r="P187" s="279"/>
    </row>
    <row r="188" spans="1:16" x14ac:dyDescent="0.25">
      <c r="A188" s="110">
        <f t="shared" si="8"/>
        <v>8</v>
      </c>
      <c r="B188" s="110">
        <f t="shared" si="9"/>
        <v>3</v>
      </c>
      <c r="C188" s="110">
        <f t="shared" si="10"/>
        <v>2020</v>
      </c>
      <c r="D188" s="75">
        <f t="shared" si="11"/>
        <v>44046</v>
      </c>
      <c r="E188" s="284">
        <f>IFERROR(VLOOKUP($D188,Actual_Kirk_HDD!$A$4:$F$471,6,FALSE),0)</f>
        <v>0</v>
      </c>
      <c r="F188" s="284">
        <f>IFERROR(VLOOKUP($A188&amp;$B188,'Staff Ranked NHDD'!$C$8:$F$374,2,FALSE),0)</f>
        <v>0</v>
      </c>
      <c r="H188" s="49"/>
      <c r="J188" s="74">
        <f>IFERROR(VLOOKUP($D188,Actual_CGI_HDD!$A$9:$E$532,5),0)</f>
        <v>0</v>
      </c>
      <c r="K188" s="284">
        <f>IFERROR(VLOOKUP($A188&amp;$B188,'Staff Ranked NHDD'!$C$8:$F$374,4,FALSE),0)</f>
        <v>0</v>
      </c>
      <c r="M188" s="279"/>
      <c r="N188" s="279"/>
      <c r="O188" s="72"/>
      <c r="P188" s="279"/>
    </row>
    <row r="189" spans="1:16" x14ac:dyDescent="0.25">
      <c r="A189" s="110">
        <f t="shared" si="8"/>
        <v>8</v>
      </c>
      <c r="B189" s="110">
        <f t="shared" si="9"/>
        <v>4</v>
      </c>
      <c r="C189" s="110">
        <f t="shared" si="10"/>
        <v>2020</v>
      </c>
      <c r="D189" s="75">
        <f t="shared" si="11"/>
        <v>44047</v>
      </c>
      <c r="E189" s="284">
        <f>IFERROR(VLOOKUP($D189,Actual_Kirk_HDD!$A$4:$F$471,6,FALSE),0)</f>
        <v>3.1137000000000001</v>
      </c>
      <c r="F189" s="284">
        <f>IFERROR(VLOOKUP($A189&amp;$B189,'Staff Ranked NHDD'!$C$8:$F$374,2,FALSE),0)</f>
        <v>4.868709677419349</v>
      </c>
      <c r="H189" s="49"/>
      <c r="J189" s="74">
        <f>IFERROR(VLOOKUP($D189,Actual_CGI_HDD!$A$9:$E$532,5),0)</f>
        <v>0</v>
      </c>
      <c r="K189" s="284">
        <f>IFERROR(VLOOKUP($A189&amp;$B189,'Staff Ranked NHDD'!$C$8:$F$374,4,FALSE),0)</f>
        <v>0</v>
      </c>
      <c r="M189" s="279"/>
      <c r="N189" s="279"/>
      <c r="O189" s="72"/>
      <c r="P189" s="279"/>
    </row>
    <row r="190" spans="1:16" x14ac:dyDescent="0.25">
      <c r="A190" s="110">
        <f t="shared" si="8"/>
        <v>8</v>
      </c>
      <c r="B190" s="110">
        <f t="shared" si="9"/>
        <v>5</v>
      </c>
      <c r="C190" s="110">
        <f t="shared" si="10"/>
        <v>2020</v>
      </c>
      <c r="D190" s="75">
        <f t="shared" si="11"/>
        <v>44048</v>
      </c>
      <c r="E190" s="284">
        <f>IFERROR(VLOOKUP($D190,Actual_Kirk_HDD!$A$4:$F$471,6,FALSE),0)</f>
        <v>2.0758000000000001</v>
      </c>
      <c r="F190" s="284">
        <f>IFERROR(VLOOKUP($A190&amp;$B190,'Staff Ranked NHDD'!$C$8:$F$374,2,FALSE),0)</f>
        <v>1.5306989247311804</v>
      </c>
      <c r="H190" s="49"/>
      <c r="J190" s="74">
        <f>IFERROR(VLOOKUP($D190,Actual_CGI_HDD!$A$9:$E$532,5),0)</f>
        <v>0</v>
      </c>
      <c r="K190" s="284">
        <f>IFERROR(VLOOKUP($A190&amp;$B190,'Staff Ranked NHDD'!$C$8:$F$374,4,FALSE),0)</f>
        <v>0.85489247311827943</v>
      </c>
      <c r="M190" s="279"/>
      <c r="N190" s="279"/>
      <c r="O190" s="72"/>
      <c r="P190" s="279"/>
    </row>
    <row r="191" spans="1:16" x14ac:dyDescent="0.25">
      <c r="A191" s="110">
        <f t="shared" si="8"/>
        <v>8</v>
      </c>
      <c r="B191" s="110">
        <f t="shared" si="9"/>
        <v>6</v>
      </c>
      <c r="C191" s="110">
        <f t="shared" si="10"/>
        <v>2020</v>
      </c>
      <c r="D191" s="75">
        <f t="shared" si="11"/>
        <v>44049</v>
      </c>
      <c r="E191" s="284">
        <f>IFERROR(VLOOKUP($D191,Actual_Kirk_HDD!$A$4:$F$471,6,FALSE),0)</f>
        <v>0</v>
      </c>
      <c r="F191" s="284">
        <f>IFERROR(VLOOKUP($A191&amp;$B191,'Staff Ranked NHDD'!$C$8:$F$374,2,FALSE),0)</f>
        <v>4.2473118279569157E-2</v>
      </c>
      <c r="H191" s="49"/>
      <c r="J191" s="74">
        <f>IFERROR(VLOOKUP($D191,Actual_CGI_HDD!$A$9:$E$532,5),0)</f>
        <v>0</v>
      </c>
      <c r="K191" s="284">
        <f>IFERROR(VLOOKUP($A191&amp;$B191,'Staff Ranked NHDD'!$C$8:$F$374,4,FALSE),0)</f>
        <v>0</v>
      </c>
      <c r="M191" s="279"/>
      <c r="N191" s="279"/>
      <c r="O191" s="72"/>
      <c r="P191" s="279"/>
    </row>
    <row r="192" spans="1:16" x14ac:dyDescent="0.25">
      <c r="A192" s="110">
        <f t="shared" si="8"/>
        <v>8</v>
      </c>
      <c r="B192" s="110">
        <f t="shared" si="9"/>
        <v>7</v>
      </c>
      <c r="C192" s="110">
        <f t="shared" si="10"/>
        <v>2020</v>
      </c>
      <c r="D192" s="75">
        <f t="shared" si="11"/>
        <v>44050</v>
      </c>
      <c r="E192" s="284">
        <f>IFERROR(VLOOKUP($D192,Actual_Kirk_HDD!$A$4:$F$471,6,FALSE),0)</f>
        <v>0</v>
      </c>
      <c r="F192" s="284">
        <f>IFERROR(VLOOKUP($A192&amp;$B192,'Staff Ranked NHDD'!$C$8:$F$374,2,FALSE),0)</f>
        <v>0</v>
      </c>
      <c r="H192" s="49"/>
      <c r="J192" s="74">
        <f>IFERROR(VLOOKUP($D192,Actual_CGI_HDD!$A$9:$E$532,5),0)</f>
        <v>0</v>
      </c>
      <c r="K192" s="284">
        <f>IFERROR(VLOOKUP($A192&amp;$B192,'Staff Ranked NHDD'!$C$8:$F$374,4,FALSE),0)</f>
        <v>0</v>
      </c>
      <c r="M192" s="279"/>
      <c r="N192" s="279"/>
      <c r="O192" s="72"/>
      <c r="P192" s="279"/>
    </row>
    <row r="193" spans="1:16" x14ac:dyDescent="0.25">
      <c r="A193" s="110">
        <f t="shared" si="8"/>
        <v>8</v>
      </c>
      <c r="B193" s="110">
        <f t="shared" si="9"/>
        <v>8</v>
      </c>
      <c r="C193" s="110">
        <f t="shared" si="10"/>
        <v>2020</v>
      </c>
      <c r="D193" s="75">
        <f t="shared" si="11"/>
        <v>44051</v>
      </c>
      <c r="E193" s="284">
        <f>IFERROR(VLOOKUP($D193,Actual_Kirk_HDD!$A$4:$F$471,6,FALSE),0)</f>
        <v>0</v>
      </c>
      <c r="F193" s="284">
        <f>IFERROR(VLOOKUP($A193&amp;$B193,'Staff Ranked NHDD'!$C$8:$F$374,2,FALSE),0)</f>
        <v>0</v>
      </c>
      <c r="H193" s="49"/>
      <c r="J193" s="74">
        <f>IFERROR(VLOOKUP($D193,Actual_CGI_HDD!$A$9:$E$532,5),0)</f>
        <v>0</v>
      </c>
      <c r="K193" s="284">
        <f>IFERROR(VLOOKUP($A193&amp;$B193,'Staff Ranked NHDD'!$C$8:$F$374,4,FALSE),0)</f>
        <v>0</v>
      </c>
      <c r="M193" s="279"/>
      <c r="N193" s="279"/>
      <c r="O193" s="72"/>
      <c r="P193" s="279"/>
    </row>
    <row r="194" spans="1:16" x14ac:dyDescent="0.25">
      <c r="A194" s="110">
        <f t="shared" si="8"/>
        <v>8</v>
      </c>
      <c r="B194" s="110">
        <f t="shared" si="9"/>
        <v>9</v>
      </c>
      <c r="C194" s="110">
        <f t="shared" si="10"/>
        <v>2020</v>
      </c>
      <c r="D194" s="75">
        <f t="shared" si="11"/>
        <v>44052</v>
      </c>
      <c r="E194" s="284">
        <f>IFERROR(VLOOKUP($D194,Actual_Kirk_HDD!$A$4:$F$471,6,FALSE),0)</f>
        <v>0</v>
      </c>
      <c r="F194" s="284">
        <f>IFERROR(VLOOKUP($A194&amp;$B194,'Staff Ranked NHDD'!$C$8:$F$374,2,FALSE),0)</f>
        <v>0</v>
      </c>
      <c r="H194" s="49"/>
      <c r="J194" s="74">
        <f>IFERROR(VLOOKUP($D194,Actual_CGI_HDD!$A$9:$E$532,5),0)</f>
        <v>0</v>
      </c>
      <c r="K194" s="284">
        <f>IFERROR(VLOOKUP($A194&amp;$B194,'Staff Ranked NHDD'!$C$8:$F$374,4,FALSE),0)</f>
        <v>0</v>
      </c>
      <c r="M194" s="279"/>
      <c r="N194" s="279"/>
      <c r="O194" s="72"/>
      <c r="P194" s="279"/>
    </row>
    <row r="195" spans="1:16" x14ac:dyDescent="0.25">
      <c r="A195" s="110">
        <f t="shared" si="8"/>
        <v>8</v>
      </c>
      <c r="B195" s="110">
        <f t="shared" si="9"/>
        <v>10</v>
      </c>
      <c r="C195" s="110">
        <f t="shared" si="10"/>
        <v>2020</v>
      </c>
      <c r="D195" s="75">
        <f t="shared" si="11"/>
        <v>44053</v>
      </c>
      <c r="E195" s="284">
        <f>IFERROR(VLOOKUP($D195,Actual_Kirk_HDD!$A$4:$F$471,6,FALSE),0)</f>
        <v>0</v>
      </c>
      <c r="F195" s="284">
        <f>IFERROR(VLOOKUP($A195&amp;$B195,'Staff Ranked NHDD'!$C$8:$F$374,2,FALSE),0)</f>
        <v>0</v>
      </c>
      <c r="H195" s="49"/>
      <c r="J195" s="74">
        <f>IFERROR(VLOOKUP($D195,Actual_CGI_HDD!$A$9:$E$532,5),0)</f>
        <v>0</v>
      </c>
      <c r="K195" s="284">
        <f>IFERROR(VLOOKUP($A195&amp;$B195,'Staff Ranked NHDD'!$C$8:$F$374,4,FALSE),0)</f>
        <v>0</v>
      </c>
      <c r="M195" s="279"/>
      <c r="N195" s="279"/>
      <c r="O195" s="72"/>
      <c r="P195" s="279"/>
    </row>
    <row r="196" spans="1:16" x14ac:dyDescent="0.25">
      <c r="A196" s="110">
        <f t="shared" si="8"/>
        <v>8</v>
      </c>
      <c r="B196" s="110">
        <f t="shared" si="9"/>
        <v>11</v>
      </c>
      <c r="C196" s="110">
        <f t="shared" si="10"/>
        <v>2020</v>
      </c>
      <c r="D196" s="75">
        <f t="shared" si="11"/>
        <v>44054</v>
      </c>
      <c r="E196" s="284">
        <f>IFERROR(VLOOKUP($D196,Actual_Kirk_HDD!$A$4:$F$471,6,FALSE),0)</f>
        <v>0</v>
      </c>
      <c r="F196" s="284">
        <f>IFERROR(VLOOKUP($A196&amp;$B196,'Staff Ranked NHDD'!$C$8:$F$374,2,FALSE),0)</f>
        <v>0</v>
      </c>
      <c r="H196" s="49"/>
      <c r="J196" s="74">
        <f>IFERROR(VLOOKUP($D196,Actual_CGI_HDD!$A$9:$E$532,5),0)</f>
        <v>0</v>
      </c>
      <c r="K196" s="284">
        <f>IFERROR(VLOOKUP($A196&amp;$B196,'Staff Ranked NHDD'!$C$8:$F$374,4,FALSE),0)</f>
        <v>0</v>
      </c>
      <c r="M196" s="279"/>
      <c r="N196" s="279"/>
      <c r="O196" s="72"/>
      <c r="P196" s="279"/>
    </row>
    <row r="197" spans="1:16" x14ac:dyDescent="0.25">
      <c r="A197" s="110">
        <f t="shared" si="8"/>
        <v>8</v>
      </c>
      <c r="B197" s="110">
        <f t="shared" si="9"/>
        <v>12</v>
      </c>
      <c r="C197" s="110">
        <f t="shared" si="10"/>
        <v>2020</v>
      </c>
      <c r="D197" s="75">
        <f t="shared" si="11"/>
        <v>44055</v>
      </c>
      <c r="E197" s="284">
        <f>IFERROR(VLOOKUP($D197,Actual_Kirk_HDD!$A$4:$F$471,6,FALSE),0)</f>
        <v>0</v>
      </c>
      <c r="F197" s="284">
        <f>IFERROR(VLOOKUP($A197&amp;$B197,'Staff Ranked NHDD'!$C$8:$F$374,2,FALSE),0)</f>
        <v>0</v>
      </c>
      <c r="H197" s="49"/>
      <c r="J197" s="74">
        <f>IFERROR(VLOOKUP($D197,Actual_CGI_HDD!$A$9:$E$532,5),0)</f>
        <v>0</v>
      </c>
      <c r="K197" s="284">
        <f>IFERROR(VLOOKUP($A197&amp;$B197,'Staff Ranked NHDD'!$C$8:$F$374,4,FALSE),0)</f>
        <v>0</v>
      </c>
      <c r="M197" s="279"/>
      <c r="N197" s="279"/>
      <c r="O197" s="72"/>
      <c r="P197" s="279"/>
    </row>
    <row r="198" spans="1:16" x14ac:dyDescent="0.25">
      <c r="A198" s="110">
        <f t="shared" ref="A198:A261" si="12">MONTH(D198)</f>
        <v>8</v>
      </c>
      <c r="B198" s="110">
        <f t="shared" ref="B198:B261" si="13">+DAY(D198)</f>
        <v>13</v>
      </c>
      <c r="C198" s="110">
        <f t="shared" ref="C198:C261" si="14">YEAR(D198)</f>
        <v>2020</v>
      </c>
      <c r="D198" s="75">
        <f t="shared" ref="D198:D261" si="15">D197+1</f>
        <v>44056</v>
      </c>
      <c r="E198" s="284">
        <f>IFERROR(VLOOKUP($D198,Actual_Kirk_HDD!$A$4:$F$471,6,FALSE),0)</f>
        <v>0</v>
      </c>
      <c r="F198" s="284">
        <f>IFERROR(VLOOKUP($A198&amp;$B198,'Staff Ranked NHDD'!$C$8:$F$374,2,FALSE),0)</f>
        <v>0</v>
      </c>
      <c r="H198" s="49"/>
      <c r="J198" s="74">
        <f>IFERROR(VLOOKUP($D198,Actual_CGI_HDD!$A$9:$E$532,5),0)</f>
        <v>0</v>
      </c>
      <c r="K198" s="284">
        <f>IFERROR(VLOOKUP($A198&amp;$B198,'Staff Ranked NHDD'!$C$8:$F$374,4,FALSE),0)</f>
        <v>0</v>
      </c>
      <c r="M198" s="279"/>
      <c r="N198" s="279"/>
      <c r="O198" s="72"/>
      <c r="P198" s="279"/>
    </row>
    <row r="199" spans="1:16" x14ac:dyDescent="0.25">
      <c r="A199" s="110">
        <f t="shared" si="12"/>
        <v>8</v>
      </c>
      <c r="B199" s="110">
        <f t="shared" si="13"/>
        <v>14</v>
      </c>
      <c r="C199" s="110">
        <f t="shared" si="14"/>
        <v>2020</v>
      </c>
      <c r="D199" s="75">
        <f t="shared" si="15"/>
        <v>44057</v>
      </c>
      <c r="E199" s="284">
        <f>IFERROR(VLOOKUP($D199,Actual_Kirk_HDD!$A$4:$F$471,6,FALSE),0)</f>
        <v>0</v>
      </c>
      <c r="F199" s="284">
        <f>IFERROR(VLOOKUP($A199&amp;$B199,'Staff Ranked NHDD'!$C$8:$F$374,2,FALSE),0)</f>
        <v>0</v>
      </c>
      <c r="H199" s="49"/>
      <c r="J199" s="74">
        <f>IFERROR(VLOOKUP($D199,Actual_CGI_HDD!$A$9:$E$532,5),0)</f>
        <v>0</v>
      </c>
      <c r="K199" s="284">
        <f>IFERROR(VLOOKUP($A199&amp;$B199,'Staff Ranked NHDD'!$C$8:$F$374,4,FALSE),0)</f>
        <v>0</v>
      </c>
      <c r="M199" s="279"/>
      <c r="N199" s="279"/>
      <c r="O199" s="72"/>
      <c r="P199" s="279"/>
    </row>
    <row r="200" spans="1:16" x14ac:dyDescent="0.25">
      <c r="A200" s="110">
        <f t="shared" si="12"/>
        <v>8</v>
      </c>
      <c r="B200" s="110">
        <f t="shared" si="13"/>
        <v>15</v>
      </c>
      <c r="C200" s="110">
        <f t="shared" si="14"/>
        <v>2020</v>
      </c>
      <c r="D200" s="75">
        <f t="shared" si="15"/>
        <v>44058</v>
      </c>
      <c r="E200" s="284">
        <f>IFERROR(VLOOKUP($D200,Actual_Kirk_HDD!$A$4:$F$471,6,FALSE),0)</f>
        <v>0</v>
      </c>
      <c r="F200" s="284">
        <f>IFERROR(VLOOKUP($A200&amp;$B200,'Staff Ranked NHDD'!$C$8:$F$374,2,FALSE),0)</f>
        <v>0</v>
      </c>
      <c r="H200" s="49"/>
      <c r="J200" s="74">
        <f>IFERROR(VLOOKUP($D200,Actual_CGI_HDD!$A$9:$E$532,5),0)</f>
        <v>0</v>
      </c>
      <c r="K200" s="284">
        <f>IFERROR(VLOOKUP($A200&amp;$B200,'Staff Ranked NHDD'!$C$8:$F$374,4,FALSE),0)</f>
        <v>0</v>
      </c>
      <c r="M200" s="279"/>
      <c r="N200" s="279"/>
      <c r="O200" s="72"/>
      <c r="P200" s="279"/>
    </row>
    <row r="201" spans="1:16" x14ac:dyDescent="0.25">
      <c r="A201" s="110">
        <f t="shared" si="12"/>
        <v>8</v>
      </c>
      <c r="B201" s="110">
        <f t="shared" si="13"/>
        <v>16</v>
      </c>
      <c r="C201" s="110">
        <f t="shared" si="14"/>
        <v>2020</v>
      </c>
      <c r="D201" s="75">
        <f t="shared" si="15"/>
        <v>44059</v>
      </c>
      <c r="E201" s="284">
        <f>IFERROR(VLOOKUP($D201,Actual_Kirk_HDD!$A$4:$F$471,6,FALSE),0)</f>
        <v>0</v>
      </c>
      <c r="F201" s="284">
        <f>IFERROR(VLOOKUP($A201&amp;$B201,'Staff Ranked NHDD'!$C$8:$F$374,2,FALSE),0)</f>
        <v>0</v>
      </c>
      <c r="H201" s="49"/>
      <c r="J201" s="74">
        <f>IFERROR(VLOOKUP($D201,Actual_CGI_HDD!$A$9:$E$532,5),0)</f>
        <v>0</v>
      </c>
      <c r="K201" s="284">
        <f>IFERROR(VLOOKUP($A201&amp;$B201,'Staff Ranked NHDD'!$C$8:$F$374,4,FALSE),0)</f>
        <v>0</v>
      </c>
      <c r="M201" s="279"/>
      <c r="N201" s="279"/>
      <c r="O201" s="72"/>
      <c r="P201" s="279"/>
    </row>
    <row r="202" spans="1:16" x14ac:dyDescent="0.25">
      <c r="A202" s="110">
        <f t="shared" si="12"/>
        <v>8</v>
      </c>
      <c r="B202" s="110">
        <f t="shared" si="13"/>
        <v>17</v>
      </c>
      <c r="C202" s="110">
        <f t="shared" si="14"/>
        <v>2020</v>
      </c>
      <c r="D202" s="75">
        <f t="shared" si="15"/>
        <v>44060</v>
      </c>
      <c r="E202" s="284">
        <f>IFERROR(VLOOKUP($D202,Actual_Kirk_HDD!$A$4:$F$471,6,FALSE),0)</f>
        <v>0</v>
      </c>
      <c r="F202" s="284">
        <f>IFERROR(VLOOKUP($A202&amp;$B202,'Staff Ranked NHDD'!$C$8:$F$374,2,FALSE),0)</f>
        <v>0</v>
      </c>
      <c r="H202" s="49"/>
      <c r="J202" s="74">
        <f>IFERROR(VLOOKUP($D202,Actual_CGI_HDD!$A$9:$E$532,5),0)</f>
        <v>0</v>
      </c>
      <c r="K202" s="284">
        <f>IFERROR(VLOOKUP($A202&amp;$B202,'Staff Ranked NHDD'!$C$8:$F$374,4,FALSE),0)</f>
        <v>0</v>
      </c>
      <c r="M202" s="279"/>
      <c r="N202" s="279"/>
      <c r="O202" s="72"/>
      <c r="P202" s="279"/>
    </row>
    <row r="203" spans="1:16" x14ac:dyDescent="0.25">
      <c r="A203" s="110">
        <f t="shared" si="12"/>
        <v>8</v>
      </c>
      <c r="B203" s="110">
        <f t="shared" si="13"/>
        <v>18</v>
      </c>
      <c r="C203" s="110">
        <f t="shared" si="14"/>
        <v>2020</v>
      </c>
      <c r="D203" s="75">
        <f t="shared" si="15"/>
        <v>44061</v>
      </c>
      <c r="E203" s="284">
        <f>IFERROR(VLOOKUP($D203,Actual_Kirk_HDD!$A$4:$F$471,6,FALSE),0)</f>
        <v>0</v>
      </c>
      <c r="F203" s="284">
        <f>IFERROR(VLOOKUP($A203&amp;$B203,'Staff Ranked NHDD'!$C$8:$F$374,2,FALSE),0)</f>
        <v>0</v>
      </c>
      <c r="H203" s="49"/>
      <c r="J203" s="74">
        <f>IFERROR(VLOOKUP($D203,Actual_CGI_HDD!$A$9:$E$532,5),0)</f>
        <v>0</v>
      </c>
      <c r="K203" s="284">
        <f>IFERROR(VLOOKUP($A203&amp;$B203,'Staff Ranked NHDD'!$C$8:$F$374,4,FALSE),0)</f>
        <v>0</v>
      </c>
      <c r="M203" s="279"/>
      <c r="N203" s="279"/>
      <c r="O203" s="72"/>
      <c r="P203" s="279"/>
    </row>
    <row r="204" spans="1:16" x14ac:dyDescent="0.25">
      <c r="A204" s="110">
        <f t="shared" si="12"/>
        <v>8</v>
      </c>
      <c r="B204" s="110">
        <f t="shared" si="13"/>
        <v>19</v>
      </c>
      <c r="C204" s="110">
        <f t="shared" si="14"/>
        <v>2020</v>
      </c>
      <c r="D204" s="75">
        <f t="shared" si="15"/>
        <v>44062</v>
      </c>
      <c r="E204" s="284">
        <f>IFERROR(VLOOKUP($D204,Actual_Kirk_HDD!$A$4:$F$471,6,FALSE),0)</f>
        <v>0</v>
      </c>
      <c r="F204" s="284">
        <f>IFERROR(VLOOKUP($A204&amp;$B204,'Staff Ranked NHDD'!$C$8:$F$374,2,FALSE),0)</f>
        <v>0</v>
      </c>
      <c r="H204" s="49"/>
      <c r="J204" s="74">
        <f>IFERROR(VLOOKUP($D204,Actual_CGI_HDD!$A$9:$E$532,5),0)</f>
        <v>0</v>
      </c>
      <c r="K204" s="284">
        <f>IFERROR(VLOOKUP($A204&amp;$B204,'Staff Ranked NHDD'!$C$8:$F$374,4,FALSE),0)</f>
        <v>0</v>
      </c>
      <c r="M204" s="279"/>
      <c r="N204" s="279"/>
      <c r="O204" s="72"/>
      <c r="P204" s="279"/>
    </row>
    <row r="205" spans="1:16" x14ac:dyDescent="0.25">
      <c r="A205" s="110">
        <f t="shared" si="12"/>
        <v>8</v>
      </c>
      <c r="B205" s="110">
        <f t="shared" si="13"/>
        <v>20</v>
      </c>
      <c r="C205" s="110">
        <f t="shared" si="14"/>
        <v>2020</v>
      </c>
      <c r="D205" s="75">
        <f t="shared" si="15"/>
        <v>44063</v>
      </c>
      <c r="E205" s="284">
        <f>IFERROR(VLOOKUP($D205,Actual_Kirk_HDD!$A$4:$F$471,6,FALSE),0)</f>
        <v>0</v>
      </c>
      <c r="F205" s="284">
        <f>IFERROR(VLOOKUP($A205&amp;$B205,'Staff Ranked NHDD'!$C$8:$F$374,2,FALSE),0)</f>
        <v>0</v>
      </c>
      <c r="H205" s="49"/>
      <c r="J205" s="74">
        <f>IFERROR(VLOOKUP($D205,Actual_CGI_HDD!$A$9:$E$532,5),0)</f>
        <v>0</v>
      </c>
      <c r="K205" s="284">
        <f>IFERROR(VLOOKUP($A205&amp;$B205,'Staff Ranked NHDD'!$C$8:$F$374,4,FALSE),0)</f>
        <v>0</v>
      </c>
      <c r="M205" s="279"/>
      <c r="N205" s="279"/>
      <c r="O205" s="72"/>
      <c r="P205" s="279"/>
    </row>
    <row r="206" spans="1:16" x14ac:dyDescent="0.25">
      <c r="A206" s="110">
        <f t="shared" si="12"/>
        <v>8</v>
      </c>
      <c r="B206" s="110">
        <f t="shared" si="13"/>
        <v>21</v>
      </c>
      <c r="C206" s="110">
        <f t="shared" si="14"/>
        <v>2020</v>
      </c>
      <c r="D206" s="75">
        <f t="shared" si="15"/>
        <v>44064</v>
      </c>
      <c r="E206" s="284">
        <f>IFERROR(VLOOKUP($D206,Actual_Kirk_HDD!$A$4:$F$471,6,FALSE),0)</f>
        <v>0</v>
      </c>
      <c r="F206" s="284">
        <f>IFERROR(VLOOKUP($A206&amp;$B206,'Staff Ranked NHDD'!$C$8:$F$374,2,FALSE),0)</f>
        <v>0</v>
      </c>
      <c r="H206" s="49"/>
      <c r="J206" s="74">
        <f>IFERROR(VLOOKUP($D206,Actual_CGI_HDD!$A$9:$E$532,5),0)</f>
        <v>0</v>
      </c>
      <c r="K206" s="284">
        <f>IFERROR(VLOOKUP($A206&amp;$B206,'Staff Ranked NHDD'!$C$8:$F$374,4,FALSE),0)</f>
        <v>0</v>
      </c>
      <c r="M206" s="279"/>
      <c r="N206" s="279"/>
      <c r="O206" s="72"/>
      <c r="P206" s="279"/>
    </row>
    <row r="207" spans="1:16" x14ac:dyDescent="0.25">
      <c r="A207" s="110">
        <f t="shared" si="12"/>
        <v>8</v>
      </c>
      <c r="B207" s="110">
        <f t="shared" si="13"/>
        <v>22</v>
      </c>
      <c r="C207" s="110">
        <f t="shared" si="14"/>
        <v>2020</v>
      </c>
      <c r="D207" s="75">
        <f t="shared" si="15"/>
        <v>44065</v>
      </c>
      <c r="E207" s="284">
        <f>IFERROR(VLOOKUP($D207,Actual_Kirk_HDD!$A$4:$F$471,6,FALSE),0)</f>
        <v>0</v>
      </c>
      <c r="F207" s="284">
        <f>IFERROR(VLOOKUP($A207&amp;$B207,'Staff Ranked NHDD'!$C$8:$F$374,2,FALSE),0)</f>
        <v>0</v>
      </c>
      <c r="H207" s="49"/>
      <c r="J207" s="74">
        <f>IFERROR(VLOOKUP($D207,Actual_CGI_HDD!$A$9:$E$532,5),0)</f>
        <v>0</v>
      </c>
      <c r="K207" s="284">
        <f>IFERROR(VLOOKUP($A207&amp;$B207,'Staff Ranked NHDD'!$C$8:$F$374,4,FALSE),0)</f>
        <v>0</v>
      </c>
      <c r="M207" s="279"/>
      <c r="N207" s="279"/>
      <c r="O207" s="72"/>
      <c r="P207" s="279"/>
    </row>
    <row r="208" spans="1:16" x14ac:dyDescent="0.25">
      <c r="A208" s="110">
        <f t="shared" si="12"/>
        <v>8</v>
      </c>
      <c r="B208" s="110">
        <f t="shared" si="13"/>
        <v>23</v>
      </c>
      <c r="C208" s="110">
        <f t="shared" si="14"/>
        <v>2020</v>
      </c>
      <c r="D208" s="75">
        <f t="shared" si="15"/>
        <v>44066</v>
      </c>
      <c r="E208" s="284">
        <f>IFERROR(VLOOKUP($D208,Actual_Kirk_HDD!$A$4:$F$471,6,FALSE),0)</f>
        <v>0</v>
      </c>
      <c r="F208" s="284">
        <f>IFERROR(VLOOKUP($A208&amp;$B208,'Staff Ranked NHDD'!$C$8:$F$374,2,FALSE),0)</f>
        <v>0</v>
      </c>
      <c r="H208" s="49"/>
      <c r="J208" s="74">
        <f>IFERROR(VLOOKUP($D208,Actual_CGI_HDD!$A$9:$E$532,5),0)</f>
        <v>0</v>
      </c>
      <c r="K208" s="284">
        <f>IFERROR(VLOOKUP($A208&amp;$B208,'Staff Ranked NHDD'!$C$8:$F$374,4,FALSE),0)</f>
        <v>0</v>
      </c>
      <c r="M208" s="279"/>
      <c r="N208" s="279"/>
      <c r="O208" s="72"/>
      <c r="P208" s="279"/>
    </row>
    <row r="209" spans="1:16" x14ac:dyDescent="0.25">
      <c r="A209" s="110">
        <f t="shared" si="12"/>
        <v>8</v>
      </c>
      <c r="B209" s="110">
        <f t="shared" si="13"/>
        <v>24</v>
      </c>
      <c r="C209" s="110">
        <f t="shared" si="14"/>
        <v>2020</v>
      </c>
      <c r="D209" s="75">
        <f t="shared" si="15"/>
        <v>44067</v>
      </c>
      <c r="E209" s="284">
        <f>IFERROR(VLOOKUP($D209,Actual_Kirk_HDD!$A$4:$F$471,6,FALSE),0)</f>
        <v>0</v>
      </c>
      <c r="F209" s="284">
        <f>IFERROR(VLOOKUP($A209&amp;$B209,'Staff Ranked NHDD'!$C$8:$F$374,2,FALSE),0)</f>
        <v>0</v>
      </c>
      <c r="H209" s="49"/>
      <c r="J209" s="74">
        <f>IFERROR(VLOOKUP($D209,Actual_CGI_HDD!$A$9:$E$532,5),0)</f>
        <v>0</v>
      </c>
      <c r="K209" s="284">
        <f>IFERROR(VLOOKUP($A209&amp;$B209,'Staff Ranked NHDD'!$C$8:$F$374,4,FALSE),0)</f>
        <v>0</v>
      </c>
      <c r="M209" s="279"/>
      <c r="N209" s="279"/>
      <c r="O209" s="72"/>
      <c r="P209" s="279"/>
    </row>
    <row r="210" spans="1:16" x14ac:dyDescent="0.25">
      <c r="A210" s="110">
        <f t="shared" si="12"/>
        <v>8</v>
      </c>
      <c r="B210" s="110">
        <f t="shared" si="13"/>
        <v>25</v>
      </c>
      <c r="C210" s="110">
        <f t="shared" si="14"/>
        <v>2020</v>
      </c>
      <c r="D210" s="75">
        <f t="shared" si="15"/>
        <v>44068</v>
      </c>
      <c r="E210" s="284">
        <f>IFERROR(VLOOKUP($D210,Actual_Kirk_HDD!$A$4:$F$471,6,FALSE),0)</f>
        <v>0</v>
      </c>
      <c r="F210" s="284">
        <f>IFERROR(VLOOKUP($A210&amp;$B210,'Staff Ranked NHDD'!$C$8:$F$374,2,FALSE),0)</f>
        <v>0</v>
      </c>
      <c r="H210" s="49"/>
      <c r="J210" s="74">
        <f>IFERROR(VLOOKUP($D210,Actual_CGI_HDD!$A$9:$E$532,5),0)</f>
        <v>0</v>
      </c>
      <c r="K210" s="284">
        <f>IFERROR(VLOOKUP($A210&amp;$B210,'Staff Ranked NHDD'!$C$8:$F$374,4,FALSE),0)</f>
        <v>0</v>
      </c>
      <c r="M210" s="279"/>
      <c r="N210" s="279"/>
      <c r="O210" s="72"/>
      <c r="P210" s="279"/>
    </row>
    <row r="211" spans="1:16" x14ac:dyDescent="0.25">
      <c r="A211" s="110">
        <f t="shared" si="12"/>
        <v>8</v>
      </c>
      <c r="B211" s="110">
        <f t="shared" si="13"/>
        <v>26</v>
      </c>
      <c r="C211" s="110">
        <f t="shared" si="14"/>
        <v>2020</v>
      </c>
      <c r="D211" s="75">
        <f t="shared" si="15"/>
        <v>44069</v>
      </c>
      <c r="E211" s="284">
        <f>IFERROR(VLOOKUP($D211,Actual_Kirk_HDD!$A$4:$F$471,6,FALSE),0)</f>
        <v>0</v>
      </c>
      <c r="F211" s="284">
        <f>IFERROR(VLOOKUP($A211&amp;$B211,'Staff Ranked NHDD'!$C$8:$F$374,2,FALSE),0)</f>
        <v>0</v>
      </c>
      <c r="H211" s="49"/>
      <c r="J211" s="74">
        <f>IFERROR(VLOOKUP($D211,Actual_CGI_HDD!$A$9:$E$532,5),0)</f>
        <v>0</v>
      </c>
      <c r="K211" s="284">
        <f>IFERROR(VLOOKUP($A211&amp;$B211,'Staff Ranked NHDD'!$C$8:$F$374,4,FALSE),0)</f>
        <v>0</v>
      </c>
      <c r="M211" s="279"/>
      <c r="N211" s="279"/>
      <c r="O211" s="72"/>
      <c r="P211" s="279"/>
    </row>
    <row r="212" spans="1:16" x14ac:dyDescent="0.25">
      <c r="A212" s="110">
        <f t="shared" si="12"/>
        <v>8</v>
      </c>
      <c r="B212" s="110">
        <f t="shared" si="13"/>
        <v>27</v>
      </c>
      <c r="C212" s="110">
        <f t="shared" si="14"/>
        <v>2020</v>
      </c>
      <c r="D212" s="75">
        <f t="shared" si="15"/>
        <v>44070</v>
      </c>
      <c r="E212" s="284">
        <f>IFERROR(VLOOKUP($D212,Actual_Kirk_HDD!$A$4:$F$471,6,FALSE),0)</f>
        <v>0</v>
      </c>
      <c r="F212" s="284">
        <f>IFERROR(VLOOKUP($A212&amp;$B212,'Staff Ranked NHDD'!$C$8:$F$374,2,FALSE),0)</f>
        <v>0</v>
      </c>
      <c r="H212" s="49"/>
      <c r="J212" s="74">
        <f>IFERROR(VLOOKUP($D212,Actual_CGI_HDD!$A$9:$E$532,5),0)</f>
        <v>0</v>
      </c>
      <c r="K212" s="284">
        <f>IFERROR(VLOOKUP($A212&amp;$B212,'Staff Ranked NHDD'!$C$8:$F$374,4,FALSE),0)</f>
        <v>0</v>
      </c>
      <c r="M212" s="279"/>
      <c r="N212" s="279"/>
      <c r="O212" s="72"/>
      <c r="P212" s="279"/>
    </row>
    <row r="213" spans="1:16" x14ac:dyDescent="0.25">
      <c r="A213" s="110">
        <f t="shared" si="12"/>
        <v>8</v>
      </c>
      <c r="B213" s="110">
        <f t="shared" si="13"/>
        <v>28</v>
      </c>
      <c r="C213" s="110">
        <f t="shared" si="14"/>
        <v>2020</v>
      </c>
      <c r="D213" s="75">
        <f t="shared" si="15"/>
        <v>44071</v>
      </c>
      <c r="E213" s="284">
        <f>IFERROR(VLOOKUP($D213,Actual_Kirk_HDD!$A$4:$F$471,6,FALSE),0)</f>
        <v>0</v>
      </c>
      <c r="F213" s="284">
        <f>IFERROR(VLOOKUP($A213&amp;$B213,'Staff Ranked NHDD'!$C$8:$F$374,2,FALSE),0)</f>
        <v>0</v>
      </c>
      <c r="H213" s="49"/>
      <c r="J213" s="74">
        <f>IFERROR(VLOOKUP($D213,Actual_CGI_HDD!$A$9:$E$532,5),0)</f>
        <v>0</v>
      </c>
      <c r="K213" s="284">
        <f>IFERROR(VLOOKUP($A213&amp;$B213,'Staff Ranked NHDD'!$C$8:$F$374,4,FALSE),0)</f>
        <v>0</v>
      </c>
      <c r="M213" s="279"/>
      <c r="N213" s="279"/>
      <c r="O213" s="72"/>
      <c r="P213" s="279"/>
    </row>
    <row r="214" spans="1:16" x14ac:dyDescent="0.25">
      <c r="A214" s="110">
        <f t="shared" si="12"/>
        <v>8</v>
      </c>
      <c r="B214" s="110">
        <f t="shared" si="13"/>
        <v>29</v>
      </c>
      <c r="C214" s="110">
        <f t="shared" si="14"/>
        <v>2020</v>
      </c>
      <c r="D214" s="75">
        <f t="shared" si="15"/>
        <v>44072</v>
      </c>
      <c r="E214" s="284">
        <f>IFERROR(VLOOKUP($D214,Actual_Kirk_HDD!$A$4:$F$471,6,FALSE),0)</f>
        <v>0</v>
      </c>
      <c r="F214" s="284">
        <f>IFERROR(VLOOKUP($A214&amp;$B214,'Staff Ranked NHDD'!$C$8:$F$374,2,FALSE),0)</f>
        <v>0</v>
      </c>
      <c r="H214" s="49"/>
      <c r="J214" s="74">
        <f>IFERROR(VLOOKUP($D214,Actual_CGI_HDD!$A$9:$E$532,5),0)</f>
        <v>0</v>
      </c>
      <c r="K214" s="284">
        <f>IFERROR(VLOOKUP($A214&amp;$B214,'Staff Ranked NHDD'!$C$8:$F$374,4,FALSE),0)</f>
        <v>0</v>
      </c>
      <c r="M214" s="279"/>
      <c r="N214" s="279"/>
      <c r="O214" s="72"/>
      <c r="P214" s="279"/>
    </row>
    <row r="215" spans="1:16" x14ac:dyDescent="0.25">
      <c r="A215" s="110">
        <f t="shared" si="12"/>
        <v>8</v>
      </c>
      <c r="B215" s="110">
        <f t="shared" si="13"/>
        <v>30</v>
      </c>
      <c r="C215" s="110">
        <f t="shared" si="14"/>
        <v>2020</v>
      </c>
      <c r="D215" s="75">
        <f t="shared" si="15"/>
        <v>44073</v>
      </c>
      <c r="E215" s="284">
        <f>IFERROR(VLOOKUP($D215,Actual_Kirk_HDD!$A$4:$F$471,6,FALSE),0)</f>
        <v>0</v>
      </c>
      <c r="F215" s="284">
        <f>IFERROR(VLOOKUP($A215&amp;$B215,'Staff Ranked NHDD'!$C$8:$F$374,2,FALSE),0)</f>
        <v>0</v>
      </c>
      <c r="H215" s="49"/>
      <c r="J215" s="74">
        <f>IFERROR(VLOOKUP($D215,Actual_CGI_HDD!$A$9:$E$532,5),0)</f>
        <v>0</v>
      </c>
      <c r="K215" s="284">
        <f>IFERROR(VLOOKUP($A215&amp;$B215,'Staff Ranked NHDD'!$C$8:$F$374,4,FALSE),0)</f>
        <v>0</v>
      </c>
      <c r="M215" s="279"/>
      <c r="N215" s="279"/>
      <c r="O215" s="72"/>
      <c r="P215" s="279"/>
    </row>
    <row r="216" spans="1:16" x14ac:dyDescent="0.25">
      <c r="A216" s="110">
        <f t="shared" si="12"/>
        <v>8</v>
      </c>
      <c r="B216" s="110">
        <f t="shared" si="13"/>
        <v>31</v>
      </c>
      <c r="C216" s="110">
        <f t="shared" si="14"/>
        <v>2020</v>
      </c>
      <c r="D216" s="75">
        <f t="shared" si="15"/>
        <v>44074</v>
      </c>
      <c r="E216" s="284">
        <f>IFERROR(VLOOKUP($D216,Actual_Kirk_HDD!$A$4:$F$471,6,FALSE),0)</f>
        <v>0</v>
      </c>
      <c r="F216" s="284">
        <f>IFERROR(VLOOKUP($A216&amp;$B216,'Staff Ranked NHDD'!$C$8:$F$374,2,FALSE),0)</f>
        <v>0</v>
      </c>
      <c r="H216" s="49"/>
      <c r="J216" s="74">
        <f>IFERROR(VLOOKUP($D216,Actual_CGI_HDD!$A$9:$E$532,5),0)</f>
        <v>0</v>
      </c>
      <c r="K216" s="284">
        <f>IFERROR(VLOOKUP($A216&amp;$B216,'Staff Ranked NHDD'!$C$8:$F$374,4,FALSE),0)</f>
        <v>0</v>
      </c>
      <c r="M216" s="279"/>
      <c r="N216" s="279"/>
      <c r="O216" s="72"/>
      <c r="P216" s="279"/>
    </row>
    <row r="217" spans="1:16" x14ac:dyDescent="0.25">
      <c r="A217" s="110">
        <f t="shared" si="12"/>
        <v>9</v>
      </c>
      <c r="B217" s="110">
        <f t="shared" si="13"/>
        <v>1</v>
      </c>
      <c r="C217" s="110">
        <f t="shared" si="14"/>
        <v>2020</v>
      </c>
      <c r="D217" s="75">
        <f t="shared" si="15"/>
        <v>44075</v>
      </c>
      <c r="E217" s="284">
        <f>IFERROR(VLOOKUP($D217,Actual_Kirk_HDD!$A$4:$F$471,6,FALSE),0)</f>
        <v>0</v>
      </c>
      <c r="F217" s="284">
        <f>IFERROR(VLOOKUP($A217&amp;$B217,'Staff Ranked NHDD'!$C$8:$F$374,2,FALSE),0)</f>
        <v>0</v>
      </c>
      <c r="H217" s="49"/>
      <c r="J217" s="74">
        <f>IFERROR(VLOOKUP($D217,Actual_CGI_HDD!$A$9:$E$532,5),0)</f>
        <v>0</v>
      </c>
      <c r="K217" s="284">
        <f>IFERROR(VLOOKUP($A217&amp;$B217,'Staff Ranked NHDD'!$C$8:$F$374,4,FALSE),0)</f>
        <v>0</v>
      </c>
      <c r="M217" s="279"/>
      <c r="N217" s="279"/>
      <c r="O217" s="72"/>
      <c r="P217" s="279"/>
    </row>
    <row r="218" spans="1:16" x14ac:dyDescent="0.25">
      <c r="A218" s="110">
        <f t="shared" si="12"/>
        <v>9</v>
      </c>
      <c r="B218" s="110">
        <f t="shared" si="13"/>
        <v>2</v>
      </c>
      <c r="C218" s="110">
        <f t="shared" si="14"/>
        <v>2020</v>
      </c>
      <c r="D218" s="75">
        <f t="shared" si="15"/>
        <v>44076</v>
      </c>
      <c r="E218" s="284">
        <f>IFERROR(VLOOKUP($D218,Actual_Kirk_HDD!$A$4:$F$471,6,FALSE),0)</f>
        <v>0</v>
      </c>
      <c r="F218" s="284">
        <f>IFERROR(VLOOKUP($A218&amp;$B218,'Staff Ranked NHDD'!$C$8:$F$374,2,FALSE),0)</f>
        <v>0</v>
      </c>
      <c r="H218" s="49"/>
      <c r="J218" s="74">
        <f>IFERROR(VLOOKUP($D218,Actual_CGI_HDD!$A$9:$E$532,5),0)</f>
        <v>0</v>
      </c>
      <c r="K218" s="284">
        <f>IFERROR(VLOOKUP($A218&amp;$B218,'Staff Ranked NHDD'!$C$8:$F$374,4,FALSE),0)</f>
        <v>0</v>
      </c>
      <c r="M218" s="279"/>
      <c r="N218" s="279"/>
      <c r="O218" s="72"/>
      <c r="P218" s="279"/>
    </row>
    <row r="219" spans="1:16" x14ac:dyDescent="0.25">
      <c r="A219" s="110">
        <f t="shared" si="12"/>
        <v>9</v>
      </c>
      <c r="B219" s="110">
        <f t="shared" si="13"/>
        <v>3</v>
      </c>
      <c r="C219" s="110">
        <f t="shared" si="14"/>
        <v>2020</v>
      </c>
      <c r="D219" s="75">
        <f t="shared" si="15"/>
        <v>44077</v>
      </c>
      <c r="E219" s="284">
        <f>IFERROR(VLOOKUP($D219,Actual_Kirk_HDD!$A$4:$F$471,6,FALSE),0)</f>
        <v>0</v>
      </c>
      <c r="F219" s="284">
        <f>IFERROR(VLOOKUP($A219&amp;$B219,'Staff Ranked NHDD'!$C$8:$F$374,2,FALSE),0)</f>
        <v>0</v>
      </c>
      <c r="H219" s="49"/>
      <c r="J219" s="74">
        <f>IFERROR(VLOOKUP($D219,Actual_CGI_HDD!$A$9:$E$532,5),0)</f>
        <v>0</v>
      </c>
      <c r="K219" s="284">
        <f>IFERROR(VLOOKUP($A219&amp;$B219,'Staff Ranked NHDD'!$C$8:$F$374,4,FALSE),0)</f>
        <v>0</v>
      </c>
      <c r="M219" s="279"/>
      <c r="N219" s="279"/>
      <c r="O219" s="72"/>
      <c r="P219" s="279"/>
    </row>
    <row r="220" spans="1:16" x14ac:dyDescent="0.25">
      <c r="A220" s="110">
        <f t="shared" si="12"/>
        <v>9</v>
      </c>
      <c r="B220" s="110">
        <f t="shared" si="13"/>
        <v>4</v>
      </c>
      <c r="C220" s="110">
        <f t="shared" si="14"/>
        <v>2020</v>
      </c>
      <c r="D220" s="75">
        <f t="shared" si="15"/>
        <v>44078</v>
      </c>
      <c r="E220" s="284">
        <f>IFERROR(VLOOKUP($D220,Actual_Kirk_HDD!$A$4:$F$471,6,FALSE),0)</f>
        <v>0</v>
      </c>
      <c r="F220" s="284">
        <f>IFERROR(VLOOKUP($A220&amp;$B220,'Staff Ranked NHDD'!$C$8:$F$374,2,FALSE),0)</f>
        <v>0</v>
      </c>
      <c r="H220" s="49"/>
      <c r="J220" s="74">
        <f>IFERROR(VLOOKUP($D220,Actual_CGI_HDD!$A$9:$E$532,5),0)</f>
        <v>0</v>
      </c>
      <c r="K220" s="284">
        <f>IFERROR(VLOOKUP($A220&amp;$B220,'Staff Ranked NHDD'!$C$8:$F$374,4,FALSE),0)</f>
        <v>0</v>
      </c>
      <c r="M220" s="279"/>
      <c r="N220" s="279"/>
      <c r="O220" s="72"/>
      <c r="P220" s="279"/>
    </row>
    <row r="221" spans="1:16" x14ac:dyDescent="0.25">
      <c r="A221" s="110">
        <f t="shared" si="12"/>
        <v>9</v>
      </c>
      <c r="B221" s="110">
        <f t="shared" si="13"/>
        <v>5</v>
      </c>
      <c r="C221" s="110">
        <f t="shared" si="14"/>
        <v>2020</v>
      </c>
      <c r="D221" s="75">
        <f t="shared" si="15"/>
        <v>44079</v>
      </c>
      <c r="E221" s="284">
        <f>IFERROR(VLOOKUP($D221,Actual_Kirk_HDD!$A$4:$F$471,6,FALSE),0)</f>
        <v>0</v>
      </c>
      <c r="F221" s="284">
        <f>IFERROR(VLOOKUP($A221&amp;$B221,'Staff Ranked NHDD'!$C$8:$F$374,2,FALSE),0)</f>
        <v>0</v>
      </c>
      <c r="H221" s="49"/>
      <c r="J221" s="74">
        <f>IFERROR(VLOOKUP($D221,Actual_CGI_HDD!$A$9:$E$532,5),0)</f>
        <v>0</v>
      </c>
      <c r="K221" s="284">
        <f>IFERROR(VLOOKUP($A221&amp;$B221,'Staff Ranked NHDD'!$C$8:$F$374,4,FALSE),0)</f>
        <v>0</v>
      </c>
      <c r="M221" s="279"/>
      <c r="N221" s="279"/>
      <c r="O221" s="72"/>
      <c r="P221" s="279"/>
    </row>
    <row r="222" spans="1:16" x14ac:dyDescent="0.25">
      <c r="A222" s="110">
        <f t="shared" si="12"/>
        <v>9</v>
      </c>
      <c r="B222" s="110">
        <f t="shared" si="13"/>
        <v>6</v>
      </c>
      <c r="C222" s="110">
        <f t="shared" si="14"/>
        <v>2020</v>
      </c>
      <c r="D222" s="75">
        <f t="shared" si="15"/>
        <v>44080</v>
      </c>
      <c r="E222" s="284">
        <f>IFERROR(VLOOKUP($D222,Actual_Kirk_HDD!$A$4:$F$471,6,FALSE),0)</f>
        <v>0</v>
      </c>
      <c r="F222" s="284">
        <f>IFERROR(VLOOKUP($A222&amp;$B222,'Staff Ranked NHDD'!$C$8:$F$374,2,FALSE),0)</f>
        <v>0</v>
      </c>
      <c r="H222" s="49"/>
      <c r="J222" s="74">
        <f>IFERROR(VLOOKUP($D222,Actual_CGI_HDD!$A$9:$E$532,5),0)</f>
        <v>0</v>
      </c>
      <c r="K222" s="284">
        <f>IFERROR(VLOOKUP($A222&amp;$B222,'Staff Ranked NHDD'!$C$8:$F$374,4,FALSE),0)</f>
        <v>0</v>
      </c>
      <c r="M222" s="279"/>
      <c r="N222" s="279"/>
      <c r="O222" s="72"/>
      <c r="P222" s="279"/>
    </row>
    <row r="223" spans="1:16" x14ac:dyDescent="0.25">
      <c r="A223" s="110">
        <f t="shared" si="12"/>
        <v>9</v>
      </c>
      <c r="B223" s="110">
        <f t="shared" si="13"/>
        <v>7</v>
      </c>
      <c r="C223" s="110">
        <f t="shared" si="14"/>
        <v>2020</v>
      </c>
      <c r="D223" s="75">
        <f t="shared" si="15"/>
        <v>44081</v>
      </c>
      <c r="E223" s="284">
        <f>IFERROR(VLOOKUP($D223,Actual_Kirk_HDD!$A$4:$F$471,6,FALSE),0)</f>
        <v>0</v>
      </c>
      <c r="F223" s="284">
        <f>IFERROR(VLOOKUP($A223&amp;$B223,'Staff Ranked NHDD'!$C$8:$F$374,2,FALSE),0)</f>
        <v>0</v>
      </c>
      <c r="H223" s="49"/>
      <c r="J223" s="74">
        <f>IFERROR(VLOOKUP($D223,Actual_CGI_HDD!$A$9:$E$532,5),0)</f>
        <v>0</v>
      </c>
      <c r="K223" s="284">
        <f>IFERROR(VLOOKUP($A223&amp;$B223,'Staff Ranked NHDD'!$C$8:$F$374,4,FALSE),0)</f>
        <v>0</v>
      </c>
      <c r="M223" s="279"/>
      <c r="N223" s="279"/>
      <c r="O223" s="72"/>
      <c r="P223" s="279"/>
    </row>
    <row r="224" spans="1:16" x14ac:dyDescent="0.25">
      <c r="A224" s="110">
        <f t="shared" si="12"/>
        <v>9</v>
      </c>
      <c r="B224" s="110">
        <f t="shared" si="13"/>
        <v>8</v>
      </c>
      <c r="C224" s="110">
        <f t="shared" si="14"/>
        <v>2020</v>
      </c>
      <c r="D224" s="75">
        <f t="shared" si="15"/>
        <v>44082</v>
      </c>
      <c r="E224" s="284">
        <f>IFERROR(VLOOKUP($D224,Actual_Kirk_HDD!$A$4:$F$471,6,FALSE),0)</f>
        <v>0</v>
      </c>
      <c r="F224" s="284">
        <f>IFERROR(VLOOKUP($A224&amp;$B224,'Staff Ranked NHDD'!$C$8:$F$374,2,FALSE),0)</f>
        <v>0</v>
      </c>
      <c r="H224" s="49"/>
      <c r="J224" s="74">
        <f>IFERROR(VLOOKUP($D224,Actual_CGI_HDD!$A$9:$E$532,5),0)</f>
        <v>0</v>
      </c>
      <c r="K224" s="284">
        <f>IFERROR(VLOOKUP($A224&amp;$B224,'Staff Ranked NHDD'!$C$8:$F$374,4,FALSE),0)</f>
        <v>0</v>
      </c>
      <c r="M224" s="279"/>
      <c r="N224" s="279"/>
      <c r="O224" s="72"/>
      <c r="P224" s="279"/>
    </row>
    <row r="225" spans="1:16" x14ac:dyDescent="0.25">
      <c r="A225" s="110">
        <f t="shared" si="12"/>
        <v>9</v>
      </c>
      <c r="B225" s="110">
        <f t="shared" si="13"/>
        <v>9</v>
      </c>
      <c r="C225" s="110">
        <f t="shared" si="14"/>
        <v>2020</v>
      </c>
      <c r="D225" s="75">
        <f t="shared" si="15"/>
        <v>44083</v>
      </c>
      <c r="E225" s="284">
        <f>IFERROR(VLOOKUP($D225,Actual_Kirk_HDD!$A$4:$F$471,6,FALSE),0)</f>
        <v>15.711599999999999</v>
      </c>
      <c r="F225" s="284">
        <f>IFERROR(VLOOKUP($A225&amp;$B225,'Staff Ranked NHDD'!$C$8:$F$374,2,FALSE),0)</f>
        <v>13.436296296296296</v>
      </c>
      <c r="H225" s="49"/>
      <c r="J225" s="74">
        <f>IFERROR(VLOOKUP($D225,Actual_CGI_HDD!$A$9:$E$532,5),0)</f>
        <v>0</v>
      </c>
      <c r="K225" s="284">
        <f>IFERROR(VLOOKUP($A225&amp;$B225,'Staff Ranked NHDD'!$C$8:$F$374,4,FALSE),0)</f>
        <v>0</v>
      </c>
      <c r="M225" s="279"/>
      <c r="N225" s="279"/>
      <c r="O225" s="72"/>
      <c r="P225" s="279"/>
    </row>
    <row r="226" spans="1:16" x14ac:dyDescent="0.25">
      <c r="A226" s="110">
        <f t="shared" si="12"/>
        <v>9</v>
      </c>
      <c r="B226" s="110">
        <f t="shared" si="13"/>
        <v>10</v>
      </c>
      <c r="C226" s="110">
        <f t="shared" si="14"/>
        <v>2020</v>
      </c>
      <c r="D226" s="75">
        <f t="shared" si="15"/>
        <v>44084</v>
      </c>
      <c r="E226" s="284">
        <f>IFERROR(VLOOKUP($D226,Actual_Kirk_HDD!$A$4:$F$471,6,FALSE),0)</f>
        <v>17.020899999999997</v>
      </c>
      <c r="F226" s="284">
        <f>IFERROR(VLOOKUP($A226&amp;$B226,'Staff Ranked NHDD'!$C$8:$F$374,2,FALSE),0)</f>
        <v>17.450925925925926</v>
      </c>
      <c r="H226" s="49"/>
      <c r="J226" s="74">
        <f>IFERROR(VLOOKUP($D226,Actual_CGI_HDD!$A$9:$E$532,5),0)</f>
        <v>0</v>
      </c>
      <c r="K226" s="284">
        <f>IFERROR(VLOOKUP($A226&amp;$B226,'Staff Ranked NHDD'!$C$8:$F$374,4,FALSE),0)</f>
        <v>0</v>
      </c>
      <c r="M226" s="279"/>
      <c r="N226" s="279"/>
      <c r="O226" s="72"/>
      <c r="P226" s="279"/>
    </row>
    <row r="227" spans="1:16" x14ac:dyDescent="0.25">
      <c r="A227" s="110">
        <f t="shared" si="12"/>
        <v>9</v>
      </c>
      <c r="B227" s="110">
        <f t="shared" si="13"/>
        <v>11</v>
      </c>
      <c r="C227" s="110">
        <f t="shared" si="14"/>
        <v>2020</v>
      </c>
      <c r="D227" s="75">
        <f t="shared" si="15"/>
        <v>44085</v>
      </c>
      <c r="E227" s="284">
        <f>IFERROR(VLOOKUP($D227,Actual_Kirk_HDD!$A$4:$F$471,6,FALSE),0)</f>
        <v>15.056949999999999</v>
      </c>
      <c r="F227" s="284">
        <f>IFERROR(VLOOKUP($A227&amp;$B227,'Staff Ranked NHDD'!$C$8:$F$374,2,FALSE),0)</f>
        <v>11.309259259259257</v>
      </c>
      <c r="H227" s="49"/>
      <c r="J227" s="74">
        <f>IFERROR(VLOOKUP($D227,Actual_CGI_HDD!$A$9:$E$532,5),0)</f>
        <v>0</v>
      </c>
      <c r="K227" s="284">
        <f>IFERROR(VLOOKUP($A227&amp;$B227,'Staff Ranked NHDD'!$C$8:$F$374,4,FALSE),0)</f>
        <v>0</v>
      </c>
      <c r="M227" s="279"/>
      <c r="N227" s="279"/>
      <c r="O227" s="72"/>
      <c r="P227" s="279"/>
    </row>
    <row r="228" spans="1:16" x14ac:dyDescent="0.25">
      <c r="A228" s="110">
        <f t="shared" si="12"/>
        <v>9</v>
      </c>
      <c r="B228" s="110">
        <f t="shared" si="13"/>
        <v>12</v>
      </c>
      <c r="C228" s="110">
        <f t="shared" si="14"/>
        <v>2020</v>
      </c>
      <c r="D228" s="75">
        <f t="shared" si="15"/>
        <v>44086</v>
      </c>
      <c r="E228" s="284">
        <f>IFERROR(VLOOKUP($D228,Actual_Kirk_HDD!$A$4:$F$471,6,FALSE),0)</f>
        <v>7.8557999999999995</v>
      </c>
      <c r="F228" s="284">
        <f>IFERROR(VLOOKUP($A228&amp;$B228,'Staff Ranked NHDD'!$C$8:$F$374,2,FALSE),0)</f>
        <v>5.2650000000000006</v>
      </c>
      <c r="H228" s="49"/>
      <c r="J228" s="74">
        <f>IFERROR(VLOOKUP($D228,Actual_CGI_HDD!$A$9:$E$532,5),0)</f>
        <v>0</v>
      </c>
      <c r="K228" s="284">
        <f>IFERROR(VLOOKUP($A228&amp;$B228,'Staff Ranked NHDD'!$C$8:$F$374,4,FALSE),0)</f>
        <v>0</v>
      </c>
      <c r="M228" s="279"/>
      <c r="N228" s="279"/>
      <c r="O228" s="72"/>
      <c r="P228" s="279"/>
    </row>
    <row r="229" spans="1:16" x14ac:dyDescent="0.25">
      <c r="A229" s="110">
        <f t="shared" si="12"/>
        <v>9</v>
      </c>
      <c r="B229" s="110">
        <f t="shared" si="13"/>
        <v>13</v>
      </c>
      <c r="C229" s="110">
        <f t="shared" si="14"/>
        <v>2020</v>
      </c>
      <c r="D229" s="75">
        <f t="shared" si="15"/>
        <v>44087</v>
      </c>
      <c r="E229" s="284">
        <f>IFERROR(VLOOKUP($D229,Actual_Kirk_HDD!$A$4:$F$471,6,FALSE),0)</f>
        <v>1.3092999999999999</v>
      </c>
      <c r="F229" s="284">
        <f>IFERROR(VLOOKUP($A229&amp;$B229,'Staff Ranked NHDD'!$C$8:$F$374,2,FALSE),0)</f>
        <v>1.3109259259259254</v>
      </c>
      <c r="H229" s="49"/>
      <c r="J229" s="74">
        <f>IFERROR(VLOOKUP($D229,Actual_CGI_HDD!$A$9:$E$532,5),0)</f>
        <v>0</v>
      </c>
      <c r="K229" s="284">
        <f>IFERROR(VLOOKUP($A229&amp;$B229,'Staff Ranked NHDD'!$C$8:$F$374,4,FALSE),0)</f>
        <v>0</v>
      </c>
      <c r="M229" s="279"/>
      <c r="N229" s="279"/>
      <c r="O229" s="72"/>
      <c r="P229" s="279"/>
    </row>
    <row r="230" spans="1:16" x14ac:dyDescent="0.25">
      <c r="A230" s="110">
        <f t="shared" si="12"/>
        <v>9</v>
      </c>
      <c r="B230" s="110">
        <f t="shared" si="13"/>
        <v>14</v>
      </c>
      <c r="C230" s="110">
        <f t="shared" si="14"/>
        <v>2020</v>
      </c>
      <c r="D230" s="75">
        <f t="shared" si="15"/>
        <v>44088</v>
      </c>
      <c r="E230" s="284">
        <f>IFERROR(VLOOKUP($D230,Actual_Kirk_HDD!$A$4:$F$471,6,FALSE),0)</f>
        <v>1.3092999999999999</v>
      </c>
      <c r="F230" s="284">
        <f>IFERROR(VLOOKUP($A230&amp;$B230,'Staff Ranked NHDD'!$C$8:$F$374,2,FALSE),0)</f>
        <v>0.40222222222222398</v>
      </c>
      <c r="H230" s="49"/>
      <c r="J230" s="74">
        <f>IFERROR(VLOOKUP($D230,Actual_CGI_HDD!$A$9:$E$532,5),0)</f>
        <v>0</v>
      </c>
      <c r="K230" s="284">
        <f>IFERROR(VLOOKUP($A230&amp;$B230,'Staff Ranked NHDD'!$C$8:$F$374,4,FALSE),0)</f>
        <v>0</v>
      </c>
      <c r="M230" s="279"/>
      <c r="N230" s="279"/>
      <c r="O230" s="72"/>
      <c r="P230" s="279"/>
    </row>
    <row r="231" spans="1:16" x14ac:dyDescent="0.25">
      <c r="A231" s="110">
        <f t="shared" si="12"/>
        <v>9</v>
      </c>
      <c r="B231" s="110">
        <f t="shared" si="13"/>
        <v>15</v>
      </c>
      <c r="C231" s="110">
        <f t="shared" si="14"/>
        <v>2020</v>
      </c>
      <c r="D231" s="75">
        <f t="shared" si="15"/>
        <v>44089</v>
      </c>
      <c r="E231" s="284">
        <f>IFERROR(VLOOKUP($D231,Actual_Kirk_HDD!$A$4:$F$471,6,FALSE),0)</f>
        <v>0</v>
      </c>
      <c r="F231" s="284">
        <f>IFERROR(VLOOKUP($A231&amp;$B231,'Staff Ranked NHDD'!$C$8:$F$374,2,FALSE),0)</f>
        <v>0</v>
      </c>
      <c r="H231" s="49"/>
      <c r="J231" s="74">
        <f>IFERROR(VLOOKUP($D231,Actual_CGI_HDD!$A$9:$E$532,5),0)</f>
        <v>0</v>
      </c>
      <c r="K231" s="284">
        <f>IFERROR(VLOOKUP($A231&amp;$B231,'Staff Ranked NHDD'!$C$8:$F$374,4,FALSE),0)</f>
        <v>0</v>
      </c>
      <c r="M231" s="279"/>
      <c r="N231" s="279"/>
      <c r="O231" s="72"/>
      <c r="P231" s="279"/>
    </row>
    <row r="232" spans="1:16" x14ac:dyDescent="0.25">
      <c r="A232" s="110">
        <f t="shared" si="12"/>
        <v>9</v>
      </c>
      <c r="B232" s="110">
        <f t="shared" si="13"/>
        <v>16</v>
      </c>
      <c r="C232" s="110">
        <f t="shared" si="14"/>
        <v>2020</v>
      </c>
      <c r="D232" s="75">
        <f t="shared" si="15"/>
        <v>44090</v>
      </c>
      <c r="E232" s="284">
        <f>IFERROR(VLOOKUP($D232,Actual_Kirk_HDD!$A$4:$F$471,6,FALSE),0)</f>
        <v>0</v>
      </c>
      <c r="F232" s="284">
        <f>IFERROR(VLOOKUP($A232&amp;$B232,'Staff Ranked NHDD'!$C$8:$F$374,2,FALSE),0)</f>
        <v>0</v>
      </c>
      <c r="H232" s="49"/>
      <c r="J232" s="74">
        <f>IFERROR(VLOOKUP($D232,Actual_CGI_HDD!$A$9:$E$532,5),0)</f>
        <v>0</v>
      </c>
      <c r="K232" s="284">
        <f>IFERROR(VLOOKUP($A232&amp;$B232,'Staff Ranked NHDD'!$C$8:$F$374,4,FALSE),0)</f>
        <v>0</v>
      </c>
      <c r="M232" s="279"/>
      <c r="N232" s="279"/>
      <c r="O232" s="72"/>
      <c r="P232" s="279"/>
    </row>
    <row r="233" spans="1:16" x14ac:dyDescent="0.25">
      <c r="A233" s="110">
        <f t="shared" si="12"/>
        <v>9</v>
      </c>
      <c r="B233" s="110">
        <f t="shared" si="13"/>
        <v>17</v>
      </c>
      <c r="C233" s="110">
        <f t="shared" si="14"/>
        <v>2020</v>
      </c>
      <c r="D233" s="75">
        <f t="shared" si="15"/>
        <v>44091</v>
      </c>
      <c r="E233" s="284">
        <f>IFERROR(VLOOKUP($D233,Actual_Kirk_HDD!$A$4:$F$471,6,FALSE),0)</f>
        <v>0</v>
      </c>
      <c r="F233" s="284">
        <f>IFERROR(VLOOKUP($A233&amp;$B233,'Staff Ranked NHDD'!$C$8:$F$374,2,FALSE),0)</f>
        <v>0</v>
      </c>
      <c r="H233" s="49"/>
      <c r="J233" s="74">
        <f>IFERROR(VLOOKUP($D233,Actual_CGI_HDD!$A$9:$E$532,5),0)</f>
        <v>0</v>
      </c>
      <c r="K233" s="284">
        <f>IFERROR(VLOOKUP($A233&amp;$B233,'Staff Ranked NHDD'!$C$8:$F$374,4,FALSE),0)</f>
        <v>0</v>
      </c>
      <c r="M233" s="279"/>
      <c r="N233" s="279"/>
      <c r="O233" s="72"/>
      <c r="P233" s="279"/>
    </row>
    <row r="234" spans="1:16" x14ac:dyDescent="0.25">
      <c r="A234" s="110">
        <f t="shared" si="12"/>
        <v>9</v>
      </c>
      <c r="B234" s="110">
        <f t="shared" si="13"/>
        <v>18</v>
      </c>
      <c r="C234" s="110">
        <f t="shared" si="14"/>
        <v>2020</v>
      </c>
      <c r="D234" s="75">
        <f t="shared" si="15"/>
        <v>44092</v>
      </c>
      <c r="E234" s="284">
        <f>IFERROR(VLOOKUP($D234,Actual_Kirk_HDD!$A$4:$F$471,6,FALSE),0)</f>
        <v>4.5825499999999995</v>
      </c>
      <c r="F234" s="284">
        <f>IFERROR(VLOOKUP($A234&amp;$B234,'Staff Ranked NHDD'!$C$8:$F$374,2,FALSE),0)</f>
        <v>3.8581481481481479</v>
      </c>
      <c r="H234" s="49"/>
      <c r="J234" s="74">
        <f>IFERROR(VLOOKUP($D234,Actual_CGI_HDD!$A$9:$E$532,5),0)</f>
        <v>0.5</v>
      </c>
      <c r="K234" s="284">
        <f>IFERROR(VLOOKUP($A234&amp;$B234,'Staff Ranked NHDD'!$C$8:$F$374,4,FALSE),0)</f>
        <v>0</v>
      </c>
      <c r="M234" s="279"/>
      <c r="N234" s="279"/>
      <c r="O234" s="72"/>
      <c r="P234" s="279"/>
    </row>
    <row r="235" spans="1:16" x14ac:dyDescent="0.25">
      <c r="A235" s="110">
        <f t="shared" si="12"/>
        <v>9</v>
      </c>
      <c r="B235" s="110">
        <f t="shared" si="13"/>
        <v>19</v>
      </c>
      <c r="C235" s="110">
        <f t="shared" si="14"/>
        <v>2020</v>
      </c>
      <c r="D235" s="75">
        <f t="shared" si="15"/>
        <v>44093</v>
      </c>
      <c r="E235" s="284">
        <f>IFERROR(VLOOKUP($D235,Actual_Kirk_HDD!$A$4:$F$471,6,FALSE),0)</f>
        <v>2.6185999999999998</v>
      </c>
      <c r="F235" s="284">
        <f>IFERROR(VLOOKUP($A235&amp;$B235,'Staff Ranked NHDD'!$C$8:$F$374,2,FALSE),0)</f>
        <v>2.9318518518518517</v>
      </c>
      <c r="H235" s="49"/>
      <c r="J235" s="74">
        <f>IFERROR(VLOOKUP($D235,Actual_CGI_HDD!$A$9:$E$532,5),0)</f>
        <v>5.5</v>
      </c>
      <c r="K235" s="284">
        <f>IFERROR(VLOOKUP($A235&amp;$B235,'Staff Ranked NHDD'!$C$8:$F$374,4,FALSE),0)</f>
        <v>8.9072222222222202</v>
      </c>
      <c r="M235" s="279"/>
      <c r="N235" s="279"/>
      <c r="O235" s="72"/>
      <c r="P235" s="279"/>
    </row>
    <row r="236" spans="1:16" x14ac:dyDescent="0.25">
      <c r="A236" s="110">
        <f t="shared" si="12"/>
        <v>9</v>
      </c>
      <c r="B236" s="110">
        <f t="shared" si="13"/>
        <v>20</v>
      </c>
      <c r="C236" s="110">
        <f t="shared" si="14"/>
        <v>2020</v>
      </c>
      <c r="D236" s="75">
        <f t="shared" si="15"/>
        <v>44094</v>
      </c>
      <c r="E236" s="284">
        <f>IFERROR(VLOOKUP($D236,Actual_Kirk_HDD!$A$4:$F$471,6,FALSE),0)</f>
        <v>9.8197499999999991</v>
      </c>
      <c r="F236" s="284">
        <f>IFERROR(VLOOKUP($A236&amp;$B236,'Staff Ranked NHDD'!$C$8:$F$374,2,FALSE),0)</f>
        <v>7.2085185185185194</v>
      </c>
      <c r="H236" s="49"/>
      <c r="J236" s="74">
        <f>IFERROR(VLOOKUP($D236,Actual_CGI_HDD!$A$9:$E$532,5),0)</f>
        <v>4.5</v>
      </c>
      <c r="K236" s="284">
        <f>IFERROR(VLOOKUP($A236&amp;$B236,'Staff Ranked NHDD'!$C$8:$F$374,4,FALSE),0)</f>
        <v>5.1659259259259249</v>
      </c>
      <c r="M236" s="279"/>
      <c r="N236" s="279"/>
      <c r="O236" s="72"/>
      <c r="P236" s="279"/>
    </row>
    <row r="237" spans="1:16" x14ac:dyDescent="0.25">
      <c r="A237" s="110">
        <f t="shared" si="12"/>
        <v>9</v>
      </c>
      <c r="B237" s="110">
        <f t="shared" si="13"/>
        <v>21</v>
      </c>
      <c r="C237" s="110">
        <f t="shared" si="14"/>
        <v>2020</v>
      </c>
      <c r="D237" s="75">
        <f t="shared" si="15"/>
        <v>44095</v>
      </c>
      <c r="E237" s="284">
        <f>IFERROR(VLOOKUP($D237,Actual_Kirk_HDD!$A$4:$F$471,6,FALSE),0)</f>
        <v>5.8918499999999998</v>
      </c>
      <c r="F237" s="284">
        <f>IFERROR(VLOOKUP($A237&amp;$B237,'Staff Ranked NHDD'!$C$8:$F$374,2,FALSE),0)</f>
        <v>4.532222222222221</v>
      </c>
      <c r="H237" s="49"/>
      <c r="J237" s="74">
        <f>IFERROR(VLOOKUP($D237,Actual_CGI_HDD!$A$9:$E$532,5),0)</f>
        <v>1.5</v>
      </c>
      <c r="K237" s="284">
        <f>IFERROR(VLOOKUP($A237&amp;$B237,'Staff Ranked NHDD'!$C$8:$F$374,4,FALSE),0)</f>
        <v>0</v>
      </c>
      <c r="M237" s="279"/>
      <c r="N237" s="279"/>
      <c r="O237" s="72"/>
      <c r="P237" s="279"/>
    </row>
    <row r="238" spans="1:16" x14ac:dyDescent="0.25">
      <c r="A238" s="110">
        <f t="shared" si="12"/>
        <v>9</v>
      </c>
      <c r="B238" s="110">
        <f t="shared" si="13"/>
        <v>22</v>
      </c>
      <c r="C238" s="110">
        <f t="shared" si="14"/>
        <v>2020</v>
      </c>
      <c r="D238" s="75">
        <f t="shared" si="15"/>
        <v>44096</v>
      </c>
      <c r="E238" s="284">
        <f>IFERROR(VLOOKUP($D238,Actual_Kirk_HDD!$A$4:$F$471,6,FALSE),0)</f>
        <v>1.9639499999999999</v>
      </c>
      <c r="F238" s="284">
        <f>IFERROR(VLOOKUP($A238&amp;$B238,'Staff Ranked NHDD'!$C$8:$F$374,2,FALSE),0)</f>
        <v>2.153703703703703</v>
      </c>
      <c r="H238" s="49"/>
      <c r="J238" s="74">
        <f>IFERROR(VLOOKUP($D238,Actual_CGI_HDD!$A$9:$E$532,5),0)</f>
        <v>4</v>
      </c>
      <c r="K238" s="284">
        <f>IFERROR(VLOOKUP($A238&amp;$B238,'Staff Ranked NHDD'!$C$8:$F$374,4,FALSE),0)</f>
        <v>3.5187037037037028</v>
      </c>
      <c r="M238" s="279"/>
      <c r="N238" s="279"/>
      <c r="O238" s="72"/>
      <c r="P238" s="279"/>
    </row>
    <row r="239" spans="1:16" x14ac:dyDescent="0.25">
      <c r="A239" s="110">
        <f t="shared" si="12"/>
        <v>9</v>
      </c>
      <c r="B239" s="110">
        <f t="shared" si="13"/>
        <v>23</v>
      </c>
      <c r="C239" s="110">
        <f t="shared" si="14"/>
        <v>2020</v>
      </c>
      <c r="D239" s="75">
        <f t="shared" si="15"/>
        <v>44097</v>
      </c>
      <c r="E239" s="284">
        <f>IFERROR(VLOOKUP($D239,Actual_Kirk_HDD!$A$4:$F$471,6,FALSE),0)</f>
        <v>0</v>
      </c>
      <c r="F239" s="284">
        <f>IFERROR(VLOOKUP($A239&amp;$B239,'Staff Ranked NHDD'!$C$8:$F$374,2,FALSE),0)</f>
        <v>0</v>
      </c>
      <c r="H239" s="49"/>
      <c r="J239" s="74">
        <f>IFERROR(VLOOKUP($D239,Actual_CGI_HDD!$A$9:$E$532,5),0)</f>
        <v>3</v>
      </c>
      <c r="K239" s="284">
        <f>IFERROR(VLOOKUP($A239&amp;$B239,'Staff Ranked NHDD'!$C$8:$F$374,4,FALSE),0)</f>
        <v>2.6896296296296298</v>
      </c>
      <c r="M239" s="279"/>
      <c r="N239" s="279"/>
      <c r="O239" s="72"/>
      <c r="P239" s="279"/>
    </row>
    <row r="240" spans="1:16" x14ac:dyDescent="0.25">
      <c r="A240" s="110">
        <f t="shared" si="12"/>
        <v>9</v>
      </c>
      <c r="B240" s="110">
        <f t="shared" si="13"/>
        <v>24</v>
      </c>
      <c r="C240" s="110">
        <f t="shared" si="14"/>
        <v>2020</v>
      </c>
      <c r="D240" s="75">
        <f t="shared" si="15"/>
        <v>44098</v>
      </c>
      <c r="E240" s="284">
        <f>IFERROR(VLOOKUP($D240,Actual_Kirk_HDD!$A$4:$F$471,6,FALSE),0)</f>
        <v>0</v>
      </c>
      <c r="F240" s="284">
        <f>IFERROR(VLOOKUP($A240&amp;$B240,'Staff Ranked NHDD'!$C$8:$F$374,2,FALSE),0)</f>
        <v>0</v>
      </c>
      <c r="H240" s="49"/>
      <c r="J240" s="74">
        <f>IFERROR(VLOOKUP($D240,Actual_CGI_HDD!$A$9:$E$532,5),0)</f>
        <v>2.5</v>
      </c>
      <c r="K240" s="284">
        <f>IFERROR(VLOOKUP($A240&amp;$B240,'Staff Ranked NHDD'!$C$8:$F$374,4,FALSE),0)</f>
        <v>1.7266666666666675</v>
      </c>
      <c r="M240" s="279"/>
      <c r="N240" s="279"/>
      <c r="O240" s="72"/>
      <c r="P240" s="279"/>
    </row>
    <row r="241" spans="1:16" x14ac:dyDescent="0.25">
      <c r="A241" s="110">
        <f t="shared" si="12"/>
        <v>9</v>
      </c>
      <c r="B241" s="110">
        <f t="shared" si="13"/>
        <v>25</v>
      </c>
      <c r="C241" s="110">
        <f t="shared" si="14"/>
        <v>2020</v>
      </c>
      <c r="D241" s="75">
        <f t="shared" si="15"/>
        <v>44099</v>
      </c>
      <c r="E241" s="284">
        <f>IFERROR(VLOOKUP($D241,Actual_Kirk_HDD!$A$4:$F$471,6,FALSE),0)</f>
        <v>0</v>
      </c>
      <c r="F241" s="284">
        <f>IFERROR(VLOOKUP($A241&amp;$B241,'Staff Ranked NHDD'!$C$8:$F$374,2,FALSE),0)</f>
        <v>0</v>
      </c>
      <c r="H241" s="49"/>
      <c r="J241" s="74">
        <f>IFERROR(VLOOKUP($D241,Actual_CGI_HDD!$A$9:$E$532,5),0)</f>
        <v>2</v>
      </c>
      <c r="K241" s="284">
        <f>IFERROR(VLOOKUP($A241&amp;$B241,'Staff Ranked NHDD'!$C$8:$F$374,4,FALSE),0)</f>
        <v>0.89222222222222025</v>
      </c>
      <c r="M241" s="279"/>
      <c r="N241" s="279"/>
      <c r="O241" s="72"/>
      <c r="P241" s="279"/>
    </row>
    <row r="242" spans="1:16" x14ac:dyDescent="0.25">
      <c r="A242" s="110">
        <f t="shared" si="12"/>
        <v>9</v>
      </c>
      <c r="B242" s="110">
        <f t="shared" si="13"/>
        <v>26</v>
      </c>
      <c r="C242" s="110">
        <f t="shared" si="14"/>
        <v>2020</v>
      </c>
      <c r="D242" s="75">
        <f t="shared" si="15"/>
        <v>44100</v>
      </c>
      <c r="E242" s="284">
        <f>IFERROR(VLOOKUP($D242,Actual_Kirk_HDD!$A$4:$F$471,6,FALSE),0)</f>
        <v>0</v>
      </c>
      <c r="F242" s="284">
        <f>IFERROR(VLOOKUP($A242&amp;$B242,'Staff Ranked NHDD'!$C$8:$F$374,2,FALSE),0)</f>
        <v>0</v>
      </c>
      <c r="H242" s="49"/>
      <c r="J242" s="74">
        <f>IFERROR(VLOOKUP($D242,Actual_CGI_HDD!$A$9:$E$532,5),0)</f>
        <v>0</v>
      </c>
      <c r="K242" s="284">
        <f>IFERROR(VLOOKUP($A242&amp;$B242,'Staff Ranked NHDD'!$C$8:$F$374,4,FALSE),0)</f>
        <v>0</v>
      </c>
      <c r="M242" s="279"/>
      <c r="N242" s="279"/>
      <c r="O242" s="72"/>
      <c r="P242" s="279"/>
    </row>
    <row r="243" spans="1:16" x14ac:dyDescent="0.25">
      <c r="A243" s="110">
        <f t="shared" si="12"/>
        <v>9</v>
      </c>
      <c r="B243" s="110">
        <f t="shared" si="13"/>
        <v>27</v>
      </c>
      <c r="C243" s="110">
        <f t="shared" si="14"/>
        <v>2020</v>
      </c>
      <c r="D243" s="75">
        <f t="shared" si="15"/>
        <v>44101</v>
      </c>
      <c r="E243" s="284">
        <f>IFERROR(VLOOKUP($D243,Actual_Kirk_HDD!$A$4:$F$471,6,FALSE),0)</f>
        <v>0</v>
      </c>
      <c r="F243" s="284">
        <f>IFERROR(VLOOKUP($A243&amp;$B243,'Staff Ranked NHDD'!$C$8:$F$374,2,FALSE),0)</f>
        <v>0</v>
      </c>
      <c r="H243" s="49"/>
      <c r="J243" s="74">
        <f>IFERROR(VLOOKUP($D243,Actual_CGI_HDD!$A$9:$E$532,5),0)</f>
        <v>0</v>
      </c>
      <c r="K243" s="284">
        <f>IFERROR(VLOOKUP($A243&amp;$B243,'Staff Ranked NHDD'!$C$8:$F$374,4,FALSE),0)</f>
        <v>0</v>
      </c>
      <c r="M243" s="279"/>
      <c r="N243" s="279"/>
      <c r="O243" s="72"/>
      <c r="P243" s="279"/>
    </row>
    <row r="244" spans="1:16" x14ac:dyDescent="0.25">
      <c r="A244" s="110">
        <f t="shared" si="12"/>
        <v>9</v>
      </c>
      <c r="B244" s="110">
        <f t="shared" si="13"/>
        <v>28</v>
      </c>
      <c r="C244" s="110">
        <f t="shared" si="14"/>
        <v>2020</v>
      </c>
      <c r="D244" s="75">
        <f t="shared" si="15"/>
        <v>44102</v>
      </c>
      <c r="E244" s="284">
        <f>IFERROR(VLOOKUP($D244,Actual_Kirk_HDD!$A$4:$F$471,6,FALSE),0)</f>
        <v>8.5104499999999987</v>
      </c>
      <c r="F244" s="284">
        <f>IFERROR(VLOOKUP($A244&amp;$B244,'Staff Ranked NHDD'!$C$8:$F$374,2,FALSE),0)</f>
        <v>6.1688888888888895</v>
      </c>
      <c r="H244" s="49"/>
      <c r="J244" s="74">
        <f>IFERROR(VLOOKUP($D244,Actual_CGI_HDD!$A$9:$E$532,5),0)</f>
        <v>5.5</v>
      </c>
      <c r="K244" s="284">
        <f>IFERROR(VLOOKUP($A244&amp;$B244,'Staff Ranked NHDD'!$C$8:$F$374,4,FALSE),0)</f>
        <v>6.7099999999999982</v>
      </c>
      <c r="M244" s="279"/>
      <c r="N244" s="279"/>
      <c r="O244" s="72"/>
      <c r="P244" s="279"/>
    </row>
    <row r="245" spans="1:16" x14ac:dyDescent="0.25">
      <c r="A245" s="110">
        <f t="shared" si="12"/>
        <v>9</v>
      </c>
      <c r="B245" s="110">
        <f t="shared" si="13"/>
        <v>29</v>
      </c>
      <c r="C245" s="110">
        <f t="shared" si="14"/>
        <v>2020</v>
      </c>
      <c r="D245" s="75">
        <f t="shared" si="15"/>
        <v>44103</v>
      </c>
      <c r="E245" s="284">
        <f>IFERROR(VLOOKUP($D245,Actual_Kirk_HDD!$A$4:$F$471,6,FALSE),0)</f>
        <v>14.402299999999999</v>
      </c>
      <c r="F245" s="284">
        <f>IFERROR(VLOOKUP($A245&amp;$B245,'Staff Ranked NHDD'!$C$8:$F$374,2,FALSE),0)</f>
        <v>9.779814814814813</v>
      </c>
      <c r="H245" s="49"/>
      <c r="J245" s="74">
        <f>IFERROR(VLOOKUP($D245,Actual_CGI_HDD!$A$9:$E$532,5),0)</f>
        <v>10</v>
      </c>
      <c r="K245" s="284">
        <f>IFERROR(VLOOKUP($A245&amp;$B245,'Staff Ranked NHDD'!$C$8:$F$374,4,FALSE),0)</f>
        <v>12.64222222222222</v>
      </c>
      <c r="M245" s="279"/>
      <c r="N245" s="279"/>
      <c r="O245" s="72"/>
      <c r="P245" s="279"/>
    </row>
    <row r="246" spans="1:16" x14ac:dyDescent="0.25">
      <c r="A246" s="110">
        <f t="shared" si="12"/>
        <v>9</v>
      </c>
      <c r="B246" s="110">
        <f t="shared" si="13"/>
        <v>30</v>
      </c>
      <c r="C246" s="110">
        <f t="shared" si="14"/>
        <v>2020</v>
      </c>
      <c r="D246" s="75">
        <f t="shared" si="15"/>
        <v>44104</v>
      </c>
      <c r="E246" s="284">
        <f>IFERROR(VLOOKUP($D246,Actual_Kirk_HDD!$A$4:$F$471,6,FALSE),0)</f>
        <v>10.474399999999999</v>
      </c>
      <c r="F246" s="284">
        <f>IFERROR(VLOOKUP($A246&amp;$B246,'Staff Ranked NHDD'!$C$8:$F$374,2,FALSE),0)</f>
        <v>8.3977777777777796</v>
      </c>
      <c r="H246" s="49"/>
      <c r="J246" s="74">
        <f>IFERROR(VLOOKUP($D246,Actual_CGI_HDD!$A$9:$E$532,5),0)</f>
        <v>2</v>
      </c>
      <c r="K246" s="284">
        <f>IFERROR(VLOOKUP($A246&amp;$B246,'Staff Ranked NHDD'!$C$8:$F$374,4,FALSE),0)</f>
        <v>0.21425925925925829</v>
      </c>
      <c r="M246" s="279"/>
      <c r="N246" s="279"/>
      <c r="O246" s="72"/>
      <c r="P246" s="279"/>
    </row>
    <row r="247" spans="1:16" x14ac:dyDescent="0.25">
      <c r="A247" s="110">
        <f t="shared" si="12"/>
        <v>10</v>
      </c>
      <c r="B247" s="110">
        <f t="shared" si="13"/>
        <v>1</v>
      </c>
      <c r="C247" s="110">
        <f t="shared" si="14"/>
        <v>2020</v>
      </c>
      <c r="D247" s="75">
        <f t="shared" si="15"/>
        <v>44105</v>
      </c>
      <c r="E247" s="284">
        <f>IFERROR(VLOOKUP($D247,Actual_Kirk_HDD!$A$4:$F$471,6,FALSE),0)</f>
        <v>9.4468999999999994</v>
      </c>
      <c r="F247" s="284">
        <f>IFERROR(VLOOKUP($A247&amp;$B247,'Staff Ranked NHDD'!$C$8:$F$374,2,FALSE),0)</f>
        <v>8.1101612903225835</v>
      </c>
      <c r="H247" s="49"/>
      <c r="J247" s="74">
        <f>IFERROR(VLOOKUP($D247,Actual_CGI_HDD!$A$9:$E$532,5),0)</f>
        <v>8</v>
      </c>
      <c r="K247" s="284">
        <f>IFERROR(VLOOKUP($A247&amp;$B247,'Staff Ranked NHDD'!$C$8:$F$374,4,FALSE),0)</f>
        <v>5.9418817204301089</v>
      </c>
      <c r="M247" s="279"/>
      <c r="N247" s="279"/>
      <c r="O247" s="72"/>
      <c r="P247" s="279"/>
    </row>
    <row r="248" spans="1:16" x14ac:dyDescent="0.25">
      <c r="A248" s="110">
        <f t="shared" si="12"/>
        <v>10</v>
      </c>
      <c r="B248" s="110">
        <f t="shared" si="13"/>
        <v>2</v>
      </c>
      <c r="C248" s="110">
        <f t="shared" si="14"/>
        <v>2020</v>
      </c>
      <c r="D248" s="75">
        <f t="shared" si="15"/>
        <v>44106</v>
      </c>
      <c r="E248" s="284">
        <f>IFERROR(VLOOKUP($D248,Actual_Kirk_HDD!$A$4:$F$471,6,FALSE),0)</f>
        <v>18.893799999999999</v>
      </c>
      <c r="F248" s="284">
        <f>IFERROR(VLOOKUP($A248&amp;$B248,'Staff Ranked NHDD'!$C$8:$F$374,2,FALSE),0)</f>
        <v>12.091738351254483</v>
      </c>
      <c r="H248" s="49"/>
      <c r="J248" s="74">
        <f>IFERROR(VLOOKUP($D248,Actual_CGI_HDD!$A$9:$E$532,5),0)</f>
        <v>14.5</v>
      </c>
      <c r="K248" s="284">
        <f>IFERROR(VLOOKUP($A248&amp;$B248,'Staff Ranked NHDD'!$C$8:$F$374,4,FALSE),0)</f>
        <v>11.301021505376344</v>
      </c>
      <c r="M248" s="279"/>
      <c r="N248" s="279"/>
      <c r="O248" s="72"/>
      <c r="P248" s="279"/>
    </row>
    <row r="249" spans="1:16" x14ac:dyDescent="0.25">
      <c r="A249" s="110">
        <f t="shared" si="12"/>
        <v>10</v>
      </c>
      <c r="B249" s="110">
        <f t="shared" si="13"/>
        <v>3</v>
      </c>
      <c r="C249" s="110">
        <f t="shared" si="14"/>
        <v>2020</v>
      </c>
      <c r="D249" s="75">
        <f t="shared" si="15"/>
        <v>44107</v>
      </c>
      <c r="E249" s="284">
        <f>IFERROR(VLOOKUP($D249,Actual_Kirk_HDD!$A$4:$F$471,6,FALSE),0)</f>
        <v>18.893799999999999</v>
      </c>
      <c r="F249" s="284">
        <f>IFERROR(VLOOKUP($A249&amp;$B249,'Staff Ranked NHDD'!$C$8:$F$374,2,FALSE),0)</f>
        <v>11.306774193548389</v>
      </c>
      <c r="H249" s="49"/>
      <c r="J249" s="74">
        <f>IFERROR(VLOOKUP($D249,Actual_CGI_HDD!$A$9:$E$532,5),0)</f>
        <v>12.5</v>
      </c>
      <c r="K249" s="284">
        <f>IFERROR(VLOOKUP($A249&amp;$B249,'Staff Ranked NHDD'!$C$8:$F$374,4,FALSE),0)</f>
        <v>8.8601792114695357</v>
      </c>
      <c r="M249" s="279"/>
      <c r="N249" s="279"/>
      <c r="O249" s="72"/>
      <c r="P249" s="279"/>
    </row>
    <row r="250" spans="1:16" x14ac:dyDescent="0.25">
      <c r="A250" s="110">
        <f t="shared" si="12"/>
        <v>10</v>
      </c>
      <c r="B250" s="110">
        <f t="shared" si="13"/>
        <v>4</v>
      </c>
      <c r="C250" s="110">
        <f t="shared" si="14"/>
        <v>2020</v>
      </c>
      <c r="D250" s="75">
        <f t="shared" si="15"/>
        <v>44108</v>
      </c>
      <c r="E250" s="284">
        <f>IFERROR(VLOOKUP($D250,Actual_Kirk_HDD!$A$4:$F$471,6,FALSE),0)</f>
        <v>17.226699999999997</v>
      </c>
      <c r="F250" s="284">
        <f>IFERROR(VLOOKUP($A250&amp;$B250,'Staff Ranked NHDD'!$C$8:$F$374,2,FALSE),0)</f>
        <v>10.560179211469537</v>
      </c>
      <c r="H250" s="49"/>
      <c r="J250" s="74">
        <f>IFERROR(VLOOKUP($D250,Actual_CGI_HDD!$A$9:$E$532,5),0)</f>
        <v>15</v>
      </c>
      <c r="K250" s="284">
        <f>IFERROR(VLOOKUP($A250&amp;$B250,'Staff Ranked NHDD'!$C$8:$F$374,4,FALSE),0)</f>
        <v>12.226075268817205</v>
      </c>
      <c r="M250" s="279"/>
      <c r="N250" s="279"/>
      <c r="O250" s="72"/>
      <c r="P250" s="279"/>
    </row>
    <row r="251" spans="1:16" x14ac:dyDescent="0.25">
      <c r="A251" s="110">
        <f t="shared" si="12"/>
        <v>10</v>
      </c>
      <c r="B251" s="110">
        <f t="shared" si="13"/>
        <v>5</v>
      </c>
      <c r="C251" s="110">
        <f t="shared" si="14"/>
        <v>2020</v>
      </c>
      <c r="D251" s="75">
        <f t="shared" si="15"/>
        <v>44109</v>
      </c>
      <c r="E251" s="284">
        <f>IFERROR(VLOOKUP($D251,Actual_Kirk_HDD!$A$4:$F$471,6,FALSE),0)</f>
        <v>16.670999999999999</v>
      </c>
      <c r="F251" s="284">
        <f>IFERROR(VLOOKUP($A251&amp;$B251,'Staff Ranked NHDD'!$C$8:$F$374,2,FALSE),0)</f>
        <v>9.6870430107526921</v>
      </c>
      <c r="H251" s="49"/>
      <c r="J251" s="74">
        <f>IFERROR(VLOOKUP($D251,Actual_CGI_HDD!$A$9:$E$532,5),0)</f>
        <v>15.5</v>
      </c>
      <c r="K251" s="284">
        <f>IFERROR(VLOOKUP($A251&amp;$B251,'Staff Ranked NHDD'!$C$8:$F$374,4,FALSE),0)</f>
        <v>15.162688172043014</v>
      </c>
      <c r="M251" s="279"/>
      <c r="N251" s="279"/>
      <c r="O251" s="72"/>
      <c r="P251" s="279"/>
    </row>
    <row r="252" spans="1:16" x14ac:dyDescent="0.25">
      <c r="A252" s="110">
        <f t="shared" si="12"/>
        <v>10</v>
      </c>
      <c r="B252" s="110">
        <f t="shared" si="13"/>
        <v>6</v>
      </c>
      <c r="C252" s="110">
        <f t="shared" si="14"/>
        <v>2020</v>
      </c>
      <c r="D252" s="75">
        <f t="shared" si="15"/>
        <v>44110</v>
      </c>
      <c r="E252" s="284">
        <f>IFERROR(VLOOKUP($D252,Actual_Kirk_HDD!$A$4:$F$471,6,FALSE),0)</f>
        <v>10.002599999999999</v>
      </c>
      <c r="F252" s="284">
        <f>IFERROR(VLOOKUP($A252&amp;$B252,'Staff Ranked NHDD'!$C$8:$F$374,2,FALSE),0)</f>
        <v>8.9029928315412192</v>
      </c>
      <c r="H252" s="49"/>
      <c r="J252" s="74">
        <f>IFERROR(VLOOKUP($D252,Actual_CGI_HDD!$A$9:$E$532,5),0)</f>
        <v>8</v>
      </c>
      <c r="K252" s="284">
        <f>IFERROR(VLOOKUP($A252&amp;$B252,'Staff Ranked NHDD'!$C$8:$F$374,4,FALSE),0)</f>
        <v>5.080322580645162</v>
      </c>
      <c r="M252" s="279"/>
      <c r="N252" s="279"/>
      <c r="O252" s="72"/>
      <c r="P252" s="279"/>
    </row>
    <row r="253" spans="1:16" x14ac:dyDescent="0.25">
      <c r="A253" s="110">
        <f t="shared" si="12"/>
        <v>10</v>
      </c>
      <c r="B253" s="110">
        <f t="shared" si="13"/>
        <v>7</v>
      </c>
      <c r="C253" s="110">
        <f t="shared" si="14"/>
        <v>2020</v>
      </c>
      <c r="D253" s="75">
        <f t="shared" si="15"/>
        <v>44111</v>
      </c>
      <c r="E253" s="284">
        <f>IFERROR(VLOOKUP($D253,Actual_Kirk_HDD!$A$4:$F$471,6,FALSE),0)</f>
        <v>1.1113999999999999</v>
      </c>
      <c r="F253" s="284">
        <f>IFERROR(VLOOKUP($A253&amp;$B253,'Staff Ranked NHDD'!$C$8:$F$374,2,FALSE),0)</f>
        <v>2.9795519713261664</v>
      </c>
      <c r="H253" s="49"/>
      <c r="J253" s="74">
        <f>IFERROR(VLOOKUP($D253,Actual_CGI_HDD!$A$9:$E$532,5),0)</f>
        <v>0</v>
      </c>
      <c r="K253" s="284">
        <f>IFERROR(VLOOKUP($A253&amp;$B253,'Staff Ranked NHDD'!$C$8:$F$374,4,FALSE),0)</f>
        <v>0</v>
      </c>
      <c r="M253" s="279"/>
      <c r="N253" s="279"/>
      <c r="O253" s="72"/>
      <c r="P253" s="279"/>
    </row>
    <row r="254" spans="1:16" x14ac:dyDescent="0.25">
      <c r="A254" s="110">
        <f t="shared" si="12"/>
        <v>10</v>
      </c>
      <c r="B254" s="110">
        <f t="shared" si="13"/>
        <v>8</v>
      </c>
      <c r="C254" s="110">
        <f t="shared" si="14"/>
        <v>2020</v>
      </c>
      <c r="D254" s="75">
        <f t="shared" si="15"/>
        <v>44112</v>
      </c>
      <c r="E254" s="284">
        <f>IFERROR(VLOOKUP($D254,Actual_Kirk_HDD!$A$4:$F$471,6,FALSE),0)</f>
        <v>0</v>
      </c>
      <c r="F254" s="284">
        <f>IFERROR(VLOOKUP($A254&amp;$B254,'Staff Ranked NHDD'!$C$8:$F$374,2,FALSE),0)</f>
        <v>0.6302688172043015</v>
      </c>
      <c r="H254" s="49"/>
      <c r="J254" s="74">
        <f>IFERROR(VLOOKUP($D254,Actual_CGI_HDD!$A$9:$E$532,5),0)</f>
        <v>0</v>
      </c>
      <c r="K254" s="284">
        <f>IFERROR(VLOOKUP($A254&amp;$B254,'Staff Ranked NHDD'!$C$8:$F$374,4,FALSE),0)</f>
        <v>3.4946236559136425E-3</v>
      </c>
      <c r="M254" s="279"/>
      <c r="N254" s="279"/>
      <c r="O254" s="72"/>
      <c r="P254" s="279"/>
    </row>
    <row r="255" spans="1:16" x14ac:dyDescent="0.25">
      <c r="A255" s="110">
        <f t="shared" si="12"/>
        <v>10</v>
      </c>
      <c r="B255" s="110">
        <f t="shared" si="13"/>
        <v>9</v>
      </c>
      <c r="C255" s="110">
        <f t="shared" si="14"/>
        <v>2020</v>
      </c>
      <c r="D255" s="75">
        <f t="shared" si="15"/>
        <v>44113</v>
      </c>
      <c r="E255" s="284">
        <f>IFERROR(VLOOKUP($D255,Actual_Kirk_HDD!$A$4:$F$471,6,FALSE),0)</f>
        <v>0</v>
      </c>
      <c r="F255" s="284">
        <f>IFERROR(VLOOKUP($A255&amp;$B255,'Staff Ranked NHDD'!$C$8:$F$374,2,FALSE),0)</f>
        <v>0</v>
      </c>
      <c r="H255" s="49"/>
      <c r="J255" s="74">
        <f>IFERROR(VLOOKUP($D255,Actual_CGI_HDD!$A$9:$E$532,5),0)</f>
        <v>0</v>
      </c>
      <c r="K255" s="284">
        <f>IFERROR(VLOOKUP($A255&amp;$B255,'Staff Ranked NHDD'!$C$8:$F$374,4,FALSE),0)</f>
        <v>0</v>
      </c>
      <c r="M255" s="279"/>
      <c r="N255" s="279"/>
      <c r="O255" s="72"/>
      <c r="P255" s="279"/>
    </row>
    <row r="256" spans="1:16" x14ac:dyDescent="0.25">
      <c r="A256" s="110">
        <f t="shared" si="12"/>
        <v>10</v>
      </c>
      <c r="B256" s="110">
        <f t="shared" si="13"/>
        <v>10</v>
      </c>
      <c r="C256" s="110">
        <f t="shared" si="14"/>
        <v>2020</v>
      </c>
      <c r="D256" s="75">
        <f t="shared" si="15"/>
        <v>44114</v>
      </c>
      <c r="E256" s="284">
        <f>IFERROR(VLOOKUP($D256,Actual_Kirk_HDD!$A$4:$F$471,6,FALSE),0)</f>
        <v>0</v>
      </c>
      <c r="F256" s="284">
        <f>IFERROR(VLOOKUP($A256&amp;$B256,'Staff Ranked NHDD'!$C$8:$F$374,2,FALSE),0)</f>
        <v>0</v>
      </c>
      <c r="H256" s="49"/>
      <c r="J256" s="74">
        <f>IFERROR(VLOOKUP($D256,Actual_CGI_HDD!$A$9:$E$532,5),0)</f>
        <v>0</v>
      </c>
      <c r="K256" s="284">
        <f>IFERROR(VLOOKUP($A256&amp;$B256,'Staff Ranked NHDD'!$C$8:$F$374,4,FALSE),0)</f>
        <v>0</v>
      </c>
      <c r="M256" s="279"/>
      <c r="N256" s="279"/>
      <c r="O256" s="72"/>
      <c r="P256" s="279"/>
    </row>
    <row r="257" spans="1:16" x14ac:dyDescent="0.25">
      <c r="A257" s="110">
        <f t="shared" si="12"/>
        <v>10</v>
      </c>
      <c r="B257" s="110">
        <f t="shared" si="13"/>
        <v>11</v>
      </c>
      <c r="C257" s="110">
        <f t="shared" si="14"/>
        <v>2020</v>
      </c>
      <c r="D257" s="75">
        <f t="shared" si="15"/>
        <v>44115</v>
      </c>
      <c r="E257" s="284">
        <f>IFERROR(VLOOKUP($D257,Actual_Kirk_HDD!$A$4:$F$471,6,FALSE),0)</f>
        <v>0</v>
      </c>
      <c r="F257" s="284">
        <f>IFERROR(VLOOKUP($A257&amp;$B257,'Staff Ranked NHDD'!$C$8:$F$374,2,FALSE),0)</f>
        <v>0</v>
      </c>
      <c r="H257" s="49"/>
      <c r="J257" s="74">
        <f>IFERROR(VLOOKUP($D257,Actual_CGI_HDD!$A$9:$E$532,5),0)</f>
        <v>0</v>
      </c>
      <c r="K257" s="284">
        <f>IFERROR(VLOOKUP($A257&amp;$B257,'Staff Ranked NHDD'!$C$8:$F$374,4,FALSE),0)</f>
        <v>0</v>
      </c>
      <c r="M257" s="279"/>
      <c r="N257" s="279"/>
      <c r="O257" s="72"/>
      <c r="P257" s="279"/>
    </row>
    <row r="258" spans="1:16" x14ac:dyDescent="0.25">
      <c r="A258" s="110">
        <f t="shared" si="12"/>
        <v>10</v>
      </c>
      <c r="B258" s="110">
        <f t="shared" si="13"/>
        <v>12</v>
      </c>
      <c r="C258" s="110">
        <f t="shared" si="14"/>
        <v>2020</v>
      </c>
      <c r="D258" s="75">
        <f t="shared" si="15"/>
        <v>44116</v>
      </c>
      <c r="E258" s="284">
        <f>IFERROR(VLOOKUP($D258,Actual_Kirk_HDD!$A$4:$F$471,6,FALSE),0)</f>
        <v>0</v>
      </c>
      <c r="F258" s="284">
        <f>IFERROR(VLOOKUP($A258&amp;$B258,'Staff Ranked NHDD'!$C$8:$F$374,2,FALSE),0)</f>
        <v>0</v>
      </c>
      <c r="H258" s="49"/>
      <c r="J258" s="74">
        <f>IFERROR(VLOOKUP($D258,Actual_CGI_HDD!$A$9:$E$532,5),0)</f>
        <v>4</v>
      </c>
      <c r="K258" s="284">
        <f>IFERROR(VLOOKUP($A258&amp;$B258,'Staff Ranked NHDD'!$C$8:$F$374,4,FALSE),0)</f>
        <v>2.5030645161290335</v>
      </c>
      <c r="M258" s="279"/>
      <c r="N258" s="279"/>
      <c r="O258" s="72"/>
      <c r="P258" s="279"/>
    </row>
    <row r="259" spans="1:16" x14ac:dyDescent="0.25">
      <c r="A259" s="110">
        <f t="shared" si="12"/>
        <v>10</v>
      </c>
      <c r="B259" s="110">
        <f t="shared" si="13"/>
        <v>13</v>
      </c>
      <c r="C259" s="110">
        <f t="shared" si="14"/>
        <v>2020</v>
      </c>
      <c r="D259" s="75">
        <f t="shared" si="15"/>
        <v>44117</v>
      </c>
      <c r="E259" s="284">
        <f>IFERROR(VLOOKUP($D259,Actual_Kirk_HDD!$A$4:$F$471,6,FALSE),0)</f>
        <v>9.4468999999999994</v>
      </c>
      <c r="F259" s="284">
        <f>IFERROR(VLOOKUP($A259&amp;$B259,'Staff Ranked NHDD'!$C$8:$F$374,2,FALSE),0)</f>
        <v>7.2248387096774218</v>
      </c>
      <c r="H259" s="49"/>
      <c r="J259" s="74">
        <f>IFERROR(VLOOKUP($D259,Actual_CGI_HDD!$A$9:$E$532,5),0)</f>
        <v>9</v>
      </c>
      <c r="K259" s="284">
        <f>IFERROR(VLOOKUP($A259&amp;$B259,'Staff Ranked NHDD'!$C$8:$F$374,4,FALSE),0)</f>
        <v>7.7068279569892484</v>
      </c>
      <c r="M259" s="279"/>
      <c r="N259" s="279"/>
      <c r="O259" s="72"/>
      <c r="P259" s="279"/>
    </row>
    <row r="260" spans="1:16" x14ac:dyDescent="0.25">
      <c r="A260" s="110">
        <f t="shared" si="12"/>
        <v>10</v>
      </c>
      <c r="B260" s="110">
        <f t="shared" si="13"/>
        <v>14</v>
      </c>
      <c r="C260" s="110">
        <f t="shared" si="14"/>
        <v>2020</v>
      </c>
      <c r="D260" s="75">
        <f t="shared" si="15"/>
        <v>44118</v>
      </c>
      <c r="E260" s="284">
        <f>IFERROR(VLOOKUP($D260,Actual_Kirk_HDD!$A$4:$F$471,6,FALSE),0)</f>
        <v>3.8898999999999999</v>
      </c>
      <c r="F260" s="284">
        <f>IFERROR(VLOOKUP($A260&amp;$B260,'Staff Ranked NHDD'!$C$8:$F$374,2,FALSE),0)</f>
        <v>3.9418817204301084</v>
      </c>
      <c r="H260" s="49"/>
      <c r="J260" s="74">
        <f>IFERROR(VLOOKUP($D260,Actual_CGI_HDD!$A$9:$E$532,5),0)</f>
        <v>4.5</v>
      </c>
      <c r="K260" s="284">
        <f>IFERROR(VLOOKUP($A260&amp;$B260,'Staff Ranked NHDD'!$C$8:$F$374,4,FALSE),0)</f>
        <v>3.4233870967741939</v>
      </c>
      <c r="M260" s="279"/>
      <c r="N260" s="279"/>
      <c r="O260" s="72"/>
      <c r="P260" s="279"/>
    </row>
    <row r="261" spans="1:16" x14ac:dyDescent="0.25">
      <c r="A261" s="110">
        <f t="shared" si="12"/>
        <v>10</v>
      </c>
      <c r="B261" s="110">
        <f t="shared" si="13"/>
        <v>15</v>
      </c>
      <c r="C261" s="110">
        <f t="shared" si="14"/>
        <v>2020</v>
      </c>
      <c r="D261" s="75">
        <f t="shared" si="15"/>
        <v>44119</v>
      </c>
      <c r="E261" s="284">
        <f>IFERROR(VLOOKUP($D261,Actual_Kirk_HDD!$A$4:$F$471,6,FALSE),0)</f>
        <v>0</v>
      </c>
      <c r="F261" s="284">
        <f>IFERROR(VLOOKUP($A261&amp;$B261,'Staff Ranked NHDD'!$C$8:$F$374,2,FALSE),0)</f>
        <v>1.7708960573476709</v>
      </c>
      <c r="H261" s="49"/>
      <c r="J261" s="74">
        <f>IFERROR(VLOOKUP($D261,Actual_CGI_HDD!$A$9:$E$532,5),0)</f>
        <v>8.5</v>
      </c>
      <c r="K261" s="284">
        <f>IFERROR(VLOOKUP($A261&amp;$B261,'Staff Ranked NHDD'!$C$8:$F$374,4,FALSE),0)</f>
        <v>6.9212365591397855</v>
      </c>
      <c r="M261" s="279"/>
      <c r="N261" s="279"/>
      <c r="O261" s="72"/>
      <c r="P261" s="279"/>
    </row>
    <row r="262" spans="1:16" x14ac:dyDescent="0.25">
      <c r="A262" s="110">
        <f t="shared" ref="A262:A325" si="16">MONTH(D262)</f>
        <v>10</v>
      </c>
      <c r="B262" s="110">
        <f t="shared" ref="B262:B325" si="17">+DAY(D262)</f>
        <v>16</v>
      </c>
      <c r="C262" s="110">
        <f t="shared" ref="C262:C325" si="18">YEAR(D262)</f>
        <v>2020</v>
      </c>
      <c r="D262" s="75">
        <f t="shared" ref="D262:D325" si="19">D261+1</f>
        <v>44120</v>
      </c>
      <c r="E262" s="284">
        <f>IFERROR(VLOOKUP($D262,Actual_Kirk_HDD!$A$4:$F$471,6,FALSE),0)</f>
        <v>22.7837</v>
      </c>
      <c r="F262" s="284">
        <f>IFERROR(VLOOKUP($A262&amp;$B262,'Staff Ranked NHDD'!$C$8:$F$374,2,FALSE),0)</f>
        <v>13.884193548387097</v>
      </c>
      <c r="H262" s="49"/>
      <c r="J262" s="74">
        <f>IFERROR(VLOOKUP($D262,Actual_CGI_HDD!$A$9:$E$532,5),0)</f>
        <v>17</v>
      </c>
      <c r="K262" s="284">
        <f>IFERROR(VLOOKUP($A262&amp;$B262,'Staff Ranked NHDD'!$C$8:$F$374,4,FALSE),0)</f>
        <v>18.00413978494624</v>
      </c>
      <c r="M262" s="279"/>
      <c r="N262" s="279"/>
      <c r="O262" s="72"/>
      <c r="P262" s="279"/>
    </row>
    <row r="263" spans="1:16" x14ac:dyDescent="0.25">
      <c r="A263" s="110">
        <f t="shared" si="16"/>
        <v>10</v>
      </c>
      <c r="B263" s="110">
        <f t="shared" si="17"/>
        <v>17</v>
      </c>
      <c r="C263" s="110">
        <f t="shared" si="18"/>
        <v>2020</v>
      </c>
      <c r="D263" s="75">
        <f t="shared" si="19"/>
        <v>44121</v>
      </c>
      <c r="E263" s="284">
        <f>IFERROR(VLOOKUP($D263,Actual_Kirk_HDD!$A$4:$F$471,6,FALSE),0)</f>
        <v>20.5609</v>
      </c>
      <c r="F263" s="284">
        <f>IFERROR(VLOOKUP($A263&amp;$B263,'Staff Ranked NHDD'!$C$8:$F$374,2,FALSE),0)</f>
        <v>12.987240143369178</v>
      </c>
      <c r="H263" s="49"/>
      <c r="J263" s="74">
        <f>IFERROR(VLOOKUP($D263,Actual_CGI_HDD!$A$9:$E$532,5),0)</f>
        <v>13</v>
      </c>
      <c r="K263" s="284">
        <f>IFERROR(VLOOKUP($A263&amp;$B263,'Staff Ranked NHDD'!$C$8:$F$374,4,FALSE),0)</f>
        <v>9.7119892473118288</v>
      </c>
      <c r="M263" s="279"/>
      <c r="N263" s="279"/>
      <c r="O263" s="72"/>
      <c r="P263" s="279"/>
    </row>
    <row r="264" spans="1:16" x14ac:dyDescent="0.25">
      <c r="A264" s="110">
        <f t="shared" si="16"/>
        <v>10</v>
      </c>
      <c r="B264" s="110">
        <f t="shared" si="17"/>
        <v>18</v>
      </c>
      <c r="C264" s="110">
        <f t="shared" si="18"/>
        <v>2020</v>
      </c>
      <c r="D264" s="75">
        <f t="shared" si="19"/>
        <v>44122</v>
      </c>
      <c r="E264" s="284">
        <f>IFERROR(VLOOKUP($D264,Actual_Kirk_HDD!$A$4:$F$471,6,FALSE),0)</f>
        <v>8.8911999999999995</v>
      </c>
      <c r="F264" s="284">
        <f>IFERROR(VLOOKUP($A264&amp;$B264,'Staff Ranked NHDD'!$C$8:$F$374,2,FALSE),0)</f>
        <v>6.0353942652329762</v>
      </c>
      <c r="H264" s="49"/>
      <c r="J264" s="74">
        <f>IFERROR(VLOOKUP($D264,Actual_CGI_HDD!$A$9:$E$532,5),0)</f>
        <v>4</v>
      </c>
      <c r="K264" s="284">
        <f>IFERROR(VLOOKUP($A264&amp;$B264,'Staff Ranked NHDD'!$C$8:$F$374,4,FALSE),0)</f>
        <v>1.5839784946236561</v>
      </c>
      <c r="M264" s="279"/>
      <c r="N264" s="279"/>
      <c r="O264" s="72"/>
      <c r="P264" s="279"/>
    </row>
    <row r="265" spans="1:16" x14ac:dyDescent="0.25">
      <c r="A265" s="110">
        <f t="shared" si="16"/>
        <v>10</v>
      </c>
      <c r="B265" s="110">
        <f t="shared" si="17"/>
        <v>19</v>
      </c>
      <c r="C265" s="110">
        <f t="shared" si="18"/>
        <v>2020</v>
      </c>
      <c r="D265" s="75">
        <f t="shared" si="19"/>
        <v>44123</v>
      </c>
      <c r="E265" s="284">
        <f>IFERROR(VLOOKUP($D265,Actual_Kirk_HDD!$A$4:$F$471,6,FALSE),0)</f>
        <v>27.785</v>
      </c>
      <c r="F265" s="284">
        <f>IFERROR(VLOOKUP($A265&amp;$B265,'Staff Ranked NHDD'!$C$8:$F$374,2,FALSE),0)</f>
        <v>18.662240143369175</v>
      </c>
      <c r="H265" s="49"/>
      <c r="J265" s="74">
        <f>IFERROR(VLOOKUP($D265,Actual_CGI_HDD!$A$9:$E$532,5),0)</f>
        <v>14.5</v>
      </c>
      <c r="K265" s="284">
        <f>IFERROR(VLOOKUP($A265&amp;$B265,'Staff Ranked NHDD'!$C$8:$F$374,4,FALSE),0)</f>
        <v>10.613333333333337</v>
      </c>
      <c r="M265" s="279"/>
      <c r="N265" s="279"/>
      <c r="O265" s="72"/>
      <c r="P265" s="279"/>
    </row>
    <row r="266" spans="1:16" x14ac:dyDescent="0.25">
      <c r="A266" s="110">
        <f t="shared" si="16"/>
        <v>10</v>
      </c>
      <c r="B266" s="110">
        <f t="shared" si="17"/>
        <v>20</v>
      </c>
      <c r="C266" s="110">
        <f t="shared" si="18"/>
        <v>2020</v>
      </c>
      <c r="D266" s="75">
        <f t="shared" si="19"/>
        <v>44124</v>
      </c>
      <c r="E266" s="284">
        <f>IFERROR(VLOOKUP($D266,Actual_Kirk_HDD!$A$4:$F$471,6,FALSE),0)</f>
        <v>27.785</v>
      </c>
      <c r="F266" s="284">
        <f>IFERROR(VLOOKUP($A266&amp;$B266,'Staff Ranked NHDD'!$C$8:$F$374,2,FALSE),0)</f>
        <v>17.582616487455198</v>
      </c>
      <c r="H266" s="49"/>
      <c r="J266" s="74">
        <f>IFERROR(VLOOKUP($D266,Actual_CGI_HDD!$A$9:$E$532,5),0)</f>
        <v>8</v>
      </c>
      <c r="K266" s="284">
        <f>IFERROR(VLOOKUP($A266&amp;$B266,'Staff Ranked NHDD'!$C$8:$F$374,4,FALSE),0)</f>
        <v>4.3270430107526883</v>
      </c>
      <c r="M266" s="279"/>
      <c r="N266" s="279"/>
      <c r="O266" s="72"/>
      <c r="P266" s="279"/>
    </row>
    <row r="267" spans="1:16" x14ac:dyDescent="0.25">
      <c r="A267" s="110">
        <f t="shared" si="16"/>
        <v>10</v>
      </c>
      <c r="B267" s="110">
        <f t="shared" si="17"/>
        <v>21</v>
      </c>
      <c r="C267" s="110">
        <f t="shared" si="18"/>
        <v>2020</v>
      </c>
      <c r="D267" s="75">
        <f t="shared" si="19"/>
        <v>44125</v>
      </c>
      <c r="E267" s="284">
        <f>IFERROR(VLOOKUP($D267,Actual_Kirk_HDD!$A$4:$F$471,6,FALSE),0)</f>
        <v>26.6736</v>
      </c>
      <c r="F267" s="284">
        <f>IFERROR(VLOOKUP($A267&amp;$B267,'Staff Ranked NHDD'!$C$8:$F$374,2,FALSE),0)</f>
        <v>16.682347670250898</v>
      </c>
      <c r="H267" s="49"/>
      <c r="J267" s="74">
        <f>IFERROR(VLOOKUP($D267,Actual_CGI_HDD!$A$9:$E$532,5),0)</f>
        <v>0</v>
      </c>
      <c r="K267" s="284">
        <f>IFERROR(VLOOKUP($A267&amp;$B267,'Staff Ranked NHDD'!$C$8:$F$374,4,FALSE),0)</f>
        <v>0</v>
      </c>
      <c r="M267" s="279"/>
      <c r="N267" s="279"/>
      <c r="O267" s="72"/>
      <c r="P267" s="279"/>
    </row>
    <row r="268" spans="1:16" x14ac:dyDescent="0.25">
      <c r="A268" s="110">
        <f t="shared" si="16"/>
        <v>10</v>
      </c>
      <c r="B268" s="110">
        <f t="shared" si="17"/>
        <v>22</v>
      </c>
      <c r="C268" s="110">
        <f t="shared" si="18"/>
        <v>2020</v>
      </c>
      <c r="D268" s="75">
        <f t="shared" si="19"/>
        <v>44126</v>
      </c>
      <c r="E268" s="284">
        <f>IFERROR(VLOOKUP($D268,Actual_Kirk_HDD!$A$4:$F$471,6,FALSE),0)</f>
        <v>23.895099999999999</v>
      </c>
      <c r="F268" s="284">
        <f>IFERROR(VLOOKUP($A268&amp;$B268,'Staff Ranked NHDD'!$C$8:$F$374,2,FALSE),0)</f>
        <v>14.861003584229392</v>
      </c>
      <c r="H268" s="49"/>
      <c r="J268" s="74">
        <f>IFERROR(VLOOKUP($D268,Actual_CGI_HDD!$A$9:$E$532,5),0)</f>
        <v>0</v>
      </c>
      <c r="K268" s="284">
        <f>IFERROR(VLOOKUP($A268&amp;$B268,'Staff Ranked NHDD'!$C$8:$F$374,4,FALSE),0)</f>
        <v>0</v>
      </c>
      <c r="M268" s="279"/>
      <c r="N268" s="279"/>
      <c r="O268" s="72"/>
      <c r="P268" s="279"/>
    </row>
    <row r="269" spans="1:16" x14ac:dyDescent="0.25">
      <c r="A269" s="110">
        <f t="shared" si="16"/>
        <v>10</v>
      </c>
      <c r="B269" s="110">
        <f t="shared" si="17"/>
        <v>23</v>
      </c>
      <c r="C269" s="110">
        <f t="shared" si="18"/>
        <v>2020</v>
      </c>
      <c r="D269" s="75">
        <f t="shared" si="19"/>
        <v>44127</v>
      </c>
      <c r="E269" s="284">
        <f>IFERROR(VLOOKUP($D269,Actual_Kirk_HDD!$A$4:$F$471,6,FALSE),0)</f>
        <v>5.5569999999999995</v>
      </c>
      <c r="F269" s="284">
        <f>IFERROR(VLOOKUP($A269&amp;$B269,'Staff Ranked NHDD'!$C$8:$F$374,2,FALSE),0)</f>
        <v>5.0546057347670255</v>
      </c>
      <c r="H269" s="49"/>
      <c r="J269" s="74">
        <f>IFERROR(VLOOKUP($D269,Actual_CGI_HDD!$A$9:$E$532,5),0)</f>
        <v>1</v>
      </c>
      <c r="K269" s="284">
        <f>IFERROR(VLOOKUP($A269&amp;$B269,'Staff Ranked NHDD'!$C$8:$F$374,4,FALSE),0)</f>
        <v>0.67763440860215218</v>
      </c>
      <c r="M269" s="279"/>
      <c r="N269" s="279"/>
      <c r="O269" s="72"/>
      <c r="P269" s="279"/>
    </row>
    <row r="270" spans="1:16" x14ac:dyDescent="0.25">
      <c r="A270" s="110">
        <f t="shared" si="16"/>
        <v>10</v>
      </c>
      <c r="B270" s="110">
        <f t="shared" si="17"/>
        <v>24</v>
      </c>
      <c r="C270" s="110">
        <f t="shared" si="18"/>
        <v>2020</v>
      </c>
      <c r="D270" s="75">
        <f t="shared" si="19"/>
        <v>44128</v>
      </c>
      <c r="E270" s="284">
        <f>IFERROR(VLOOKUP($D270,Actual_Kirk_HDD!$A$4:$F$471,6,FALSE),0)</f>
        <v>28.8964</v>
      </c>
      <c r="F270" s="284">
        <f>IFERROR(VLOOKUP($A270&amp;$B270,'Staff Ranked NHDD'!$C$8:$F$374,2,FALSE),0)</f>
        <v>19.630035842293911</v>
      </c>
      <c r="H270" s="49"/>
      <c r="J270" s="74">
        <f>IFERROR(VLOOKUP($D270,Actual_CGI_HDD!$A$9:$E$532,5),0)</f>
        <v>17.5</v>
      </c>
      <c r="K270" s="284">
        <f>IFERROR(VLOOKUP($A270&amp;$B270,'Staff Ranked NHDD'!$C$8:$F$374,4,FALSE),0)</f>
        <v>19.342903225806456</v>
      </c>
      <c r="M270" s="279"/>
      <c r="N270" s="279"/>
      <c r="O270" s="72"/>
      <c r="P270" s="279"/>
    </row>
    <row r="271" spans="1:16" x14ac:dyDescent="0.25">
      <c r="A271" s="110">
        <f t="shared" si="16"/>
        <v>10</v>
      </c>
      <c r="B271" s="110">
        <f t="shared" si="17"/>
        <v>25</v>
      </c>
      <c r="C271" s="110">
        <f t="shared" si="18"/>
        <v>2020</v>
      </c>
      <c r="D271" s="75">
        <f t="shared" si="19"/>
        <v>44129</v>
      </c>
      <c r="E271" s="284">
        <f>IFERROR(VLOOKUP($D271,Actual_Kirk_HDD!$A$4:$F$471,6,FALSE),0)</f>
        <v>30.563499999999998</v>
      </c>
      <c r="F271" s="284">
        <f>IFERROR(VLOOKUP($A271&amp;$B271,'Staff Ranked NHDD'!$C$8:$F$374,2,FALSE),0)</f>
        <v>21.906021505376348</v>
      </c>
      <c r="H271" s="49"/>
      <c r="J271" s="74">
        <f>IFERROR(VLOOKUP($D271,Actual_CGI_HDD!$A$9:$E$532,5),0)</f>
        <v>12.5</v>
      </c>
      <c r="K271" s="284">
        <f>IFERROR(VLOOKUP($A271&amp;$B271,'Staff Ranked NHDD'!$C$8:$F$374,4,FALSE),0)</f>
        <v>8.2881182795698951</v>
      </c>
      <c r="M271" s="279"/>
      <c r="N271" s="279"/>
      <c r="O271" s="72"/>
      <c r="P271" s="279"/>
    </row>
    <row r="272" spans="1:16" x14ac:dyDescent="0.25">
      <c r="A272" s="110">
        <f t="shared" si="16"/>
        <v>10</v>
      </c>
      <c r="B272" s="110">
        <f t="shared" si="17"/>
        <v>26</v>
      </c>
      <c r="C272" s="110">
        <f t="shared" si="18"/>
        <v>2020</v>
      </c>
      <c r="D272" s="75">
        <f t="shared" si="19"/>
        <v>44130</v>
      </c>
      <c r="E272" s="284">
        <f>IFERROR(VLOOKUP($D272,Actual_Kirk_HDD!$A$4:$F$471,6,FALSE),0)</f>
        <v>35.009099999999997</v>
      </c>
      <c r="F272" s="284">
        <f>IFERROR(VLOOKUP($A272&amp;$B272,'Staff Ranked NHDD'!$C$8:$F$374,2,FALSE),0)</f>
        <v>24.451899641577064</v>
      </c>
      <c r="H272" s="49"/>
      <c r="J272" s="74">
        <f>IFERROR(VLOOKUP($D272,Actual_CGI_HDD!$A$9:$E$532,5),0)</f>
        <v>17</v>
      </c>
      <c r="K272" s="284">
        <f>IFERROR(VLOOKUP($A272&amp;$B272,'Staff Ranked NHDD'!$C$8:$F$374,4,FALSE),0)</f>
        <v>16.957419354838709</v>
      </c>
      <c r="M272" s="279"/>
      <c r="N272" s="279"/>
      <c r="O272" s="72"/>
      <c r="P272" s="279"/>
    </row>
    <row r="273" spans="1:16" x14ac:dyDescent="0.25">
      <c r="A273" s="110">
        <f t="shared" si="16"/>
        <v>10</v>
      </c>
      <c r="B273" s="110">
        <f t="shared" si="17"/>
        <v>27</v>
      </c>
      <c r="C273" s="110">
        <f t="shared" si="18"/>
        <v>2020</v>
      </c>
      <c r="D273" s="75">
        <f t="shared" si="19"/>
        <v>44131</v>
      </c>
      <c r="E273" s="284">
        <f>IFERROR(VLOOKUP($D273,Actual_Kirk_HDD!$A$4:$F$471,6,FALSE),0)</f>
        <v>40.010399999999997</v>
      </c>
      <c r="F273" s="284">
        <f>IFERROR(VLOOKUP($A273&amp;$B273,'Staff Ranked NHDD'!$C$8:$F$374,2,FALSE),0)</f>
        <v>30.566308243727597</v>
      </c>
      <c r="H273" s="49"/>
      <c r="J273" s="74">
        <f>IFERROR(VLOOKUP($D273,Actual_CGI_HDD!$A$9:$E$532,5),0)</f>
        <v>21</v>
      </c>
      <c r="K273" s="284">
        <f>IFERROR(VLOOKUP($A273&amp;$B273,'Staff Ranked NHDD'!$C$8:$F$374,4,FALSE),0)</f>
        <v>24.472096774193549</v>
      </c>
      <c r="M273" s="279"/>
      <c r="N273" s="279"/>
      <c r="O273" s="72"/>
      <c r="P273" s="279"/>
    </row>
    <row r="274" spans="1:16" x14ac:dyDescent="0.25">
      <c r="A274" s="110">
        <f t="shared" si="16"/>
        <v>10</v>
      </c>
      <c r="B274" s="110">
        <f t="shared" si="17"/>
        <v>28</v>
      </c>
      <c r="C274" s="110">
        <f t="shared" si="18"/>
        <v>2020</v>
      </c>
      <c r="D274" s="75">
        <f t="shared" si="19"/>
        <v>44132</v>
      </c>
      <c r="E274" s="284">
        <f>IFERROR(VLOOKUP($D274,Actual_Kirk_HDD!$A$4:$F$471,6,FALSE),0)</f>
        <v>36.676200000000001</v>
      </c>
      <c r="F274" s="284">
        <f>IFERROR(VLOOKUP($A274&amp;$B274,'Staff Ranked NHDD'!$C$8:$F$374,2,FALSE),0)</f>
        <v>26.103745519713264</v>
      </c>
      <c r="H274" s="49"/>
      <c r="J274" s="74">
        <f>IFERROR(VLOOKUP($D274,Actual_CGI_HDD!$A$9:$E$532,5),0)</f>
        <v>15.5</v>
      </c>
      <c r="K274" s="284">
        <f>IFERROR(VLOOKUP($A274&amp;$B274,'Staff Ranked NHDD'!$C$8:$F$374,4,FALSE),0)</f>
        <v>14.038620071684587</v>
      </c>
      <c r="M274" s="279"/>
      <c r="N274" s="279"/>
      <c r="O274" s="72"/>
      <c r="P274" s="279"/>
    </row>
    <row r="275" spans="1:16" x14ac:dyDescent="0.25">
      <c r="A275" s="110">
        <f t="shared" si="16"/>
        <v>10</v>
      </c>
      <c r="B275" s="110">
        <f t="shared" si="17"/>
        <v>29</v>
      </c>
      <c r="C275" s="110">
        <f t="shared" si="18"/>
        <v>2020</v>
      </c>
      <c r="D275" s="75">
        <f t="shared" si="19"/>
        <v>44133</v>
      </c>
      <c r="E275" s="284">
        <f>IFERROR(VLOOKUP($D275,Actual_Kirk_HDD!$A$4:$F$471,6,FALSE),0)</f>
        <v>31.119199999999999</v>
      </c>
      <c r="F275" s="284">
        <f>IFERROR(VLOOKUP($A275&amp;$B275,'Staff Ranked NHDD'!$C$8:$F$374,2,FALSE),0)</f>
        <v>23.15010752688173</v>
      </c>
      <c r="H275" s="49"/>
      <c r="J275" s="74">
        <f>IFERROR(VLOOKUP($D275,Actual_CGI_HDD!$A$9:$E$532,5),0)</f>
        <v>17</v>
      </c>
      <c r="K275" s="284">
        <f>IFERROR(VLOOKUP($A275&amp;$B275,'Staff Ranked NHDD'!$C$8:$F$374,4,FALSE),0)</f>
        <v>16.041182795698926</v>
      </c>
      <c r="M275" s="279"/>
      <c r="N275" s="279"/>
      <c r="O275" s="72"/>
      <c r="P275" s="279"/>
    </row>
    <row r="276" spans="1:16" x14ac:dyDescent="0.25">
      <c r="A276" s="110">
        <f t="shared" si="16"/>
        <v>10</v>
      </c>
      <c r="B276" s="110">
        <f t="shared" si="17"/>
        <v>30</v>
      </c>
      <c r="C276" s="110">
        <f t="shared" si="18"/>
        <v>2020</v>
      </c>
      <c r="D276" s="75">
        <f t="shared" si="19"/>
        <v>44134</v>
      </c>
      <c r="E276" s="284">
        <f>IFERROR(VLOOKUP($D276,Actual_Kirk_HDD!$A$4:$F$471,6,FALSE),0)</f>
        <v>30.0078</v>
      </c>
      <c r="F276" s="284">
        <f>IFERROR(VLOOKUP($A276&amp;$B276,'Staff Ranked NHDD'!$C$8:$F$374,2,FALSE),0)</f>
        <v>20.623530465949823</v>
      </c>
      <c r="H276" s="49"/>
      <c r="J276" s="74">
        <f>IFERROR(VLOOKUP($D276,Actual_CGI_HDD!$A$9:$E$532,5),0)</f>
        <v>19.5</v>
      </c>
      <c r="K276" s="284">
        <f>IFERROR(VLOOKUP($A276&amp;$B276,'Staff Ranked NHDD'!$C$8:$F$374,4,FALSE),0)</f>
        <v>20.572921146953398</v>
      </c>
      <c r="M276" s="279"/>
      <c r="N276" s="279"/>
      <c r="O276" s="72"/>
      <c r="P276" s="279"/>
    </row>
    <row r="277" spans="1:16" x14ac:dyDescent="0.25">
      <c r="A277" s="110">
        <f t="shared" si="16"/>
        <v>10</v>
      </c>
      <c r="B277" s="110">
        <f t="shared" si="17"/>
        <v>31</v>
      </c>
      <c r="C277" s="110">
        <f t="shared" si="18"/>
        <v>2020</v>
      </c>
      <c r="D277" s="75">
        <f t="shared" si="19"/>
        <v>44135</v>
      </c>
      <c r="E277" s="284">
        <f>IFERROR(VLOOKUP($D277,Actual_Kirk_HDD!$A$4:$F$471,6,FALSE),0)</f>
        <v>26.117899999999999</v>
      </c>
      <c r="F277" s="284">
        <f>IFERROR(VLOOKUP($A277&amp;$B277,'Staff Ranked NHDD'!$C$8:$F$374,2,FALSE),0)</f>
        <v>15.821451612903227</v>
      </c>
      <c r="H277" s="49"/>
      <c r="J277" s="74">
        <f>IFERROR(VLOOKUP($D277,Actual_CGI_HDD!$A$9:$E$532,5),0)</f>
        <v>15.5</v>
      </c>
      <c r="K277" s="284">
        <f>IFERROR(VLOOKUP($A277&amp;$B277,'Staff Ranked NHDD'!$C$8:$F$374,4,FALSE),0)</f>
        <v>13.030483870967741</v>
      </c>
      <c r="M277" s="279"/>
      <c r="N277" s="279"/>
      <c r="O277" s="72"/>
      <c r="P277" s="279"/>
    </row>
    <row r="278" spans="1:16" x14ac:dyDescent="0.25">
      <c r="A278" s="110">
        <f t="shared" si="16"/>
        <v>11</v>
      </c>
      <c r="B278" s="110">
        <f t="shared" si="17"/>
        <v>1</v>
      </c>
      <c r="C278" s="110">
        <f t="shared" si="18"/>
        <v>2020</v>
      </c>
      <c r="D278" s="75">
        <f t="shared" si="19"/>
        <v>44136</v>
      </c>
      <c r="E278" s="284">
        <f>IFERROR(VLOOKUP($D278,Actual_Kirk_HDD!$A$4:$F$471,6,FALSE),0)</f>
        <v>14.075099999999999</v>
      </c>
      <c r="F278" s="284">
        <f>IFERROR(VLOOKUP($A278&amp;$B278,'Staff Ranked NHDD'!$C$8:$F$374,2,FALSE),0)</f>
        <v>46.415931899641571</v>
      </c>
      <c r="H278" s="49"/>
      <c r="J278" s="74">
        <f>IFERROR(VLOOKUP($D278,Actual_CGI_HDD!$A$9:$E$532,5),0)</f>
        <v>22</v>
      </c>
      <c r="K278" s="284">
        <f>IFERROR(VLOOKUP($A278&amp;$B278,'Staff Ranked NHDD'!$C$8:$F$374,4,FALSE),0)</f>
        <v>55.906344086021498</v>
      </c>
      <c r="M278" s="279"/>
      <c r="N278" s="279"/>
      <c r="O278" s="72"/>
      <c r="P278" s="279"/>
    </row>
    <row r="279" spans="1:16" x14ac:dyDescent="0.25">
      <c r="A279" s="110">
        <f t="shared" si="16"/>
        <v>11</v>
      </c>
      <c r="B279" s="110">
        <f t="shared" si="17"/>
        <v>2</v>
      </c>
      <c r="C279" s="110">
        <f t="shared" si="18"/>
        <v>2020</v>
      </c>
      <c r="D279" s="75">
        <f t="shared" si="19"/>
        <v>44137</v>
      </c>
      <c r="E279" s="284">
        <f>IFERROR(VLOOKUP($D279,Actual_Kirk_HDD!$A$4:$F$471,6,FALSE),0)</f>
        <v>30.235399999999998</v>
      </c>
      <c r="F279" s="284">
        <f>IFERROR(VLOOKUP($A279&amp;$B279,'Staff Ranked NHDD'!$C$8:$F$374,2,FALSE),0)</f>
        <v>32.111827956989238</v>
      </c>
      <c r="H279" s="49"/>
      <c r="J279" s="74">
        <f>IFERROR(VLOOKUP($D279,Actual_CGI_HDD!$A$9:$E$532,5),0)</f>
        <v>25.5</v>
      </c>
      <c r="K279" s="284">
        <f>IFERROR(VLOOKUP($A279&amp;$B279,'Staff Ranked NHDD'!$C$8:$F$374,4,FALSE),0)</f>
        <v>43.95225806451613</v>
      </c>
      <c r="M279" s="279"/>
      <c r="N279" s="279"/>
      <c r="O279" s="72"/>
      <c r="P279" s="279"/>
    </row>
    <row r="280" spans="1:16" x14ac:dyDescent="0.25">
      <c r="A280" s="110">
        <f t="shared" si="16"/>
        <v>11</v>
      </c>
      <c r="B280" s="110">
        <f t="shared" si="17"/>
        <v>3</v>
      </c>
      <c r="C280" s="110">
        <f t="shared" si="18"/>
        <v>2020</v>
      </c>
      <c r="D280" s="75">
        <f t="shared" si="19"/>
        <v>44138</v>
      </c>
      <c r="E280" s="284">
        <f>IFERROR(VLOOKUP($D280,Actual_Kirk_HDD!$A$4:$F$471,6,FALSE),0)</f>
        <v>19.2881</v>
      </c>
      <c r="F280" s="284">
        <f>IFERROR(VLOOKUP($A280&amp;$B280,'Staff Ranked NHDD'!$C$8:$F$374,2,FALSE),0)</f>
        <v>21.201881720430098</v>
      </c>
      <c r="H280" s="49"/>
      <c r="J280" s="74">
        <f>IFERROR(VLOOKUP($D280,Actual_CGI_HDD!$A$9:$E$532,5),0)</f>
        <v>14</v>
      </c>
      <c r="K280" s="284">
        <f>IFERROR(VLOOKUP($A280&amp;$B280,'Staff Ranked NHDD'!$C$8:$F$374,4,FALSE),0)</f>
        <v>33.682956989247309</v>
      </c>
      <c r="M280" s="279"/>
      <c r="N280" s="279"/>
      <c r="O280" s="72"/>
      <c r="P280" s="279"/>
    </row>
    <row r="281" spans="1:16" x14ac:dyDescent="0.25">
      <c r="A281" s="110">
        <f t="shared" si="16"/>
        <v>11</v>
      </c>
      <c r="B281" s="110">
        <f t="shared" si="17"/>
        <v>4</v>
      </c>
      <c r="C281" s="110">
        <f t="shared" si="18"/>
        <v>2020</v>
      </c>
      <c r="D281" s="75">
        <f t="shared" si="19"/>
        <v>44139</v>
      </c>
      <c r="E281" s="284">
        <f>IFERROR(VLOOKUP($D281,Actual_Kirk_HDD!$A$4:$F$471,6,FALSE),0)</f>
        <v>10.426</v>
      </c>
      <c r="F281" s="284">
        <f>IFERROR(VLOOKUP($A281&amp;$B281,'Staff Ranked NHDD'!$C$8:$F$374,2,FALSE),0)</f>
        <v>15.503064516129026</v>
      </c>
      <c r="H281" s="49"/>
      <c r="J281" s="74">
        <f>IFERROR(VLOOKUP($D281,Actual_CGI_HDD!$A$9:$E$532,5),0)</f>
        <v>8</v>
      </c>
      <c r="K281" s="284">
        <f>IFERROR(VLOOKUP($A281&amp;$B281,'Staff Ranked NHDD'!$C$8:$F$374,4,FALSE),0)</f>
        <v>16.200913978494626</v>
      </c>
      <c r="M281" s="279"/>
      <c r="N281" s="279"/>
      <c r="O281" s="72"/>
      <c r="P281" s="279"/>
    </row>
    <row r="282" spans="1:16" x14ac:dyDescent="0.25">
      <c r="A282" s="110">
        <f t="shared" si="16"/>
        <v>11</v>
      </c>
      <c r="B282" s="110">
        <f t="shared" si="17"/>
        <v>5</v>
      </c>
      <c r="C282" s="110">
        <f t="shared" si="18"/>
        <v>2020</v>
      </c>
      <c r="D282" s="75">
        <f t="shared" si="19"/>
        <v>44140</v>
      </c>
      <c r="E282" s="284">
        <f>IFERROR(VLOOKUP($D282,Actual_Kirk_HDD!$A$4:$F$471,6,FALSE),0)</f>
        <v>7.2981999999999996</v>
      </c>
      <c r="F282" s="284">
        <f>IFERROR(VLOOKUP($A282&amp;$B282,'Staff Ranked NHDD'!$C$8:$F$374,2,FALSE),0)</f>
        <v>29.395394265232973</v>
      </c>
      <c r="H282" s="49"/>
      <c r="J282" s="74">
        <f>IFERROR(VLOOKUP($D282,Actual_CGI_HDD!$A$9:$E$532,5),0)</f>
        <v>7.5</v>
      </c>
      <c r="K282" s="284">
        <f>IFERROR(VLOOKUP($A282&amp;$B282,'Staff Ranked NHDD'!$C$8:$F$374,4,FALSE),0)</f>
        <v>30.823225806451614</v>
      </c>
      <c r="M282" s="279"/>
      <c r="N282" s="279"/>
      <c r="O282" s="72"/>
      <c r="P282" s="279"/>
    </row>
    <row r="283" spans="1:16" x14ac:dyDescent="0.25">
      <c r="A283" s="110">
        <f t="shared" si="16"/>
        <v>11</v>
      </c>
      <c r="B283" s="110">
        <f t="shared" si="17"/>
        <v>6</v>
      </c>
      <c r="C283" s="110">
        <f t="shared" si="18"/>
        <v>2020</v>
      </c>
      <c r="D283" s="75">
        <f t="shared" si="19"/>
        <v>44141</v>
      </c>
      <c r="E283" s="284">
        <f>IFERROR(VLOOKUP($D283,Actual_Kirk_HDD!$A$4:$F$471,6,FALSE),0)</f>
        <v>6.7768999999999995</v>
      </c>
      <c r="F283" s="284">
        <f>IFERROR(VLOOKUP($A283&amp;$B283,'Staff Ranked NHDD'!$C$8:$F$374,2,FALSE),0)</f>
        <v>32.992311827956982</v>
      </c>
      <c r="H283" s="49"/>
      <c r="J283" s="74">
        <f>IFERROR(VLOOKUP($D283,Actual_CGI_HDD!$A$9:$E$532,5),0)</f>
        <v>9.5</v>
      </c>
      <c r="K283" s="284">
        <f>IFERROR(VLOOKUP($A283&amp;$B283,'Staff Ranked NHDD'!$C$8:$F$374,4,FALSE),0)</f>
        <v>30.130483870967748</v>
      </c>
      <c r="M283" s="279"/>
      <c r="N283" s="279"/>
      <c r="O283" s="72"/>
      <c r="P283" s="279"/>
    </row>
    <row r="284" spans="1:16" x14ac:dyDescent="0.25">
      <c r="A284" s="110">
        <f t="shared" si="16"/>
        <v>11</v>
      </c>
      <c r="B284" s="110">
        <f t="shared" si="17"/>
        <v>7</v>
      </c>
      <c r="C284" s="110">
        <f t="shared" si="18"/>
        <v>2020</v>
      </c>
      <c r="D284" s="75">
        <f t="shared" si="19"/>
        <v>44142</v>
      </c>
      <c r="E284" s="284">
        <f>IFERROR(VLOOKUP($D284,Actual_Kirk_HDD!$A$4:$F$471,6,FALSE),0)</f>
        <v>6.2555999999999994</v>
      </c>
      <c r="F284" s="284">
        <f>IFERROR(VLOOKUP($A284&amp;$B284,'Staff Ranked NHDD'!$C$8:$F$374,2,FALSE),0)</f>
        <v>42.183512544802859</v>
      </c>
      <c r="H284" s="49"/>
      <c r="J284" s="74">
        <f>IFERROR(VLOOKUP($D284,Actual_CGI_HDD!$A$9:$E$532,5),0)</f>
        <v>6.5</v>
      </c>
      <c r="K284" s="284">
        <f>IFERROR(VLOOKUP($A284&amp;$B284,'Staff Ranked NHDD'!$C$8:$F$374,4,FALSE),0)</f>
        <v>26.843870967741932</v>
      </c>
      <c r="M284" s="279"/>
      <c r="N284" s="279"/>
      <c r="O284" s="72"/>
      <c r="P284" s="279"/>
    </row>
    <row r="285" spans="1:16" x14ac:dyDescent="0.25">
      <c r="A285" s="110">
        <f t="shared" si="16"/>
        <v>11</v>
      </c>
      <c r="B285" s="110">
        <f t="shared" si="17"/>
        <v>8</v>
      </c>
      <c r="C285" s="110">
        <f t="shared" si="18"/>
        <v>2020</v>
      </c>
      <c r="D285" s="75">
        <f t="shared" si="19"/>
        <v>44143</v>
      </c>
      <c r="E285" s="284">
        <f>IFERROR(VLOOKUP($D285,Actual_Kirk_HDD!$A$4:$F$471,6,FALSE),0)</f>
        <v>4.6917</v>
      </c>
      <c r="F285" s="284">
        <f>IFERROR(VLOOKUP($A285&amp;$B285,'Staff Ranked NHDD'!$C$8:$F$374,2,FALSE),0)</f>
        <v>38.514211469534047</v>
      </c>
      <c r="H285" s="49"/>
      <c r="J285" s="74">
        <f>IFERROR(VLOOKUP($D285,Actual_CGI_HDD!$A$9:$E$532,5),0)</f>
        <v>0</v>
      </c>
      <c r="K285" s="284">
        <f>IFERROR(VLOOKUP($A285&amp;$B285,'Staff Ranked NHDD'!$C$8:$F$374,4,FALSE),0)</f>
        <v>29.225000000000005</v>
      </c>
      <c r="M285" s="279"/>
      <c r="N285" s="279"/>
      <c r="O285" s="72"/>
      <c r="P285" s="279"/>
    </row>
    <row r="286" spans="1:16" x14ac:dyDescent="0.25">
      <c r="A286" s="110">
        <f t="shared" si="16"/>
        <v>11</v>
      </c>
      <c r="B286" s="110">
        <f t="shared" si="17"/>
        <v>9</v>
      </c>
      <c r="C286" s="110">
        <f t="shared" si="18"/>
        <v>2020</v>
      </c>
      <c r="D286" s="75">
        <f t="shared" si="19"/>
        <v>44144</v>
      </c>
      <c r="E286" s="284">
        <f>IFERROR(VLOOKUP($D286,Actual_Kirk_HDD!$A$4:$F$471,6,FALSE),0)</f>
        <v>0</v>
      </c>
      <c r="F286" s="284">
        <f>IFERROR(VLOOKUP($A286&amp;$B286,'Staff Ranked NHDD'!$C$8:$F$374,2,FALSE),0)</f>
        <v>40.864462365591393</v>
      </c>
      <c r="H286" s="49"/>
      <c r="J286" s="74">
        <f>IFERROR(VLOOKUP($D286,Actual_CGI_HDD!$A$9:$E$532,5),0)</f>
        <v>0</v>
      </c>
      <c r="K286" s="284">
        <f>IFERROR(VLOOKUP($A286&amp;$B286,'Staff Ranked NHDD'!$C$8:$F$374,4,FALSE),0)</f>
        <v>25.056505376344091</v>
      </c>
      <c r="M286" s="279"/>
      <c r="N286" s="279"/>
      <c r="O286" s="72"/>
      <c r="P286" s="279"/>
    </row>
    <row r="287" spans="1:16" x14ac:dyDescent="0.25">
      <c r="A287" s="110">
        <f t="shared" si="16"/>
        <v>11</v>
      </c>
      <c r="B287" s="110">
        <f t="shared" si="17"/>
        <v>10</v>
      </c>
      <c r="C287" s="110">
        <f t="shared" si="18"/>
        <v>2020</v>
      </c>
      <c r="D287" s="75">
        <f t="shared" si="19"/>
        <v>44145</v>
      </c>
      <c r="E287" s="284">
        <f>IFERROR(VLOOKUP($D287,Actual_Kirk_HDD!$A$4:$F$471,6,FALSE),0)</f>
        <v>5.2130000000000001</v>
      </c>
      <c r="F287" s="284">
        <f>IFERROR(VLOOKUP($A287&amp;$B287,'Staff Ranked NHDD'!$C$8:$F$374,2,FALSE),0)</f>
        <v>7.9072222222222202</v>
      </c>
      <c r="H287" s="49"/>
      <c r="J287" s="74">
        <f>IFERROR(VLOOKUP($D287,Actual_CGI_HDD!$A$9:$E$532,5),0)</f>
        <v>0</v>
      </c>
      <c r="K287" s="284">
        <f>IFERROR(VLOOKUP($A287&amp;$B287,'Staff Ranked NHDD'!$C$8:$F$374,4,FALSE),0)</f>
        <v>4.1988888888888871</v>
      </c>
      <c r="M287" s="279"/>
      <c r="N287" s="279"/>
      <c r="O287" s="72"/>
      <c r="P287" s="279"/>
    </row>
    <row r="288" spans="1:16" x14ac:dyDescent="0.25">
      <c r="A288" s="110">
        <f t="shared" si="16"/>
        <v>11</v>
      </c>
      <c r="B288" s="110">
        <f t="shared" si="17"/>
        <v>11</v>
      </c>
      <c r="C288" s="110">
        <f t="shared" si="18"/>
        <v>2020</v>
      </c>
      <c r="D288" s="75">
        <f t="shared" si="19"/>
        <v>44146</v>
      </c>
      <c r="E288" s="284">
        <f>IFERROR(VLOOKUP($D288,Actual_Kirk_HDD!$A$4:$F$471,6,FALSE),0)</f>
        <v>27.628899999999998</v>
      </c>
      <c r="F288" s="284">
        <f>IFERROR(VLOOKUP($A288&amp;$B288,'Staff Ranked NHDD'!$C$8:$F$374,2,FALSE),0)</f>
        <v>33.244814814814809</v>
      </c>
      <c r="H288" s="49"/>
      <c r="J288" s="74">
        <f>IFERROR(VLOOKUP($D288,Actual_CGI_HDD!$A$9:$E$532,5),0)</f>
        <v>18</v>
      </c>
      <c r="K288" s="284">
        <f>IFERROR(VLOOKUP($A288&amp;$B288,'Staff Ranked NHDD'!$C$8:$F$374,4,FALSE),0)</f>
        <v>19.793333333333333</v>
      </c>
      <c r="M288" s="279"/>
      <c r="N288" s="279"/>
      <c r="O288" s="72"/>
      <c r="P288" s="279"/>
    </row>
    <row r="289" spans="1:16" x14ac:dyDescent="0.25">
      <c r="A289" s="110">
        <f t="shared" si="16"/>
        <v>11</v>
      </c>
      <c r="B289" s="110">
        <f t="shared" si="17"/>
        <v>12</v>
      </c>
      <c r="C289" s="110">
        <f t="shared" si="18"/>
        <v>2020</v>
      </c>
      <c r="D289" s="75">
        <f t="shared" si="19"/>
        <v>44147</v>
      </c>
      <c r="E289" s="284">
        <f>IFERROR(VLOOKUP($D289,Actual_Kirk_HDD!$A$4:$F$471,6,FALSE),0)</f>
        <v>23.979800000000001</v>
      </c>
      <c r="F289" s="284">
        <f>IFERROR(VLOOKUP($A289&amp;$B289,'Staff Ranked NHDD'!$C$8:$F$374,2,FALSE),0)</f>
        <v>25.420370370370367</v>
      </c>
      <c r="H289" s="49"/>
      <c r="J289" s="74">
        <f>IFERROR(VLOOKUP($D289,Actual_CGI_HDD!$A$9:$E$532,5),0)</f>
        <v>17.5</v>
      </c>
      <c r="K289" s="284">
        <f>IFERROR(VLOOKUP($A289&amp;$B289,'Staff Ranked NHDD'!$C$8:$F$374,4,FALSE),0)</f>
        <v>18.811111111111114</v>
      </c>
      <c r="M289" s="279"/>
      <c r="N289" s="279"/>
      <c r="O289" s="72"/>
      <c r="P289" s="279"/>
    </row>
    <row r="290" spans="1:16" x14ac:dyDescent="0.25">
      <c r="A290" s="110">
        <f t="shared" si="16"/>
        <v>11</v>
      </c>
      <c r="B290" s="110">
        <f t="shared" si="17"/>
        <v>13</v>
      </c>
      <c r="C290" s="110">
        <f t="shared" si="18"/>
        <v>2020</v>
      </c>
      <c r="D290" s="75">
        <f t="shared" si="19"/>
        <v>44148</v>
      </c>
      <c r="E290" s="284">
        <f>IFERROR(VLOOKUP($D290,Actual_Kirk_HDD!$A$4:$F$471,6,FALSE),0)</f>
        <v>26.064999999999998</v>
      </c>
      <c r="F290" s="284">
        <f>IFERROR(VLOOKUP($A290&amp;$B290,'Staff Ranked NHDD'!$C$8:$F$374,2,FALSE),0)</f>
        <v>30.960740740740736</v>
      </c>
      <c r="H290" s="49"/>
      <c r="J290" s="74">
        <f>IFERROR(VLOOKUP($D290,Actual_CGI_HDD!$A$9:$E$532,5),0)</f>
        <v>19</v>
      </c>
      <c r="K290" s="284">
        <f>IFERROR(VLOOKUP($A290&amp;$B290,'Staff Ranked NHDD'!$C$8:$F$374,4,FALSE),0)</f>
        <v>21.687222222222221</v>
      </c>
      <c r="M290" s="279"/>
      <c r="N290" s="279"/>
      <c r="O290" s="72"/>
      <c r="P290" s="279"/>
    </row>
    <row r="291" spans="1:16" x14ac:dyDescent="0.25">
      <c r="A291" s="110">
        <f t="shared" si="16"/>
        <v>11</v>
      </c>
      <c r="B291" s="110">
        <f t="shared" si="17"/>
        <v>14</v>
      </c>
      <c r="C291" s="110">
        <f t="shared" si="18"/>
        <v>2020</v>
      </c>
      <c r="D291" s="75">
        <f t="shared" si="19"/>
        <v>44149</v>
      </c>
      <c r="E291" s="284">
        <f>IFERROR(VLOOKUP($D291,Actual_Kirk_HDD!$A$4:$F$471,6,FALSE),0)</f>
        <v>32.841900000000003</v>
      </c>
      <c r="F291" s="284">
        <f>IFERROR(VLOOKUP($A291&amp;$B291,'Staff Ranked NHDD'!$C$8:$F$374,2,FALSE),0)</f>
        <v>41.107222222222205</v>
      </c>
      <c r="H291" s="49"/>
      <c r="J291" s="74">
        <f>IFERROR(VLOOKUP($D291,Actual_CGI_HDD!$A$9:$E$532,5),0)</f>
        <v>11</v>
      </c>
      <c r="K291" s="284">
        <f>IFERROR(VLOOKUP($A291&amp;$B291,'Staff Ranked NHDD'!$C$8:$F$374,4,FALSE),0)</f>
        <v>14.735000000000003</v>
      </c>
      <c r="M291" s="279"/>
      <c r="N291" s="279"/>
      <c r="O291" s="72"/>
      <c r="P291" s="279"/>
    </row>
    <row r="292" spans="1:16" x14ac:dyDescent="0.25">
      <c r="A292" s="110">
        <f t="shared" si="16"/>
        <v>11</v>
      </c>
      <c r="B292" s="110">
        <f t="shared" si="17"/>
        <v>15</v>
      </c>
      <c r="C292" s="110">
        <f t="shared" si="18"/>
        <v>2020</v>
      </c>
      <c r="D292" s="75">
        <f t="shared" si="19"/>
        <v>44150</v>
      </c>
      <c r="E292" s="284">
        <f>IFERROR(VLOOKUP($D292,Actual_Kirk_HDD!$A$4:$F$471,6,FALSE),0)</f>
        <v>15.638999999999999</v>
      </c>
      <c r="F292" s="284">
        <f>IFERROR(VLOOKUP($A292&amp;$B292,'Staff Ranked NHDD'!$C$8:$F$374,2,FALSE),0)</f>
        <v>19.576666666666664</v>
      </c>
      <c r="H292" s="49"/>
      <c r="J292" s="74">
        <f>IFERROR(VLOOKUP($D292,Actual_CGI_HDD!$A$9:$E$532,5),0)</f>
        <v>12.5</v>
      </c>
      <c r="K292" s="284">
        <f>IFERROR(VLOOKUP($A292&amp;$B292,'Staff Ranked NHDD'!$C$8:$F$374,4,FALSE),0)</f>
        <v>16.290000000000006</v>
      </c>
      <c r="M292" s="279"/>
      <c r="N292" s="279"/>
      <c r="O292" s="72"/>
      <c r="P292" s="279"/>
    </row>
    <row r="293" spans="1:16" x14ac:dyDescent="0.25">
      <c r="A293" s="110">
        <f t="shared" si="16"/>
        <v>11</v>
      </c>
      <c r="B293" s="110">
        <f t="shared" si="17"/>
        <v>16</v>
      </c>
      <c r="C293" s="110">
        <f t="shared" si="18"/>
        <v>2020</v>
      </c>
      <c r="D293" s="75">
        <f t="shared" si="19"/>
        <v>44151</v>
      </c>
      <c r="E293" s="284">
        <f>IFERROR(VLOOKUP($D293,Actual_Kirk_HDD!$A$4:$F$471,6,FALSE),0)</f>
        <v>26.064999999999998</v>
      </c>
      <c r="F293" s="284">
        <f>IFERROR(VLOOKUP($A293&amp;$B293,'Staff Ranked NHDD'!$C$8:$F$374,2,FALSE),0)</f>
        <v>29.911111111111111</v>
      </c>
      <c r="H293" s="49"/>
      <c r="J293" s="74">
        <f>IFERROR(VLOOKUP($D293,Actual_CGI_HDD!$A$9:$E$532,5),0)</f>
        <v>20</v>
      </c>
      <c r="K293" s="284">
        <f>IFERROR(VLOOKUP($A293&amp;$B293,'Staff Ranked NHDD'!$C$8:$F$374,4,FALSE),0)</f>
        <v>23.131666666666671</v>
      </c>
      <c r="M293" s="279"/>
      <c r="N293" s="279"/>
      <c r="O293" s="72"/>
      <c r="P293" s="279"/>
    </row>
    <row r="294" spans="1:16" x14ac:dyDescent="0.25">
      <c r="A294" s="110">
        <f t="shared" si="16"/>
        <v>11</v>
      </c>
      <c r="B294" s="110">
        <f t="shared" si="17"/>
        <v>17</v>
      </c>
      <c r="C294" s="110">
        <f t="shared" si="18"/>
        <v>2020</v>
      </c>
      <c r="D294" s="75">
        <f t="shared" si="19"/>
        <v>44152</v>
      </c>
      <c r="E294" s="284">
        <f>IFERROR(VLOOKUP($D294,Actual_Kirk_HDD!$A$4:$F$471,6,FALSE),0)</f>
        <v>21.3733</v>
      </c>
      <c r="F294" s="284">
        <f>IFERROR(VLOOKUP($A294&amp;$B294,'Staff Ranked NHDD'!$C$8:$F$374,2,FALSE),0)</f>
        <v>23.609259259259261</v>
      </c>
      <c r="H294" s="49"/>
      <c r="J294" s="74">
        <f>IFERROR(VLOOKUP($D294,Actual_CGI_HDD!$A$9:$E$532,5),0)</f>
        <v>23</v>
      </c>
      <c r="K294" s="284">
        <f>IFERROR(VLOOKUP($A294&amp;$B294,'Staff Ranked NHDD'!$C$8:$F$374,4,FALSE),0)</f>
        <v>29.47388888888889</v>
      </c>
      <c r="M294" s="279"/>
      <c r="N294" s="279"/>
      <c r="O294" s="72"/>
      <c r="P294" s="279"/>
    </row>
    <row r="295" spans="1:16" x14ac:dyDescent="0.25">
      <c r="A295" s="110">
        <f t="shared" si="16"/>
        <v>11</v>
      </c>
      <c r="B295" s="110">
        <f t="shared" si="17"/>
        <v>18</v>
      </c>
      <c r="C295" s="110">
        <f t="shared" si="18"/>
        <v>2020</v>
      </c>
      <c r="D295" s="75">
        <f t="shared" si="19"/>
        <v>44153</v>
      </c>
      <c r="E295" s="284">
        <f>IFERROR(VLOOKUP($D295,Actual_Kirk_HDD!$A$4:$F$471,6,FALSE),0)</f>
        <v>25.543699999999998</v>
      </c>
      <c r="F295" s="284">
        <f>IFERROR(VLOOKUP($A295&amp;$B295,'Staff Ranked NHDD'!$C$8:$F$374,2,FALSE),0)</f>
        <v>27.719629629629626</v>
      </c>
      <c r="H295" s="49"/>
      <c r="J295" s="74">
        <f>IFERROR(VLOOKUP($D295,Actual_CGI_HDD!$A$9:$E$532,5),0)</f>
        <v>20</v>
      </c>
      <c r="K295" s="284">
        <f>IFERROR(VLOOKUP($A295&amp;$B295,'Staff Ranked NHDD'!$C$8:$F$374,4,FALSE),0)</f>
        <v>22.360555555555553</v>
      </c>
      <c r="M295" s="279"/>
      <c r="N295" s="279"/>
      <c r="O295" s="72"/>
      <c r="P295" s="279"/>
    </row>
    <row r="296" spans="1:16" x14ac:dyDescent="0.25">
      <c r="A296" s="110">
        <f t="shared" si="16"/>
        <v>11</v>
      </c>
      <c r="B296" s="110">
        <f t="shared" si="17"/>
        <v>19</v>
      </c>
      <c r="C296" s="110">
        <f t="shared" si="18"/>
        <v>2020</v>
      </c>
      <c r="D296" s="75">
        <f t="shared" si="19"/>
        <v>44154</v>
      </c>
      <c r="E296" s="284">
        <f>IFERROR(VLOOKUP($D296,Actual_Kirk_HDD!$A$4:$F$471,6,FALSE),0)</f>
        <v>11.9899</v>
      </c>
      <c r="F296" s="284">
        <f>IFERROR(VLOOKUP($A296&amp;$B296,'Staff Ranked NHDD'!$C$8:$F$374,2,FALSE),0)</f>
        <v>17.13425925925926</v>
      </c>
      <c r="H296" s="49"/>
      <c r="J296" s="74">
        <f>IFERROR(VLOOKUP($D296,Actual_CGI_HDD!$A$9:$E$532,5),0)</f>
        <v>12</v>
      </c>
      <c r="K296" s="284">
        <f>IFERROR(VLOOKUP($A296&amp;$B296,'Staff Ranked NHDD'!$C$8:$F$374,4,FALSE),0)</f>
        <v>15.471666666666669</v>
      </c>
      <c r="M296" s="279"/>
      <c r="N296" s="279"/>
      <c r="O296" s="72"/>
      <c r="P296" s="279"/>
    </row>
    <row r="297" spans="1:16" x14ac:dyDescent="0.25">
      <c r="A297" s="110">
        <f t="shared" si="16"/>
        <v>11</v>
      </c>
      <c r="B297" s="110">
        <f t="shared" si="17"/>
        <v>20</v>
      </c>
      <c r="C297" s="110">
        <f t="shared" si="18"/>
        <v>2020</v>
      </c>
      <c r="D297" s="75">
        <f t="shared" si="19"/>
        <v>44155</v>
      </c>
      <c r="E297" s="284">
        <f>IFERROR(VLOOKUP($D297,Actual_Kirk_HDD!$A$4:$F$471,6,FALSE),0)</f>
        <v>6.2555999999999994</v>
      </c>
      <c r="F297" s="284">
        <f>IFERROR(VLOOKUP($A297&amp;$B297,'Staff Ranked NHDD'!$C$8:$F$374,2,FALSE),0)</f>
        <v>10.467222222222222</v>
      </c>
      <c r="H297" s="49"/>
      <c r="J297" s="74">
        <f>IFERROR(VLOOKUP($D297,Actual_CGI_HDD!$A$9:$E$532,5),0)</f>
        <v>5.5</v>
      </c>
      <c r="K297" s="284">
        <f>IFERROR(VLOOKUP($A297&amp;$B297,'Staff Ranked NHDD'!$C$8:$F$374,4,FALSE),0)</f>
        <v>6.1916666666666655</v>
      </c>
      <c r="M297" s="279"/>
      <c r="N297" s="279"/>
      <c r="O297" s="72"/>
      <c r="P297" s="279"/>
    </row>
    <row r="298" spans="1:16" x14ac:dyDescent="0.25">
      <c r="A298" s="110">
        <f t="shared" si="16"/>
        <v>11</v>
      </c>
      <c r="B298" s="110">
        <f t="shared" si="17"/>
        <v>21</v>
      </c>
      <c r="C298" s="110">
        <f t="shared" si="18"/>
        <v>2020</v>
      </c>
      <c r="D298" s="75">
        <f t="shared" si="19"/>
        <v>44156</v>
      </c>
      <c r="E298" s="284">
        <f>IFERROR(VLOOKUP($D298,Actual_Kirk_HDD!$A$4:$F$471,6,FALSE),0)</f>
        <v>18.2455</v>
      </c>
      <c r="F298" s="284">
        <f>IFERROR(VLOOKUP($A298&amp;$B298,'Staff Ranked NHDD'!$C$8:$F$374,2,FALSE),0)</f>
        <v>20.594444444444441</v>
      </c>
      <c r="H298" s="49"/>
      <c r="J298" s="74">
        <f>IFERROR(VLOOKUP($D298,Actual_CGI_HDD!$A$9:$E$532,5),0)</f>
        <v>11</v>
      </c>
      <c r="K298" s="284">
        <f>IFERROR(VLOOKUP($A298&amp;$B298,'Staff Ranked NHDD'!$C$8:$F$374,4,FALSE),0)</f>
        <v>13.763333333333332</v>
      </c>
      <c r="M298" s="279"/>
      <c r="N298" s="279"/>
      <c r="O298" s="72"/>
      <c r="P298" s="279"/>
    </row>
    <row r="299" spans="1:16" x14ac:dyDescent="0.25">
      <c r="A299" s="110">
        <f t="shared" si="16"/>
        <v>11</v>
      </c>
      <c r="B299" s="110">
        <f t="shared" si="17"/>
        <v>22</v>
      </c>
      <c r="C299" s="110">
        <f t="shared" si="18"/>
        <v>2020</v>
      </c>
      <c r="D299" s="75">
        <f t="shared" si="19"/>
        <v>44157</v>
      </c>
      <c r="E299" s="284">
        <f>IFERROR(VLOOKUP($D299,Actual_Kirk_HDD!$A$4:$F$471,6,FALSE),0)</f>
        <v>24.501100000000001</v>
      </c>
      <c r="F299" s="284">
        <f>IFERROR(VLOOKUP($A299&amp;$B299,'Staff Ranked NHDD'!$C$8:$F$374,2,FALSE),0)</f>
        <v>26.551111111111105</v>
      </c>
      <c r="H299" s="49"/>
      <c r="J299" s="74">
        <f>IFERROR(VLOOKUP($D299,Actual_CGI_HDD!$A$9:$E$532,5),0)</f>
        <v>23</v>
      </c>
      <c r="K299" s="284">
        <f>IFERROR(VLOOKUP($A299&amp;$B299,'Staff Ranked NHDD'!$C$8:$F$374,4,FALSE),0)</f>
        <v>28.121111111111116</v>
      </c>
      <c r="M299" s="279"/>
      <c r="N299" s="279"/>
      <c r="O299" s="72"/>
      <c r="P299" s="279"/>
    </row>
    <row r="300" spans="1:16" x14ac:dyDescent="0.25">
      <c r="A300" s="110">
        <f t="shared" si="16"/>
        <v>11</v>
      </c>
      <c r="B300" s="110">
        <f t="shared" si="17"/>
        <v>23</v>
      </c>
      <c r="C300" s="110">
        <f t="shared" si="18"/>
        <v>2020</v>
      </c>
      <c r="D300" s="75">
        <f t="shared" si="19"/>
        <v>44158</v>
      </c>
      <c r="E300" s="284">
        <f>IFERROR(VLOOKUP($D300,Actual_Kirk_HDD!$A$4:$F$471,6,FALSE),0)</f>
        <v>27.107599999999998</v>
      </c>
      <c r="F300" s="284">
        <f>IFERROR(VLOOKUP($A300&amp;$B300,'Staff Ranked NHDD'!$C$8:$F$374,2,FALSE),0)</f>
        <v>31.984259259259254</v>
      </c>
      <c r="H300" s="49"/>
      <c r="J300" s="74">
        <f>IFERROR(VLOOKUP($D300,Actual_CGI_HDD!$A$9:$E$532,5),0)</f>
        <v>23</v>
      </c>
      <c r="K300" s="284">
        <f>IFERROR(VLOOKUP($A300&amp;$B300,'Staff Ranked NHDD'!$C$8:$F$374,4,FALSE),0)</f>
        <v>27.060000000000002</v>
      </c>
      <c r="M300" s="279"/>
      <c r="N300" s="279"/>
      <c r="O300" s="72"/>
      <c r="P300" s="279"/>
    </row>
    <row r="301" spans="1:16" x14ac:dyDescent="0.25">
      <c r="A301" s="110">
        <f t="shared" si="16"/>
        <v>11</v>
      </c>
      <c r="B301" s="110">
        <f t="shared" si="17"/>
        <v>24</v>
      </c>
      <c r="C301" s="110">
        <f t="shared" si="18"/>
        <v>2020</v>
      </c>
      <c r="D301" s="75">
        <f t="shared" si="19"/>
        <v>44159</v>
      </c>
      <c r="E301" s="284">
        <f>IFERROR(VLOOKUP($D301,Actual_Kirk_HDD!$A$4:$F$471,6,FALSE),0)</f>
        <v>32.320599999999999</v>
      </c>
      <c r="F301" s="284">
        <f>IFERROR(VLOOKUP($A301&amp;$B301,'Staff Ranked NHDD'!$C$8:$F$374,2,FALSE),0)</f>
        <v>38.468148148148153</v>
      </c>
      <c r="H301" s="49"/>
      <c r="J301" s="74">
        <f>IFERROR(VLOOKUP($D301,Actual_CGI_HDD!$A$9:$E$532,5),0)</f>
        <v>17</v>
      </c>
      <c r="K301" s="284">
        <f>IFERROR(VLOOKUP($A301&amp;$B301,'Staff Ranked NHDD'!$C$8:$F$374,4,FALSE),0)</f>
        <v>17.895000000000003</v>
      </c>
      <c r="M301" s="279"/>
      <c r="N301" s="279"/>
      <c r="O301" s="72"/>
      <c r="P301" s="279"/>
    </row>
    <row r="302" spans="1:16" x14ac:dyDescent="0.25">
      <c r="A302" s="110">
        <f t="shared" si="16"/>
        <v>11</v>
      </c>
      <c r="B302" s="110">
        <f t="shared" si="17"/>
        <v>25</v>
      </c>
      <c r="C302" s="110">
        <f t="shared" si="18"/>
        <v>2020</v>
      </c>
      <c r="D302" s="75">
        <f t="shared" si="19"/>
        <v>44160</v>
      </c>
      <c r="E302" s="284">
        <f>IFERROR(VLOOKUP($D302,Actual_Kirk_HDD!$A$4:$F$471,6,FALSE),0)</f>
        <v>19.2881</v>
      </c>
      <c r="F302" s="284">
        <f>IFERROR(VLOOKUP($A302&amp;$B302,'Staff Ranked NHDD'!$C$8:$F$374,2,FALSE),0)</f>
        <v>21.27277777777778</v>
      </c>
      <c r="H302" s="49"/>
      <c r="J302" s="74">
        <f>IFERROR(VLOOKUP($D302,Actual_CGI_HDD!$A$9:$E$532,5),0)</f>
        <v>10</v>
      </c>
      <c r="K302" s="284">
        <f>IFERROR(VLOOKUP($A302&amp;$B302,'Staff Ranked NHDD'!$C$8:$F$374,4,FALSE),0)</f>
        <v>12.59611111111111</v>
      </c>
      <c r="M302" s="279"/>
      <c r="N302" s="279"/>
      <c r="O302" s="72"/>
      <c r="P302" s="279"/>
    </row>
    <row r="303" spans="1:16" x14ac:dyDescent="0.25">
      <c r="A303" s="110">
        <f t="shared" si="16"/>
        <v>11</v>
      </c>
      <c r="B303" s="110">
        <f t="shared" si="17"/>
        <v>26</v>
      </c>
      <c r="C303" s="110">
        <f t="shared" si="18"/>
        <v>2020</v>
      </c>
      <c r="D303" s="75">
        <f t="shared" si="19"/>
        <v>44161</v>
      </c>
      <c r="E303" s="284">
        <f>IFERROR(VLOOKUP($D303,Actual_Kirk_HDD!$A$4:$F$471,6,FALSE),0)</f>
        <v>28.671499999999998</v>
      </c>
      <c r="F303" s="284">
        <f>IFERROR(VLOOKUP($A303&amp;$B303,'Staff Ranked NHDD'!$C$8:$F$374,2,FALSE),0)</f>
        <v>34.695555555555543</v>
      </c>
      <c r="H303" s="49"/>
      <c r="J303" s="74">
        <f>IFERROR(VLOOKUP($D303,Actual_CGI_HDD!$A$9:$E$532,5),0)</f>
        <v>21</v>
      </c>
      <c r="K303" s="284">
        <f>IFERROR(VLOOKUP($A303&amp;$B303,'Staff Ranked NHDD'!$C$8:$F$374,4,FALSE),0)</f>
        <v>24.106666666666673</v>
      </c>
      <c r="M303" s="279"/>
      <c r="N303" s="279"/>
      <c r="O303" s="72"/>
      <c r="P303" s="279"/>
    </row>
    <row r="304" spans="1:16" x14ac:dyDescent="0.25">
      <c r="A304" s="110">
        <f t="shared" si="16"/>
        <v>11</v>
      </c>
      <c r="B304" s="110">
        <f t="shared" si="17"/>
        <v>27</v>
      </c>
      <c r="C304" s="110">
        <f t="shared" si="18"/>
        <v>2020</v>
      </c>
      <c r="D304" s="75">
        <f t="shared" si="19"/>
        <v>44162</v>
      </c>
      <c r="E304" s="284">
        <f>IFERROR(VLOOKUP($D304,Actual_Kirk_HDD!$A$4:$F$471,6,FALSE),0)</f>
        <v>22.937200000000001</v>
      </c>
      <c r="F304" s="284">
        <f>IFERROR(VLOOKUP($A304&amp;$B304,'Staff Ranked NHDD'!$C$8:$F$374,2,FALSE),0)</f>
        <v>24.463518518518519</v>
      </c>
      <c r="H304" s="49"/>
      <c r="J304" s="74">
        <f>IFERROR(VLOOKUP($D304,Actual_CGI_HDD!$A$9:$E$532,5),0)</f>
        <v>18.5</v>
      </c>
      <c r="K304" s="284">
        <f>IFERROR(VLOOKUP($A304&amp;$B304,'Staff Ranked NHDD'!$C$8:$F$374,4,FALSE),0)</f>
        <v>20.800555555555555</v>
      </c>
      <c r="M304" s="279"/>
      <c r="N304" s="279"/>
      <c r="O304" s="72"/>
      <c r="P304" s="279"/>
    </row>
    <row r="305" spans="1:16" x14ac:dyDescent="0.25">
      <c r="A305" s="110">
        <f t="shared" si="16"/>
        <v>11</v>
      </c>
      <c r="B305" s="110">
        <f t="shared" si="17"/>
        <v>28</v>
      </c>
      <c r="C305" s="110">
        <f t="shared" si="18"/>
        <v>2020</v>
      </c>
      <c r="D305" s="75">
        <f t="shared" si="19"/>
        <v>44163</v>
      </c>
      <c r="E305" s="284">
        <f>IFERROR(VLOOKUP($D305,Actual_Kirk_HDD!$A$4:$F$471,6,FALSE),0)</f>
        <v>26.064999999999998</v>
      </c>
      <c r="F305" s="284">
        <f>IFERROR(VLOOKUP($A305&amp;$B305,'Staff Ranked NHDD'!$C$8:$F$374,2,FALSE),0)</f>
        <v>28.929259259259258</v>
      </c>
      <c r="H305" s="49"/>
      <c r="J305" s="74">
        <f>IFERROR(VLOOKUP($D305,Actual_CGI_HDD!$A$9:$E$532,5),0)</f>
        <v>23</v>
      </c>
      <c r="K305" s="284">
        <f>IFERROR(VLOOKUP($A305&amp;$B305,'Staff Ranked NHDD'!$C$8:$F$374,4,FALSE),0)</f>
        <v>26.114444444444437</v>
      </c>
      <c r="M305" s="279"/>
      <c r="N305" s="279"/>
      <c r="O305" s="72"/>
      <c r="P305" s="279"/>
    </row>
    <row r="306" spans="1:16" x14ac:dyDescent="0.25">
      <c r="A306" s="110">
        <f t="shared" si="16"/>
        <v>11</v>
      </c>
      <c r="B306" s="110">
        <f t="shared" si="17"/>
        <v>29</v>
      </c>
      <c r="C306" s="110">
        <f t="shared" si="18"/>
        <v>2020</v>
      </c>
      <c r="D306" s="75">
        <f t="shared" si="19"/>
        <v>44164</v>
      </c>
      <c r="E306" s="284">
        <f>IFERROR(VLOOKUP($D306,Actual_Kirk_HDD!$A$4:$F$471,6,FALSE),0)</f>
        <v>21.3733</v>
      </c>
      <c r="F306" s="284">
        <f>IFERROR(VLOOKUP($A306&amp;$B306,'Staff Ranked NHDD'!$C$8:$F$374,2,FALSE),0)</f>
        <v>22.759814814814813</v>
      </c>
      <c r="H306" s="49"/>
      <c r="J306" s="74">
        <f>IFERROR(VLOOKUP($D306,Actual_CGI_HDD!$A$9:$E$532,5),0)</f>
        <v>27</v>
      </c>
      <c r="K306" s="284">
        <f>IFERROR(VLOOKUP($A306&amp;$B306,'Staff Ranked NHDD'!$C$8:$F$374,4,FALSE),0)</f>
        <v>33.203888888888891</v>
      </c>
      <c r="M306" s="279"/>
      <c r="N306" s="279"/>
      <c r="O306" s="72"/>
      <c r="P306" s="279"/>
    </row>
    <row r="307" spans="1:16" x14ac:dyDescent="0.25">
      <c r="A307" s="110">
        <f t="shared" si="16"/>
        <v>11</v>
      </c>
      <c r="B307" s="110">
        <f t="shared" si="17"/>
        <v>30</v>
      </c>
      <c r="C307" s="110">
        <f t="shared" si="18"/>
        <v>2020</v>
      </c>
      <c r="D307" s="75">
        <f t="shared" si="19"/>
        <v>44165</v>
      </c>
      <c r="E307" s="284">
        <f>IFERROR(VLOOKUP($D307,Actual_Kirk_HDD!$A$4:$F$471,6,FALSE),0)</f>
        <v>34.927099999999996</v>
      </c>
      <c r="F307" s="284">
        <f>IFERROR(VLOOKUP($A307&amp;$B307,'Staff Ranked NHDD'!$C$8:$F$374,2,FALSE),0)</f>
        <v>47.151666666666671</v>
      </c>
      <c r="H307" s="49"/>
      <c r="J307" s="74">
        <f>IFERROR(VLOOKUP($D307,Actual_CGI_HDD!$A$9:$E$532,5),0)</f>
        <v>32</v>
      </c>
      <c r="K307" s="284">
        <f>IFERROR(VLOOKUP($A307&amp;$B307,'Staff Ranked NHDD'!$C$8:$F$374,4,FALSE),0)</f>
        <v>37.907777777777788</v>
      </c>
      <c r="M307" s="279"/>
      <c r="N307" s="279"/>
      <c r="O307" s="72"/>
      <c r="P307" s="279"/>
    </row>
    <row r="308" spans="1:16" x14ac:dyDescent="0.25">
      <c r="A308" s="110">
        <f t="shared" si="16"/>
        <v>12</v>
      </c>
      <c r="B308" s="110">
        <f t="shared" si="17"/>
        <v>1</v>
      </c>
      <c r="C308" s="110">
        <f t="shared" si="18"/>
        <v>2020</v>
      </c>
      <c r="D308" s="75">
        <f t="shared" si="19"/>
        <v>44166</v>
      </c>
      <c r="E308" s="284">
        <f>IFERROR(VLOOKUP($D308,Actual_Kirk_HDD!$A$4:$F$471,6,FALSE),0)</f>
        <v>40.123199999999997</v>
      </c>
      <c r="F308" s="284">
        <f>IFERROR(VLOOKUP($A308&amp;$B308,'Staff Ranked NHDD'!$C$8:$F$374,2,FALSE),0)</f>
        <v>27.088584229390676</v>
      </c>
      <c r="H308" s="49"/>
      <c r="J308" s="74">
        <f>IFERROR(VLOOKUP($D308,Actual_CGI_HDD!$A$9:$E$532,5),0)</f>
        <v>33</v>
      </c>
      <c r="K308" s="284">
        <f>IFERROR(VLOOKUP($A308&amp;$B308,'Staff Ranked NHDD'!$C$8:$F$374,4,FALSE),0)</f>
        <v>21.907741935483877</v>
      </c>
      <c r="M308" s="279"/>
      <c r="N308" s="279"/>
      <c r="O308" s="72"/>
      <c r="P308" s="279"/>
    </row>
    <row r="309" spans="1:16" x14ac:dyDescent="0.25">
      <c r="A309" s="110">
        <f t="shared" si="16"/>
        <v>12</v>
      </c>
      <c r="B309" s="110">
        <f t="shared" si="17"/>
        <v>2</v>
      </c>
      <c r="C309" s="110">
        <f t="shared" si="18"/>
        <v>2020</v>
      </c>
      <c r="D309" s="75">
        <f t="shared" si="19"/>
        <v>44167</v>
      </c>
      <c r="E309" s="284">
        <f>IFERROR(VLOOKUP($D309,Actual_Kirk_HDD!$A$4:$F$471,6,FALSE),0)</f>
        <v>36.522399999999998</v>
      </c>
      <c r="F309" s="284">
        <f>IFERROR(VLOOKUP($A309&amp;$B309,'Staff Ranked NHDD'!$C$8:$F$374,2,FALSE),0)</f>
        <v>23.563172043010745</v>
      </c>
      <c r="H309" s="49"/>
      <c r="J309" s="74">
        <f>IFERROR(VLOOKUP($D309,Actual_CGI_HDD!$A$9:$E$532,5),0)</f>
        <v>29.5</v>
      </c>
      <c r="K309" s="284">
        <f>IFERROR(VLOOKUP($A309&amp;$B309,'Staff Ranked NHDD'!$C$8:$F$374,4,FALSE),0)</f>
        <v>32.192580645161293</v>
      </c>
      <c r="M309" s="279"/>
      <c r="N309" s="279"/>
      <c r="O309" s="72"/>
      <c r="P309" s="279"/>
    </row>
    <row r="310" spans="1:16" x14ac:dyDescent="0.25">
      <c r="A310" s="110">
        <f t="shared" si="16"/>
        <v>12</v>
      </c>
      <c r="B310" s="110">
        <f t="shared" si="17"/>
        <v>3</v>
      </c>
      <c r="C310" s="110">
        <f t="shared" si="18"/>
        <v>2020</v>
      </c>
      <c r="D310" s="75">
        <f t="shared" si="19"/>
        <v>44168</v>
      </c>
      <c r="E310" s="284">
        <f>IFERROR(VLOOKUP($D310,Actual_Kirk_HDD!$A$4:$F$471,6,FALSE),0)</f>
        <v>29.320799999999998</v>
      </c>
      <c r="F310" s="284">
        <f>IFERROR(VLOOKUP($A310&amp;$B310,'Staff Ranked NHDD'!$C$8:$F$374,2,FALSE),0)</f>
        <v>49.684964157706091</v>
      </c>
      <c r="H310" s="49"/>
      <c r="J310" s="74">
        <f>IFERROR(VLOOKUP($D310,Actual_CGI_HDD!$A$9:$E$532,5),0)</f>
        <v>26</v>
      </c>
      <c r="K310" s="284">
        <f>IFERROR(VLOOKUP($A310&amp;$B310,'Staff Ranked NHDD'!$C$8:$F$374,4,FALSE),0)</f>
        <v>40.360698924731182</v>
      </c>
      <c r="M310" s="279"/>
      <c r="N310" s="279"/>
      <c r="O310" s="72"/>
      <c r="P310" s="279"/>
    </row>
    <row r="311" spans="1:16" x14ac:dyDescent="0.25">
      <c r="A311" s="110">
        <f t="shared" si="16"/>
        <v>12</v>
      </c>
      <c r="B311" s="110">
        <f t="shared" si="17"/>
        <v>4</v>
      </c>
      <c r="C311" s="110">
        <f t="shared" si="18"/>
        <v>2020</v>
      </c>
      <c r="D311" s="75">
        <f t="shared" si="19"/>
        <v>44169</v>
      </c>
      <c r="E311" s="284">
        <f>IFERROR(VLOOKUP($D311,Actual_Kirk_HDD!$A$4:$F$471,6,FALSE),0)</f>
        <v>32.921599999999998</v>
      </c>
      <c r="F311" s="284">
        <f>IFERROR(VLOOKUP($A311&amp;$B311,'Staff Ranked NHDD'!$C$8:$F$374,2,FALSE),0)</f>
        <v>45.240573476702501</v>
      </c>
      <c r="H311" s="49"/>
      <c r="J311" s="74">
        <f>IFERROR(VLOOKUP($D311,Actual_CGI_HDD!$A$9:$E$532,5),0)</f>
        <v>25</v>
      </c>
      <c r="K311" s="284">
        <f>IFERROR(VLOOKUP($A311&amp;$B311,'Staff Ranked NHDD'!$C$8:$F$374,4,FALSE),0)</f>
        <v>23.068602150537636</v>
      </c>
      <c r="M311" s="279"/>
      <c r="N311" s="279"/>
      <c r="O311" s="72"/>
      <c r="P311" s="279"/>
    </row>
    <row r="312" spans="1:16" x14ac:dyDescent="0.25">
      <c r="A312" s="110">
        <f t="shared" si="16"/>
        <v>12</v>
      </c>
      <c r="B312" s="110">
        <f t="shared" si="17"/>
        <v>5</v>
      </c>
      <c r="C312" s="110">
        <f t="shared" si="18"/>
        <v>2020</v>
      </c>
      <c r="D312" s="75">
        <f t="shared" si="19"/>
        <v>44170</v>
      </c>
      <c r="E312" s="284">
        <f>IFERROR(VLOOKUP($D312,Actual_Kirk_HDD!$A$4:$F$471,6,FALSE),0)</f>
        <v>28.291999999999998</v>
      </c>
      <c r="F312" s="284">
        <f>IFERROR(VLOOKUP($A312&amp;$B312,'Staff Ranked NHDD'!$C$8:$F$374,2,FALSE),0)</f>
        <v>30.768136200716835</v>
      </c>
      <c r="H312" s="49"/>
      <c r="J312" s="74">
        <f>IFERROR(VLOOKUP($D312,Actual_CGI_HDD!$A$9:$E$532,5),0)</f>
        <v>23</v>
      </c>
      <c r="K312" s="284">
        <f>IFERROR(VLOOKUP($A312&amp;$B312,'Staff Ranked NHDD'!$C$8:$F$374,4,FALSE),0)</f>
        <v>20.284462365591402</v>
      </c>
      <c r="M312" s="279"/>
      <c r="N312" s="279"/>
      <c r="O312" s="72"/>
      <c r="P312" s="279"/>
    </row>
    <row r="313" spans="1:16" x14ac:dyDescent="0.25">
      <c r="A313" s="110">
        <f t="shared" si="16"/>
        <v>12</v>
      </c>
      <c r="B313" s="110">
        <f t="shared" si="17"/>
        <v>6</v>
      </c>
      <c r="C313" s="110">
        <f t="shared" si="18"/>
        <v>2020</v>
      </c>
      <c r="D313" s="75">
        <f t="shared" si="19"/>
        <v>44171</v>
      </c>
      <c r="E313" s="284">
        <f>IFERROR(VLOOKUP($D313,Actual_Kirk_HDD!$A$4:$F$471,6,FALSE),0)</f>
        <v>27.7776</v>
      </c>
      <c r="F313" s="284">
        <f>IFERROR(VLOOKUP($A313&amp;$B313,'Staff Ranked NHDD'!$C$8:$F$374,2,FALSE),0)</f>
        <v>44.340537634408598</v>
      </c>
      <c r="H313" s="49"/>
      <c r="J313" s="74">
        <f>IFERROR(VLOOKUP($D313,Actual_CGI_HDD!$A$9:$E$532,5),0)</f>
        <v>26</v>
      </c>
      <c r="K313" s="284">
        <f>IFERROR(VLOOKUP($A313&amp;$B313,'Staff Ranked NHDD'!$C$8:$F$374,4,FALSE),0)</f>
        <v>18.45956989247312</v>
      </c>
      <c r="M313" s="279"/>
      <c r="N313" s="279"/>
      <c r="O313" s="72"/>
      <c r="P313" s="279"/>
    </row>
    <row r="314" spans="1:16" x14ac:dyDescent="0.25">
      <c r="A314" s="110">
        <f t="shared" si="16"/>
        <v>12</v>
      </c>
      <c r="B314" s="110">
        <f t="shared" si="17"/>
        <v>7</v>
      </c>
      <c r="C314" s="110">
        <f t="shared" si="18"/>
        <v>2020</v>
      </c>
      <c r="D314" s="75">
        <f t="shared" si="19"/>
        <v>44172</v>
      </c>
      <c r="E314" s="284">
        <f>IFERROR(VLOOKUP($D314,Actual_Kirk_HDD!$A$4:$F$471,6,FALSE),0)</f>
        <v>29.835199999999997</v>
      </c>
      <c r="F314" s="284">
        <f>IFERROR(VLOOKUP($A314&amp;$B314,'Staff Ranked NHDD'!$C$8:$F$374,2,FALSE),0)</f>
        <v>53.204211469534037</v>
      </c>
      <c r="H314" s="49"/>
      <c r="J314" s="74">
        <f>IFERROR(VLOOKUP($D314,Actual_CGI_HDD!$A$9:$E$532,5),0)</f>
        <v>29</v>
      </c>
      <c r="K314" s="284">
        <f>IFERROR(VLOOKUP($A314&amp;$B314,'Staff Ranked NHDD'!$C$8:$F$374,4,FALSE),0)</f>
        <v>42.089086021505381</v>
      </c>
      <c r="M314" s="279"/>
      <c r="N314" s="279"/>
      <c r="O314" s="72"/>
      <c r="P314" s="279"/>
    </row>
    <row r="315" spans="1:16" x14ac:dyDescent="0.25">
      <c r="A315" s="110">
        <f t="shared" si="16"/>
        <v>12</v>
      </c>
      <c r="B315" s="110">
        <f t="shared" si="17"/>
        <v>8</v>
      </c>
      <c r="C315" s="110">
        <f t="shared" si="18"/>
        <v>2020</v>
      </c>
      <c r="D315" s="75">
        <f t="shared" si="19"/>
        <v>44173</v>
      </c>
      <c r="E315" s="284">
        <f>IFERROR(VLOOKUP($D315,Actual_Kirk_HDD!$A$4:$F$471,6,FALSE),0)</f>
        <v>34.979199999999999</v>
      </c>
      <c r="F315" s="284">
        <f>IFERROR(VLOOKUP($A315&amp;$B315,'Staff Ranked NHDD'!$C$8:$F$374,2,FALSE),0)</f>
        <v>65.822706093189979</v>
      </c>
      <c r="H315" s="49"/>
      <c r="J315" s="74">
        <f>IFERROR(VLOOKUP($D315,Actual_CGI_HDD!$A$9:$E$532,5),0)</f>
        <v>28</v>
      </c>
      <c r="K315" s="284">
        <f>IFERROR(VLOOKUP($A315&amp;$B315,'Staff Ranked NHDD'!$C$8:$F$374,4,FALSE),0)</f>
        <v>49.522903225806452</v>
      </c>
      <c r="M315" s="279"/>
      <c r="N315" s="279"/>
      <c r="O315" s="72"/>
      <c r="P315" s="279"/>
    </row>
    <row r="316" spans="1:16" x14ac:dyDescent="0.25">
      <c r="A316" s="110">
        <f t="shared" si="16"/>
        <v>12</v>
      </c>
      <c r="B316" s="110">
        <f t="shared" si="17"/>
        <v>9</v>
      </c>
      <c r="C316" s="110">
        <f t="shared" si="18"/>
        <v>2020</v>
      </c>
      <c r="D316" s="75">
        <f t="shared" si="19"/>
        <v>44174</v>
      </c>
      <c r="E316" s="284">
        <f>IFERROR(VLOOKUP($D316,Actual_Kirk_HDD!$A$4:$F$471,6,FALSE),0)</f>
        <v>32.407199999999996</v>
      </c>
      <c r="F316" s="284">
        <f>IFERROR(VLOOKUP($A316&amp;$B316,'Staff Ranked NHDD'!$C$8:$F$374,2,FALSE),0)</f>
        <v>60.72220430107528</v>
      </c>
      <c r="H316" s="49"/>
      <c r="J316" s="74">
        <f>IFERROR(VLOOKUP($D316,Actual_CGI_HDD!$A$9:$E$532,5),0)</f>
        <v>18</v>
      </c>
      <c r="K316" s="284">
        <f>IFERROR(VLOOKUP($A316&amp;$B316,'Staff Ranked NHDD'!$C$8:$F$374,4,FALSE),0)</f>
        <v>38.913440860215054</v>
      </c>
      <c r="M316" s="279"/>
      <c r="N316" s="279"/>
      <c r="O316" s="72"/>
      <c r="P316" s="279"/>
    </row>
    <row r="317" spans="1:16" x14ac:dyDescent="0.25">
      <c r="A317" s="110">
        <f t="shared" si="16"/>
        <v>12</v>
      </c>
      <c r="B317" s="110">
        <f t="shared" si="17"/>
        <v>10</v>
      </c>
      <c r="C317" s="110">
        <f t="shared" si="18"/>
        <v>2020</v>
      </c>
      <c r="D317" s="75">
        <f t="shared" si="19"/>
        <v>44175</v>
      </c>
      <c r="E317" s="284">
        <f>IFERROR(VLOOKUP($D317,Actual_Kirk_HDD!$A$4:$F$471,6,FALSE),0)</f>
        <v>19.5472</v>
      </c>
      <c r="F317" s="284">
        <f>IFERROR(VLOOKUP($A317&amp;$B317,'Staff Ranked NHDD'!$C$8:$F$374,2,FALSE),0)</f>
        <v>18.225089605734766</v>
      </c>
      <c r="H317" s="49"/>
      <c r="J317" s="74">
        <f>IFERROR(VLOOKUP($D317,Actual_CGI_HDD!$A$9:$E$532,5),0)</f>
        <v>16.5</v>
      </c>
      <c r="K317" s="284">
        <f>IFERROR(VLOOKUP($A317&amp;$B317,'Staff Ranked NHDD'!$C$8:$F$374,4,FALSE),0)</f>
        <v>15.691720430107525</v>
      </c>
      <c r="M317" s="279"/>
      <c r="N317" s="279"/>
      <c r="O317" s="72"/>
      <c r="P317" s="279"/>
    </row>
    <row r="318" spans="1:16" x14ac:dyDescent="0.25">
      <c r="A318" s="110">
        <f t="shared" si="16"/>
        <v>12</v>
      </c>
      <c r="B318" s="110">
        <f t="shared" si="17"/>
        <v>11</v>
      </c>
      <c r="C318" s="110">
        <f t="shared" si="18"/>
        <v>2020</v>
      </c>
      <c r="D318" s="75">
        <f t="shared" si="19"/>
        <v>44176</v>
      </c>
      <c r="E318" s="284">
        <f>IFERROR(VLOOKUP($D318,Actual_Kirk_HDD!$A$4:$F$471,6,FALSE),0)</f>
        <v>15.946399999999999</v>
      </c>
      <c r="F318" s="284">
        <f>IFERROR(VLOOKUP($A318&amp;$B318,'Staff Ranked NHDD'!$C$8:$F$374,2,FALSE),0)</f>
        <v>12.179946236559145</v>
      </c>
      <c r="H318" s="49"/>
      <c r="J318" s="74">
        <f>IFERROR(VLOOKUP($D318,Actual_CGI_HDD!$A$9:$E$532,5),0)</f>
        <v>12</v>
      </c>
      <c r="K318" s="284">
        <f>IFERROR(VLOOKUP($A318&amp;$B318,'Staff Ranked NHDD'!$C$8:$F$374,4,FALSE),0)</f>
        <v>5.1909139784946223</v>
      </c>
      <c r="M318" s="279"/>
      <c r="N318" s="279"/>
      <c r="O318" s="72"/>
      <c r="P318" s="279"/>
    </row>
    <row r="319" spans="1:16" x14ac:dyDescent="0.25">
      <c r="A319" s="110">
        <f t="shared" si="16"/>
        <v>12</v>
      </c>
      <c r="B319" s="110">
        <f t="shared" si="17"/>
        <v>12</v>
      </c>
      <c r="C319" s="110">
        <f t="shared" si="18"/>
        <v>2020</v>
      </c>
      <c r="D319" s="75">
        <f t="shared" si="19"/>
        <v>44177</v>
      </c>
      <c r="E319" s="284">
        <f>IFERROR(VLOOKUP($D319,Actual_Kirk_HDD!$A$4:$F$471,6,FALSE),0)</f>
        <v>28.806399999999996</v>
      </c>
      <c r="F319" s="284">
        <f>IFERROR(VLOOKUP($A319&amp;$B319,'Staff Ranked NHDD'!$C$8:$F$374,2,FALSE),0)</f>
        <v>27.616182795698922</v>
      </c>
      <c r="H319" s="49"/>
      <c r="J319" s="74">
        <f>IFERROR(VLOOKUP($D319,Actual_CGI_HDD!$A$9:$E$532,5),0)</f>
        <v>15</v>
      </c>
      <c r="K319" s="284">
        <f>IFERROR(VLOOKUP($A319&amp;$B319,'Staff Ranked NHDD'!$C$8:$F$374,4,FALSE),0)</f>
        <v>10.834677419354838</v>
      </c>
      <c r="M319" s="279"/>
      <c r="N319" s="279"/>
      <c r="O319" s="72"/>
      <c r="P319" s="279"/>
    </row>
    <row r="320" spans="1:16" x14ac:dyDescent="0.25">
      <c r="A320" s="110">
        <f t="shared" si="16"/>
        <v>12</v>
      </c>
      <c r="B320" s="110">
        <f t="shared" si="17"/>
        <v>13</v>
      </c>
      <c r="C320" s="110">
        <f t="shared" si="18"/>
        <v>2020</v>
      </c>
      <c r="D320" s="75">
        <f t="shared" si="19"/>
        <v>44178</v>
      </c>
      <c r="E320" s="284">
        <f>IFERROR(VLOOKUP($D320,Actual_Kirk_HDD!$A$4:$F$471,6,FALSE),0)</f>
        <v>34.979199999999999</v>
      </c>
      <c r="F320" s="284">
        <f>IFERROR(VLOOKUP($A320&amp;$B320,'Staff Ranked NHDD'!$C$8:$F$374,2,FALSE),0)</f>
        <v>36.52629032258065</v>
      </c>
      <c r="H320" s="49"/>
      <c r="J320" s="74">
        <f>IFERROR(VLOOKUP($D320,Actual_CGI_HDD!$A$9:$E$532,5),0)</f>
        <v>25</v>
      </c>
      <c r="K320" s="284">
        <f>IFERROR(VLOOKUP($A320&amp;$B320,'Staff Ranked NHDD'!$C$8:$F$374,4,FALSE),0)</f>
        <v>24.97661290322581</v>
      </c>
      <c r="M320" s="279"/>
      <c r="N320" s="279"/>
      <c r="O320" s="72"/>
      <c r="P320" s="279"/>
    </row>
    <row r="321" spans="1:16" x14ac:dyDescent="0.25">
      <c r="A321" s="110">
        <f t="shared" si="16"/>
        <v>12</v>
      </c>
      <c r="B321" s="110">
        <f t="shared" si="17"/>
        <v>14</v>
      </c>
      <c r="C321" s="110">
        <f t="shared" si="18"/>
        <v>2020</v>
      </c>
      <c r="D321" s="75">
        <f t="shared" si="19"/>
        <v>44179</v>
      </c>
      <c r="E321" s="284">
        <f>IFERROR(VLOOKUP($D321,Actual_Kirk_HDD!$A$4:$F$471,6,FALSE),0)</f>
        <v>41.666399999999996</v>
      </c>
      <c r="F321" s="284">
        <f>IFERROR(VLOOKUP($A321&amp;$B321,'Staff Ranked NHDD'!$C$8:$F$374,2,FALSE),0)</f>
        <v>47.620430107526893</v>
      </c>
      <c r="H321" s="49"/>
      <c r="J321" s="74">
        <f>IFERROR(VLOOKUP($D321,Actual_CGI_HDD!$A$9:$E$532,5),0)</f>
        <v>30.5</v>
      </c>
      <c r="K321" s="284">
        <f>IFERROR(VLOOKUP($A321&amp;$B321,'Staff Ranked NHDD'!$C$8:$F$374,4,FALSE),0)</f>
        <v>33.1758064516129</v>
      </c>
      <c r="M321" s="279"/>
      <c r="N321" s="279"/>
      <c r="O321" s="72"/>
      <c r="P321" s="279"/>
    </row>
    <row r="322" spans="1:16" x14ac:dyDescent="0.25">
      <c r="A322" s="110">
        <f t="shared" si="16"/>
        <v>12</v>
      </c>
      <c r="B322" s="110">
        <f t="shared" si="17"/>
        <v>15</v>
      </c>
      <c r="C322" s="110">
        <f t="shared" si="18"/>
        <v>2020</v>
      </c>
      <c r="D322" s="75">
        <f t="shared" si="19"/>
        <v>44180</v>
      </c>
      <c r="E322" s="284">
        <f>IFERROR(VLOOKUP($D322,Actual_Kirk_HDD!$A$4:$F$471,6,FALSE),0)</f>
        <v>41.666399999999996</v>
      </c>
      <c r="F322" s="284">
        <f>IFERROR(VLOOKUP($A322&amp;$B322,'Staff Ranked NHDD'!$C$8:$F$374,2,FALSE),0)</f>
        <v>45.680143369175624</v>
      </c>
      <c r="H322" s="49"/>
      <c r="J322" s="74">
        <f>IFERROR(VLOOKUP($D322,Actual_CGI_HDD!$A$9:$E$532,5),0)</f>
        <v>34</v>
      </c>
      <c r="K322" s="284">
        <f>IFERROR(VLOOKUP($A322&amp;$B322,'Staff Ranked NHDD'!$C$8:$F$374,4,FALSE),0)</f>
        <v>38.47462365591398</v>
      </c>
      <c r="M322" s="279"/>
      <c r="N322" s="279"/>
      <c r="O322" s="72"/>
      <c r="P322" s="279"/>
    </row>
    <row r="323" spans="1:16" x14ac:dyDescent="0.25">
      <c r="A323" s="110">
        <f t="shared" si="16"/>
        <v>12</v>
      </c>
      <c r="B323" s="110">
        <f t="shared" si="17"/>
        <v>16</v>
      </c>
      <c r="C323" s="110">
        <f t="shared" si="18"/>
        <v>2020</v>
      </c>
      <c r="D323" s="75">
        <f t="shared" si="19"/>
        <v>44181</v>
      </c>
      <c r="E323" s="284">
        <f>IFERROR(VLOOKUP($D323,Actual_Kirk_HDD!$A$4:$F$471,6,FALSE),0)</f>
        <v>43.209599999999995</v>
      </c>
      <c r="F323" s="284">
        <f>IFERROR(VLOOKUP($A323&amp;$B323,'Staff Ranked NHDD'!$C$8:$F$374,2,FALSE),0)</f>
        <v>50.106075268817207</v>
      </c>
      <c r="H323" s="49"/>
      <c r="J323" s="74">
        <f>IFERROR(VLOOKUP($D323,Actual_CGI_HDD!$A$9:$E$532,5),0)</f>
        <v>34.5</v>
      </c>
      <c r="K323" s="284">
        <f>IFERROR(VLOOKUP($A323&amp;$B323,'Staff Ranked NHDD'!$C$8:$F$374,4,FALSE),0)</f>
        <v>40.556559139784959</v>
      </c>
      <c r="M323" s="279"/>
      <c r="N323" s="279"/>
      <c r="O323" s="72"/>
      <c r="P323" s="279"/>
    </row>
    <row r="324" spans="1:16" x14ac:dyDescent="0.25">
      <c r="A324" s="110">
        <f t="shared" si="16"/>
        <v>12</v>
      </c>
      <c r="B324" s="110">
        <f t="shared" si="17"/>
        <v>17</v>
      </c>
      <c r="C324" s="110">
        <f t="shared" si="18"/>
        <v>2020</v>
      </c>
      <c r="D324" s="75">
        <f t="shared" si="19"/>
        <v>44182</v>
      </c>
      <c r="E324" s="284">
        <f>IFERROR(VLOOKUP($D324,Actual_Kirk_HDD!$A$4:$F$471,6,FALSE),0)</f>
        <v>41.666399999999996</v>
      </c>
      <c r="F324" s="284">
        <f>IFERROR(VLOOKUP($A324&amp;$B324,'Staff Ranked NHDD'!$C$8:$F$374,2,FALSE),0)</f>
        <v>43.916648745519709</v>
      </c>
      <c r="H324" s="49"/>
      <c r="J324" s="74">
        <f>IFERROR(VLOOKUP($D324,Actual_CGI_HDD!$A$9:$E$532,5),0)</f>
        <v>36.5</v>
      </c>
      <c r="K324" s="284">
        <f>IFERROR(VLOOKUP($A324&amp;$B324,'Staff Ranked NHDD'!$C$8:$F$374,4,FALSE),0)</f>
        <v>42.756236559139779</v>
      </c>
      <c r="M324" s="279"/>
      <c r="N324" s="279"/>
      <c r="O324" s="72"/>
      <c r="P324" s="279"/>
    </row>
    <row r="325" spans="1:16" x14ac:dyDescent="0.25">
      <c r="A325" s="110">
        <f t="shared" si="16"/>
        <v>12</v>
      </c>
      <c r="B325" s="110">
        <f t="shared" si="17"/>
        <v>18</v>
      </c>
      <c r="C325" s="110">
        <f t="shared" si="18"/>
        <v>2020</v>
      </c>
      <c r="D325" s="75">
        <f t="shared" si="19"/>
        <v>44183</v>
      </c>
      <c r="E325" s="284">
        <f>IFERROR(VLOOKUP($D325,Actual_Kirk_HDD!$A$4:$F$471,6,FALSE),0)</f>
        <v>31.378399999999999</v>
      </c>
      <c r="F325" s="284">
        <f>IFERROR(VLOOKUP($A325&amp;$B325,'Staff Ranked NHDD'!$C$8:$F$374,2,FALSE),0)</f>
        <v>31.934193548387089</v>
      </c>
      <c r="H325" s="49"/>
      <c r="J325" s="74">
        <f>IFERROR(VLOOKUP($D325,Actual_CGI_HDD!$A$9:$E$532,5),0)</f>
        <v>29</v>
      </c>
      <c r="K325" s="284">
        <f>IFERROR(VLOOKUP($A325&amp;$B325,'Staff Ranked NHDD'!$C$8:$F$374,4,FALSE),0)</f>
        <v>29.828709677419347</v>
      </c>
      <c r="M325" s="279"/>
      <c r="N325" s="279"/>
      <c r="O325" s="72"/>
      <c r="P325" s="279"/>
    </row>
    <row r="326" spans="1:16" x14ac:dyDescent="0.25">
      <c r="A326" s="110">
        <f t="shared" ref="A326:A369" si="20">MONTH(D326)</f>
        <v>12</v>
      </c>
      <c r="B326" s="110">
        <f t="shared" ref="B326:B369" si="21">+DAY(D326)</f>
        <v>19</v>
      </c>
      <c r="C326" s="110">
        <f t="shared" ref="C326:C369" si="22">YEAR(D326)</f>
        <v>2020</v>
      </c>
      <c r="D326" s="75">
        <f t="shared" ref="D326:D369" si="23">D325+1</f>
        <v>44184</v>
      </c>
      <c r="E326" s="284">
        <f>IFERROR(VLOOKUP($D326,Actual_Kirk_HDD!$A$4:$F$471,6,FALSE),0)</f>
        <v>24.691199999999998</v>
      </c>
      <c r="F326" s="284">
        <f>IFERROR(VLOOKUP($A326&amp;$B326,'Staff Ranked NHDD'!$C$8:$F$374,2,FALSE),0)</f>
        <v>23.029551971326168</v>
      </c>
      <c r="H326" s="49"/>
      <c r="J326" s="74">
        <f>IFERROR(VLOOKUP($D326,Actual_CGI_HDD!$A$9:$E$532,5),0)</f>
        <v>25.5</v>
      </c>
      <c r="K326" s="284">
        <f>IFERROR(VLOOKUP($A326&amp;$B326,'Staff Ranked NHDD'!$C$8:$F$374,4,FALSE),0)</f>
        <v>26.306021505376343</v>
      </c>
      <c r="M326" s="279"/>
      <c r="N326" s="279"/>
      <c r="O326" s="72"/>
      <c r="P326" s="279"/>
    </row>
    <row r="327" spans="1:16" x14ac:dyDescent="0.25">
      <c r="A327" s="110">
        <f t="shared" si="20"/>
        <v>12</v>
      </c>
      <c r="B327" s="110">
        <f t="shared" si="21"/>
        <v>20</v>
      </c>
      <c r="C327" s="110">
        <f t="shared" si="22"/>
        <v>2020</v>
      </c>
      <c r="D327" s="75">
        <f t="shared" si="23"/>
        <v>44185</v>
      </c>
      <c r="E327" s="284">
        <f>IFERROR(VLOOKUP($D327,Actual_Kirk_HDD!$A$4:$F$471,6,FALSE),0)</f>
        <v>36.522399999999998</v>
      </c>
      <c r="F327" s="284">
        <f>IFERROR(VLOOKUP($A327&amp;$B327,'Staff Ranked NHDD'!$C$8:$F$374,2,FALSE),0)</f>
        <v>39.343028673835128</v>
      </c>
      <c r="H327" s="49"/>
      <c r="J327" s="74">
        <f>IFERROR(VLOOKUP($D327,Actual_CGI_HDD!$A$9:$E$532,5),0)</f>
        <v>23</v>
      </c>
      <c r="K327" s="284">
        <f>IFERROR(VLOOKUP($A327&amp;$B327,'Staff Ranked NHDD'!$C$8:$F$374,4,FALSE),0)</f>
        <v>23.139408602150539</v>
      </c>
      <c r="M327" s="279"/>
      <c r="N327" s="279"/>
      <c r="O327" s="72"/>
      <c r="P327" s="279"/>
    </row>
    <row r="328" spans="1:16" x14ac:dyDescent="0.25">
      <c r="A328" s="110">
        <f t="shared" si="20"/>
        <v>12</v>
      </c>
      <c r="B328" s="110">
        <f t="shared" si="21"/>
        <v>21</v>
      </c>
      <c r="C328" s="110">
        <f t="shared" si="22"/>
        <v>2020</v>
      </c>
      <c r="D328" s="75">
        <f t="shared" si="23"/>
        <v>44186</v>
      </c>
      <c r="E328" s="284">
        <f>IFERROR(VLOOKUP($D328,Actual_Kirk_HDD!$A$4:$F$471,6,FALSE),0)</f>
        <v>30.349599999999999</v>
      </c>
      <c r="F328" s="284">
        <f>IFERROR(VLOOKUP($A328&amp;$B328,'Staff Ranked NHDD'!$C$8:$F$374,2,FALSE),0)</f>
        <v>30.176039426523289</v>
      </c>
      <c r="H328" s="49"/>
      <c r="J328" s="74">
        <f>IFERROR(VLOOKUP($D328,Actual_CGI_HDD!$A$9:$E$532,5),0)</f>
        <v>16</v>
      </c>
      <c r="K328" s="284">
        <f>IFERROR(VLOOKUP($A328&amp;$B328,'Staff Ranked NHDD'!$C$8:$F$374,4,FALSE),0)</f>
        <v>14.027419354838708</v>
      </c>
      <c r="M328" s="279"/>
      <c r="N328" s="279"/>
      <c r="O328" s="72"/>
      <c r="P328" s="279"/>
    </row>
    <row r="329" spans="1:16" x14ac:dyDescent="0.25">
      <c r="A329" s="110">
        <f t="shared" si="20"/>
        <v>12</v>
      </c>
      <c r="B329" s="110">
        <f t="shared" si="21"/>
        <v>22</v>
      </c>
      <c r="C329" s="110">
        <f t="shared" si="22"/>
        <v>2020</v>
      </c>
      <c r="D329" s="75">
        <f t="shared" si="23"/>
        <v>44187</v>
      </c>
      <c r="E329" s="284">
        <f>IFERROR(VLOOKUP($D329,Actual_Kirk_HDD!$A$4:$F$471,6,FALSE),0)</f>
        <v>25.205599999999997</v>
      </c>
      <c r="F329" s="284">
        <f>IFERROR(VLOOKUP($A329&amp;$B329,'Staff Ranked NHDD'!$C$8:$F$374,2,FALSE),0)</f>
        <v>24.530483870967746</v>
      </c>
      <c r="H329" s="49"/>
      <c r="J329" s="74">
        <f>IFERROR(VLOOKUP($D329,Actual_CGI_HDD!$A$9:$E$532,5),0)</f>
        <v>23</v>
      </c>
      <c r="K329" s="284">
        <f>IFERROR(VLOOKUP($A329&amp;$B329,'Staff Ranked NHDD'!$C$8:$F$374,4,FALSE),0)</f>
        <v>22.154838709677417</v>
      </c>
      <c r="M329" s="279"/>
      <c r="N329" s="279"/>
      <c r="O329" s="72"/>
      <c r="P329" s="279"/>
    </row>
    <row r="330" spans="1:16" x14ac:dyDescent="0.25">
      <c r="A330" s="110">
        <f t="shared" si="20"/>
        <v>12</v>
      </c>
      <c r="B330" s="110">
        <f t="shared" si="21"/>
        <v>23</v>
      </c>
      <c r="C330" s="110">
        <f t="shared" si="22"/>
        <v>2020</v>
      </c>
      <c r="D330" s="75">
        <f t="shared" si="23"/>
        <v>44188</v>
      </c>
      <c r="E330" s="284">
        <f>IFERROR(VLOOKUP($D330,Actual_Kirk_HDD!$A$4:$F$471,6,FALSE),0)</f>
        <v>23.662399999999998</v>
      </c>
      <c r="F330" s="284">
        <f>IFERROR(VLOOKUP($A330&amp;$B330,'Staff Ranked NHDD'!$C$8:$F$374,2,FALSE),0)</f>
        <v>20.715035842293908</v>
      </c>
      <c r="H330" s="49"/>
      <c r="J330" s="74">
        <f>IFERROR(VLOOKUP($D330,Actual_CGI_HDD!$A$9:$E$532,5),0)</f>
        <v>18.5</v>
      </c>
      <c r="K330" s="284">
        <f>IFERROR(VLOOKUP($A330&amp;$B330,'Staff Ranked NHDD'!$C$8:$F$374,4,FALSE),0)</f>
        <v>18.973225806451616</v>
      </c>
      <c r="M330" s="279"/>
      <c r="N330" s="279"/>
      <c r="O330" s="72"/>
      <c r="P330" s="279"/>
    </row>
    <row r="331" spans="1:16" x14ac:dyDescent="0.25">
      <c r="A331" s="110">
        <f t="shared" si="20"/>
        <v>12</v>
      </c>
      <c r="B331" s="110">
        <f t="shared" si="21"/>
        <v>24</v>
      </c>
      <c r="C331" s="110">
        <f t="shared" si="22"/>
        <v>2020</v>
      </c>
      <c r="D331" s="75">
        <f t="shared" si="23"/>
        <v>44189</v>
      </c>
      <c r="E331" s="284">
        <f>IFERROR(VLOOKUP($D331,Actual_Kirk_HDD!$A$4:$F$471,6,FALSE),0)</f>
        <v>32.921599999999998</v>
      </c>
      <c r="F331" s="284">
        <f>IFERROR(VLOOKUP($A331&amp;$B331,'Staff Ranked NHDD'!$C$8:$F$374,2,FALSE),0)</f>
        <v>33.681792114695341</v>
      </c>
      <c r="H331" s="49"/>
      <c r="J331" s="74">
        <f>IFERROR(VLOOKUP($D331,Actual_CGI_HDD!$A$9:$E$532,5),0)</f>
        <v>39</v>
      </c>
      <c r="K331" s="284">
        <f>IFERROR(VLOOKUP($A331&amp;$B331,'Staff Ranked NHDD'!$C$8:$F$374,4,FALSE),0)</f>
        <v>46.390161290322574</v>
      </c>
      <c r="M331" s="279"/>
      <c r="N331" s="279"/>
      <c r="O331" s="72"/>
      <c r="P331" s="279"/>
    </row>
    <row r="332" spans="1:16" x14ac:dyDescent="0.25">
      <c r="A332" s="110">
        <f t="shared" si="20"/>
        <v>12</v>
      </c>
      <c r="B332" s="110">
        <f t="shared" si="21"/>
        <v>25</v>
      </c>
      <c r="C332" s="110">
        <f t="shared" si="22"/>
        <v>2020</v>
      </c>
      <c r="D332" s="75">
        <f t="shared" si="23"/>
        <v>44190</v>
      </c>
      <c r="E332" s="284">
        <f>IFERROR(VLOOKUP($D332,Actual_Kirk_HDD!$A$4:$F$471,6,FALSE),0)</f>
        <v>53.497599999999998</v>
      </c>
      <c r="F332" s="284">
        <f>IFERROR(VLOOKUP($A332&amp;$B332,'Staff Ranked NHDD'!$C$8:$F$374,2,FALSE),0)</f>
        <v>64.141129032258078</v>
      </c>
      <c r="H332" s="49"/>
      <c r="J332" s="74">
        <f>IFERROR(VLOOKUP($D332,Actual_CGI_HDD!$A$9:$E$532,5),0)</f>
        <v>43.5</v>
      </c>
      <c r="K332" s="284">
        <f>IFERROR(VLOOKUP($A332&amp;$B332,'Staff Ranked NHDD'!$C$8:$F$374,4,FALSE),0)</f>
        <v>54.318172043010755</v>
      </c>
      <c r="M332" s="279"/>
      <c r="N332" s="279"/>
      <c r="O332" s="72"/>
      <c r="P332" s="279"/>
    </row>
    <row r="333" spans="1:16" x14ac:dyDescent="0.25">
      <c r="A333" s="110">
        <f t="shared" si="20"/>
        <v>12</v>
      </c>
      <c r="B333" s="110">
        <f t="shared" si="21"/>
        <v>26</v>
      </c>
      <c r="C333" s="110">
        <f t="shared" si="22"/>
        <v>2020</v>
      </c>
      <c r="D333" s="75">
        <f t="shared" si="23"/>
        <v>44191</v>
      </c>
      <c r="E333" s="284">
        <f>IFERROR(VLOOKUP($D333,Actual_Kirk_HDD!$A$4:$F$471,6,FALSE),0)</f>
        <v>47.839199999999998</v>
      </c>
      <c r="F333" s="284">
        <f>IFERROR(VLOOKUP($A333&amp;$B333,'Staff Ranked NHDD'!$C$8:$F$374,2,FALSE),0)</f>
        <v>56.413440860215061</v>
      </c>
      <c r="H333" s="49"/>
      <c r="J333" s="74">
        <f>IFERROR(VLOOKUP($D333,Actual_CGI_HDD!$A$9:$E$532,5),0)</f>
        <v>31.5</v>
      </c>
      <c r="K333" s="284">
        <f>IFERROR(VLOOKUP($A333&amp;$B333,'Staff Ranked NHDD'!$C$8:$F$374,4,FALSE),0)</f>
        <v>35.625967741935476</v>
      </c>
      <c r="M333" s="279"/>
      <c r="N333" s="279"/>
      <c r="O333" s="72"/>
      <c r="P333" s="279"/>
    </row>
    <row r="334" spans="1:16" x14ac:dyDescent="0.25">
      <c r="A334" s="110">
        <f t="shared" si="20"/>
        <v>12</v>
      </c>
      <c r="B334" s="110">
        <f t="shared" si="21"/>
        <v>27</v>
      </c>
      <c r="C334" s="110">
        <f t="shared" si="22"/>
        <v>2020</v>
      </c>
      <c r="D334" s="75">
        <f t="shared" si="23"/>
        <v>44192</v>
      </c>
      <c r="E334" s="284">
        <f>IFERROR(VLOOKUP($D334,Actual_Kirk_HDD!$A$4:$F$471,6,FALSE),0)</f>
        <v>34.979199999999999</v>
      </c>
      <c r="F334" s="284">
        <f>IFERROR(VLOOKUP($A334&amp;$B334,'Staff Ranked NHDD'!$C$8:$F$374,2,FALSE),0)</f>
        <v>35.81541218637993</v>
      </c>
      <c r="H334" s="49"/>
      <c r="J334" s="74">
        <f>IFERROR(VLOOKUP($D334,Actual_CGI_HDD!$A$9:$E$532,5),0)</f>
        <v>20.5</v>
      </c>
      <c r="K334" s="284">
        <f>IFERROR(VLOOKUP($A334&amp;$B334,'Staff Ranked NHDD'!$C$8:$F$374,4,FALSE),0)</f>
        <v>20.303870967741936</v>
      </c>
      <c r="M334" s="279"/>
      <c r="N334" s="279"/>
      <c r="O334" s="72"/>
      <c r="P334" s="279"/>
    </row>
    <row r="335" spans="1:16" x14ac:dyDescent="0.25">
      <c r="A335" s="110">
        <f t="shared" si="20"/>
        <v>12</v>
      </c>
      <c r="B335" s="110">
        <f t="shared" si="21"/>
        <v>28</v>
      </c>
      <c r="C335" s="110">
        <f t="shared" si="22"/>
        <v>2020</v>
      </c>
      <c r="D335" s="75">
        <f t="shared" si="23"/>
        <v>44193</v>
      </c>
      <c r="E335" s="284">
        <f>IFERROR(VLOOKUP($D335,Actual_Kirk_HDD!$A$4:$F$471,6,FALSE),0)</f>
        <v>31.378399999999999</v>
      </c>
      <c r="F335" s="284">
        <f>IFERROR(VLOOKUP($A335&amp;$B335,'Staff Ranked NHDD'!$C$8:$F$374,2,FALSE),0)</f>
        <v>30.966792114695341</v>
      </c>
      <c r="H335" s="49"/>
      <c r="J335" s="74">
        <f>IFERROR(VLOOKUP($D335,Actual_CGI_HDD!$A$9:$E$532,5),0)</f>
        <v>28.5</v>
      </c>
      <c r="K335" s="284">
        <f>IFERROR(VLOOKUP($A335&amp;$B335,'Staff Ranked NHDD'!$C$8:$F$374,4,FALSE),0)</f>
        <v>29.141451612903225</v>
      </c>
      <c r="M335" s="279"/>
      <c r="N335" s="279"/>
      <c r="O335" s="72"/>
      <c r="P335" s="279"/>
    </row>
    <row r="336" spans="1:16" x14ac:dyDescent="0.25">
      <c r="A336" s="110">
        <f t="shared" si="20"/>
        <v>12</v>
      </c>
      <c r="B336" s="110">
        <f t="shared" si="21"/>
        <v>29</v>
      </c>
      <c r="C336" s="110">
        <f t="shared" si="22"/>
        <v>2020</v>
      </c>
      <c r="D336" s="75">
        <f t="shared" si="23"/>
        <v>44194</v>
      </c>
      <c r="E336" s="284">
        <f>IFERROR(VLOOKUP($D336,Actual_Kirk_HDD!$A$4:$F$471,6,FALSE),0)</f>
        <v>36.522399999999998</v>
      </c>
      <c r="F336" s="284">
        <f>IFERROR(VLOOKUP($A336&amp;$B336,'Staff Ranked NHDD'!$C$8:$F$374,2,FALSE),0)</f>
        <v>38.280358422939067</v>
      </c>
      <c r="H336" s="49"/>
      <c r="J336" s="74">
        <f>IFERROR(VLOOKUP($D336,Actual_CGI_HDD!$A$9:$E$532,5),0)</f>
        <v>29.5</v>
      </c>
      <c r="K336" s="284">
        <f>IFERROR(VLOOKUP($A336&amp;$B336,'Staff Ranked NHDD'!$C$8:$F$374,4,FALSE),0)</f>
        <v>31.192688172043017</v>
      </c>
      <c r="M336" s="279"/>
      <c r="N336" s="279"/>
      <c r="O336" s="72"/>
      <c r="P336" s="279"/>
    </row>
    <row r="337" spans="1:16" x14ac:dyDescent="0.25">
      <c r="A337" s="110">
        <f t="shared" si="20"/>
        <v>12</v>
      </c>
      <c r="B337" s="110">
        <f t="shared" si="21"/>
        <v>30</v>
      </c>
      <c r="C337" s="110">
        <f t="shared" si="22"/>
        <v>2020</v>
      </c>
      <c r="D337" s="75">
        <f t="shared" si="23"/>
        <v>44195</v>
      </c>
      <c r="E337" s="284">
        <f>IFERROR(VLOOKUP($D337,Actual_Kirk_HDD!$A$4:$F$471,6,FALSE),0)</f>
        <v>38.065599999999996</v>
      </c>
      <c r="F337" s="284">
        <f>IFERROR(VLOOKUP($A337&amp;$B337,'Staff Ranked NHDD'!$C$8:$F$374,2,FALSE),0)</f>
        <v>41.072741935483876</v>
      </c>
      <c r="H337" s="49"/>
      <c r="J337" s="74">
        <f>IFERROR(VLOOKUP($D337,Actual_CGI_HDD!$A$9:$E$532,5),0)</f>
        <v>21.5</v>
      </c>
      <c r="K337" s="284">
        <f>IFERROR(VLOOKUP($A337&amp;$B337,'Staff Ranked NHDD'!$C$8:$F$374,4,FALSE),0)</f>
        <v>21.315913978494624</v>
      </c>
      <c r="M337" s="279"/>
      <c r="N337" s="279"/>
      <c r="O337" s="72"/>
      <c r="P337" s="279"/>
    </row>
    <row r="338" spans="1:16" x14ac:dyDescent="0.25">
      <c r="A338" s="110">
        <f t="shared" si="20"/>
        <v>12</v>
      </c>
      <c r="B338" s="110">
        <f t="shared" si="21"/>
        <v>31</v>
      </c>
      <c r="C338" s="110">
        <f t="shared" si="22"/>
        <v>2020</v>
      </c>
      <c r="D338" s="75">
        <f t="shared" si="23"/>
        <v>44196</v>
      </c>
      <c r="E338" s="284">
        <f>IFERROR(VLOOKUP($D338,Actual_Kirk_HDD!$A$4:$F$471,6,FALSE),0)</f>
        <v>43.723999999999997</v>
      </c>
      <c r="F338" s="284">
        <f>IFERROR(VLOOKUP($A338&amp;$B338,'Staff Ranked NHDD'!$C$8:$F$374,2,FALSE),0)</f>
        <v>53.055698924731203</v>
      </c>
      <c r="H338" s="49"/>
      <c r="J338" s="74">
        <f>IFERROR(VLOOKUP($D338,Actual_CGI_HDD!$A$9:$E$532,5),0)</f>
        <v>31.5</v>
      </c>
      <c r="K338" s="284">
        <f>IFERROR(VLOOKUP($A338&amp;$B338,'Staff Ranked NHDD'!$C$8:$F$374,4,FALSE),0)</f>
        <v>34.380053763440863</v>
      </c>
      <c r="M338" s="279"/>
      <c r="N338" s="279"/>
      <c r="O338" s="72"/>
      <c r="P338" s="279"/>
    </row>
    <row r="339" spans="1:16" x14ac:dyDescent="0.25">
      <c r="A339" s="110">
        <f t="shared" si="20"/>
        <v>1</v>
      </c>
      <c r="B339" s="110">
        <f t="shared" si="21"/>
        <v>1</v>
      </c>
      <c r="C339" s="110">
        <f t="shared" si="22"/>
        <v>2021</v>
      </c>
      <c r="D339" s="75">
        <f t="shared" si="23"/>
        <v>44197</v>
      </c>
      <c r="E339" s="284">
        <f>IFERROR(VLOOKUP($D339,Actual_Kirk_HDD!$A$4:$F$471,6,FALSE),0)</f>
        <v>0</v>
      </c>
      <c r="F339" s="284">
        <f>IFERROR(VLOOKUP($A339&amp;$B339,'Staff Ranked NHDD'!$C$8:$F$374,2,FALSE),0)</f>
        <v>51.393243727598566</v>
      </c>
      <c r="H339" s="49"/>
      <c r="J339" s="74">
        <f>IFERROR(VLOOKUP($D339,Actual_CGI_HDD!$A$9:$E$532,5),0)</f>
        <v>0</v>
      </c>
      <c r="K339" s="284">
        <f>IFERROR(VLOOKUP($A339&amp;$B339,'Staff Ranked NHDD'!$C$8:$F$374,4,FALSE),0)</f>
        <v>24.154731182795697</v>
      </c>
      <c r="M339" s="279"/>
      <c r="N339" s="279"/>
      <c r="O339" s="72"/>
      <c r="P339" s="279"/>
    </row>
    <row r="340" spans="1:16" x14ac:dyDescent="0.25">
      <c r="A340" s="110">
        <f t="shared" si="20"/>
        <v>1</v>
      </c>
      <c r="B340" s="110">
        <f t="shared" si="21"/>
        <v>2</v>
      </c>
      <c r="C340" s="110">
        <f t="shared" si="22"/>
        <v>2021</v>
      </c>
      <c r="D340" s="75">
        <f t="shared" si="23"/>
        <v>44198</v>
      </c>
      <c r="E340" s="284">
        <f>IFERROR(VLOOKUP($D340,Actual_Kirk_HDD!$A$4:$F$471,6,FALSE),0)</f>
        <v>0</v>
      </c>
      <c r="F340" s="284">
        <f>IFERROR(VLOOKUP($A340&amp;$B340,'Staff Ranked NHDD'!$C$8:$F$374,2,FALSE),0)</f>
        <v>55.163817204301068</v>
      </c>
      <c r="H340" s="49"/>
      <c r="J340" s="74">
        <f>IFERROR(VLOOKUP($D340,Actual_CGI_HDD!$A$9:$E$532,5),0)</f>
        <v>0</v>
      </c>
      <c r="K340" s="284">
        <f>IFERROR(VLOOKUP($A340&amp;$B340,'Staff Ranked NHDD'!$C$8:$F$374,4,FALSE),0)</f>
        <v>31.395268817204293</v>
      </c>
      <c r="M340" s="279"/>
      <c r="N340" s="279"/>
      <c r="O340" s="72"/>
      <c r="P340" s="279"/>
    </row>
    <row r="341" spans="1:16" x14ac:dyDescent="0.25">
      <c r="A341" s="110">
        <f t="shared" si="20"/>
        <v>1</v>
      </c>
      <c r="B341" s="110">
        <f t="shared" si="21"/>
        <v>3</v>
      </c>
      <c r="C341" s="110">
        <f t="shared" si="22"/>
        <v>2021</v>
      </c>
      <c r="D341" s="75">
        <f t="shared" si="23"/>
        <v>44199</v>
      </c>
      <c r="E341" s="284">
        <f>IFERROR(VLOOKUP($D341,Actual_Kirk_HDD!$A$4:$F$471,6,FALSE),0)</f>
        <v>0</v>
      </c>
      <c r="F341" s="284">
        <f>IFERROR(VLOOKUP($A341&amp;$B341,'Staff Ranked NHDD'!$C$8:$F$374,2,FALSE),0)</f>
        <v>57.487974910394264</v>
      </c>
      <c r="H341" s="49"/>
      <c r="J341" s="74">
        <f>IFERROR(VLOOKUP($D341,Actual_CGI_HDD!$A$9:$E$532,5),0)</f>
        <v>0</v>
      </c>
      <c r="K341" s="284">
        <f>IFERROR(VLOOKUP($A341&amp;$B341,'Staff Ranked NHDD'!$C$8:$F$374,4,FALSE),0)</f>
        <v>36.378172043010757</v>
      </c>
      <c r="M341" s="279"/>
      <c r="N341" s="279"/>
      <c r="O341" s="72"/>
      <c r="P341" s="279"/>
    </row>
    <row r="342" spans="1:16" x14ac:dyDescent="0.25">
      <c r="A342" s="110">
        <f t="shared" si="20"/>
        <v>1</v>
      </c>
      <c r="B342" s="110">
        <f t="shared" si="21"/>
        <v>4</v>
      </c>
      <c r="C342" s="110">
        <f t="shared" si="22"/>
        <v>2021</v>
      </c>
      <c r="D342" s="75">
        <f t="shared" si="23"/>
        <v>44200</v>
      </c>
      <c r="E342" s="284">
        <f>IFERROR(VLOOKUP($D342,Actual_Kirk_HDD!$A$4:$F$471,6,FALSE),0)</f>
        <v>0</v>
      </c>
      <c r="F342" s="284">
        <f>IFERROR(VLOOKUP($A342&amp;$B342,'Staff Ranked NHDD'!$C$8:$F$374,2,FALSE),0)</f>
        <v>48.045860215053757</v>
      </c>
      <c r="H342" s="49"/>
      <c r="J342" s="74">
        <f>IFERROR(VLOOKUP($D342,Actual_CGI_HDD!$A$9:$E$532,5),0)</f>
        <v>0</v>
      </c>
      <c r="K342" s="284">
        <f>IFERROR(VLOOKUP($A342&amp;$B342,'Staff Ranked NHDD'!$C$8:$F$374,4,FALSE),0)</f>
        <v>28.452043010752689</v>
      </c>
      <c r="M342" s="279"/>
      <c r="N342" s="279"/>
      <c r="O342" s="72"/>
      <c r="P342" s="279"/>
    </row>
    <row r="343" spans="1:16" x14ac:dyDescent="0.25">
      <c r="A343" s="110">
        <f t="shared" si="20"/>
        <v>1</v>
      </c>
      <c r="B343" s="110">
        <f t="shared" si="21"/>
        <v>5</v>
      </c>
      <c r="C343" s="110">
        <f t="shared" si="22"/>
        <v>2021</v>
      </c>
      <c r="D343" s="75">
        <f t="shared" si="23"/>
        <v>44201</v>
      </c>
      <c r="E343" s="284">
        <f>IFERROR(VLOOKUP($D343,Actual_Kirk_HDD!$A$4:$F$471,6,FALSE),0)</f>
        <v>0</v>
      </c>
      <c r="F343" s="284">
        <f>IFERROR(VLOOKUP($A343&amp;$B343,'Staff Ranked NHDD'!$C$8:$F$374,2,FALSE),0)</f>
        <v>43.232365591397851</v>
      </c>
      <c r="H343" s="49"/>
      <c r="J343" s="74">
        <f>IFERROR(VLOOKUP($D343,Actual_CGI_HDD!$A$9:$E$532,5),0)</f>
        <v>0</v>
      </c>
      <c r="K343" s="284">
        <f>IFERROR(VLOOKUP($A343&amp;$B343,'Staff Ranked NHDD'!$C$8:$F$374,4,FALSE),0)</f>
        <v>26.018279569892471</v>
      </c>
      <c r="M343" s="279"/>
      <c r="N343" s="279"/>
      <c r="O343" s="72"/>
      <c r="P343" s="279"/>
    </row>
    <row r="344" spans="1:16" x14ac:dyDescent="0.25">
      <c r="A344" s="110">
        <f t="shared" si="20"/>
        <v>1</v>
      </c>
      <c r="B344" s="110">
        <f t="shared" si="21"/>
        <v>6</v>
      </c>
      <c r="C344" s="110">
        <f t="shared" si="22"/>
        <v>2021</v>
      </c>
      <c r="D344" s="75">
        <f t="shared" si="23"/>
        <v>44202</v>
      </c>
      <c r="E344" s="284">
        <f>IFERROR(VLOOKUP($D344,Actual_Kirk_HDD!$A$4:$F$471,6,FALSE),0)</f>
        <v>0</v>
      </c>
      <c r="F344" s="284">
        <f>IFERROR(VLOOKUP($A344&amp;$B344,'Staff Ranked NHDD'!$C$8:$F$374,2,FALSE),0)</f>
        <v>33.842401433691748</v>
      </c>
      <c r="H344" s="49"/>
      <c r="J344" s="74">
        <f>IFERROR(VLOOKUP($D344,Actual_CGI_HDD!$A$9:$E$532,5),0)</f>
        <v>0</v>
      </c>
      <c r="K344" s="284">
        <f>IFERROR(VLOOKUP($A344&amp;$B344,'Staff Ranked NHDD'!$C$8:$F$374,4,FALSE),0)</f>
        <v>27.773387096774194</v>
      </c>
      <c r="M344" s="279"/>
      <c r="N344" s="279"/>
      <c r="O344" s="72"/>
      <c r="P344" s="279"/>
    </row>
    <row r="345" spans="1:16" x14ac:dyDescent="0.25">
      <c r="A345" s="110">
        <f t="shared" si="20"/>
        <v>1</v>
      </c>
      <c r="B345" s="110">
        <f t="shared" si="21"/>
        <v>7</v>
      </c>
      <c r="C345" s="110">
        <f t="shared" si="22"/>
        <v>2021</v>
      </c>
      <c r="D345" s="75">
        <f t="shared" si="23"/>
        <v>44203</v>
      </c>
      <c r="E345" s="284">
        <f>IFERROR(VLOOKUP($D345,Actual_Kirk_HDD!$A$4:$F$471,6,FALSE),0)</f>
        <v>0</v>
      </c>
      <c r="F345" s="284">
        <f>IFERROR(VLOOKUP($A345&amp;$B345,'Staff Ranked NHDD'!$C$8:$F$374,2,FALSE),0)</f>
        <v>28.297043010752681</v>
      </c>
      <c r="H345" s="49"/>
      <c r="J345" s="74">
        <f>IFERROR(VLOOKUP($D345,Actual_CGI_HDD!$A$9:$E$532,5),0)</f>
        <v>0</v>
      </c>
      <c r="K345" s="284">
        <f>IFERROR(VLOOKUP($A345&amp;$B345,'Staff Ranked NHDD'!$C$8:$F$374,4,FALSE),0)</f>
        <v>32.989086021505372</v>
      </c>
      <c r="M345" s="279"/>
      <c r="N345" s="279"/>
      <c r="O345" s="72"/>
      <c r="P345" s="279"/>
    </row>
    <row r="346" spans="1:16" x14ac:dyDescent="0.25">
      <c r="A346" s="110">
        <f t="shared" si="20"/>
        <v>1</v>
      </c>
      <c r="B346" s="110">
        <f t="shared" si="21"/>
        <v>8</v>
      </c>
      <c r="C346" s="110">
        <f t="shared" si="22"/>
        <v>2021</v>
      </c>
      <c r="D346" s="75">
        <f t="shared" si="23"/>
        <v>44204</v>
      </c>
      <c r="E346" s="284">
        <f>IFERROR(VLOOKUP($D346,Actual_Kirk_HDD!$A$4:$F$471,6,FALSE),0)</f>
        <v>0</v>
      </c>
      <c r="F346" s="284">
        <f>IFERROR(VLOOKUP($A346&amp;$B346,'Staff Ranked NHDD'!$C$8:$F$374,2,FALSE),0)</f>
        <v>37.535376344086018</v>
      </c>
      <c r="H346" s="49"/>
      <c r="J346" s="74">
        <f>IFERROR(VLOOKUP($D346,Actual_CGI_HDD!$A$9:$E$532,5),0)</f>
        <v>0</v>
      </c>
      <c r="K346" s="284">
        <f>IFERROR(VLOOKUP($A346&amp;$B346,'Staff Ranked NHDD'!$C$8:$F$374,4,FALSE),0)</f>
        <v>35.329139784946236</v>
      </c>
      <c r="M346" s="279"/>
      <c r="N346" s="279"/>
      <c r="O346" s="72"/>
      <c r="P346" s="279"/>
    </row>
    <row r="347" spans="1:16" x14ac:dyDescent="0.25">
      <c r="A347" s="110">
        <f t="shared" si="20"/>
        <v>1</v>
      </c>
      <c r="B347" s="110">
        <f t="shared" si="21"/>
        <v>9</v>
      </c>
      <c r="C347" s="110">
        <f t="shared" si="22"/>
        <v>2021</v>
      </c>
      <c r="D347" s="75">
        <f t="shared" si="23"/>
        <v>44205</v>
      </c>
      <c r="E347" s="284">
        <f>IFERROR(VLOOKUP($D347,Actual_Kirk_HDD!$A$4:$F$471,6,FALSE),0)</f>
        <v>0</v>
      </c>
      <c r="F347" s="284">
        <f>IFERROR(VLOOKUP($A347&amp;$B347,'Staff Ranked NHDD'!$C$8:$F$374,2,FALSE),0)</f>
        <v>36.481272401433678</v>
      </c>
      <c r="H347" s="49"/>
      <c r="J347" s="74">
        <f>IFERROR(VLOOKUP($D347,Actual_CGI_HDD!$A$9:$E$532,5),0)</f>
        <v>0</v>
      </c>
      <c r="K347" s="284">
        <f>IFERROR(VLOOKUP($A347&amp;$B347,'Staff Ranked NHDD'!$C$8:$F$374,4,FALSE),0)</f>
        <v>37.539139784946244</v>
      </c>
      <c r="M347" s="279"/>
      <c r="N347" s="279"/>
      <c r="O347" s="72"/>
      <c r="P347" s="279"/>
    </row>
    <row r="348" spans="1:16" x14ac:dyDescent="0.25">
      <c r="A348" s="110">
        <f t="shared" si="20"/>
        <v>1</v>
      </c>
      <c r="B348" s="110">
        <f t="shared" si="21"/>
        <v>10</v>
      </c>
      <c r="C348" s="110">
        <f t="shared" si="22"/>
        <v>2021</v>
      </c>
      <c r="D348" s="75">
        <f t="shared" si="23"/>
        <v>44206</v>
      </c>
      <c r="E348" s="284">
        <f>IFERROR(VLOOKUP($D348,Actual_Kirk_HDD!$A$4:$F$471,6,FALSE),0)</f>
        <v>0</v>
      </c>
      <c r="F348" s="284">
        <f>IFERROR(VLOOKUP($A348&amp;$B348,'Staff Ranked NHDD'!$C$8:$F$374,2,FALSE),0)</f>
        <v>39.602455197132606</v>
      </c>
      <c r="H348" s="49"/>
      <c r="J348" s="74">
        <f>IFERROR(VLOOKUP($D348,Actual_CGI_HDD!$A$9:$E$532,5),0)</f>
        <v>0</v>
      </c>
      <c r="K348" s="284">
        <f>IFERROR(VLOOKUP($A348&amp;$B348,'Staff Ranked NHDD'!$C$8:$F$374,4,FALSE),0)</f>
        <v>46.065430107526893</v>
      </c>
      <c r="M348" s="279"/>
      <c r="N348" s="279"/>
      <c r="O348" s="72"/>
      <c r="P348" s="279"/>
    </row>
    <row r="349" spans="1:16" x14ac:dyDescent="0.25">
      <c r="A349" s="110">
        <f t="shared" si="20"/>
        <v>1</v>
      </c>
      <c r="B349" s="110">
        <f t="shared" si="21"/>
        <v>11</v>
      </c>
      <c r="C349" s="110">
        <f t="shared" si="22"/>
        <v>2021</v>
      </c>
      <c r="D349" s="75">
        <f t="shared" si="23"/>
        <v>44207</v>
      </c>
      <c r="E349" s="284">
        <f>IFERROR(VLOOKUP($D349,Actual_Kirk_HDD!$A$4:$F$471,6,FALSE),0)</f>
        <v>0</v>
      </c>
      <c r="F349" s="284">
        <f>IFERROR(VLOOKUP($A349&amp;$B349,'Staff Ranked NHDD'!$C$8:$F$374,2,FALSE),0)</f>
        <v>46.415931899641571</v>
      </c>
      <c r="H349" s="49"/>
      <c r="J349" s="74">
        <f>IFERROR(VLOOKUP($D349,Actual_CGI_HDD!$A$9:$E$532,5),0)</f>
        <v>0</v>
      </c>
      <c r="K349" s="284">
        <f>IFERROR(VLOOKUP($A349&amp;$B349,'Staff Ranked NHDD'!$C$8:$F$374,4,FALSE),0)</f>
        <v>55.906344086021498</v>
      </c>
      <c r="M349" s="279"/>
      <c r="N349" s="279"/>
      <c r="O349" s="72"/>
      <c r="P349" s="279"/>
    </row>
    <row r="350" spans="1:16" x14ac:dyDescent="0.25">
      <c r="A350" s="110">
        <f t="shared" si="20"/>
        <v>1</v>
      </c>
      <c r="B350" s="110">
        <f t="shared" si="21"/>
        <v>12</v>
      </c>
      <c r="C350" s="110">
        <f t="shared" si="22"/>
        <v>2021</v>
      </c>
      <c r="D350" s="75">
        <f t="shared" si="23"/>
        <v>44208</v>
      </c>
      <c r="E350" s="284">
        <f>IFERROR(VLOOKUP($D350,Actual_Kirk_HDD!$A$4:$F$471,6,FALSE),0)</f>
        <v>0</v>
      </c>
      <c r="F350" s="284">
        <f>IFERROR(VLOOKUP($A350&amp;$B350,'Staff Ranked NHDD'!$C$8:$F$374,2,FALSE),0)</f>
        <v>32.111827956989238</v>
      </c>
      <c r="H350" s="49"/>
      <c r="J350" s="74">
        <f>IFERROR(VLOOKUP($D350,Actual_CGI_HDD!$A$9:$E$532,5),0)</f>
        <v>0</v>
      </c>
      <c r="K350" s="284">
        <f>IFERROR(VLOOKUP($A350&amp;$B350,'Staff Ranked NHDD'!$C$8:$F$374,4,FALSE),0)</f>
        <v>43.95225806451613</v>
      </c>
      <c r="M350" s="279"/>
      <c r="N350" s="279"/>
      <c r="O350" s="72"/>
      <c r="P350" s="279"/>
    </row>
    <row r="351" spans="1:16" x14ac:dyDescent="0.25">
      <c r="A351" s="110">
        <f t="shared" si="20"/>
        <v>1</v>
      </c>
      <c r="B351" s="110">
        <f t="shared" si="21"/>
        <v>13</v>
      </c>
      <c r="C351" s="110">
        <f t="shared" si="22"/>
        <v>2021</v>
      </c>
      <c r="D351" s="75">
        <f t="shared" si="23"/>
        <v>44209</v>
      </c>
      <c r="E351" s="284">
        <f>IFERROR(VLOOKUP($D351,Actual_Kirk_HDD!$A$4:$F$471,6,FALSE),0)</f>
        <v>0</v>
      </c>
      <c r="F351" s="284">
        <f>IFERROR(VLOOKUP($A351&amp;$B351,'Staff Ranked NHDD'!$C$8:$F$374,2,FALSE),0)</f>
        <v>21.201881720430098</v>
      </c>
      <c r="H351" s="49"/>
      <c r="J351" s="74">
        <f>IFERROR(VLOOKUP($D351,Actual_CGI_HDD!$A$9:$E$532,5),0)</f>
        <v>0</v>
      </c>
      <c r="K351" s="284">
        <f>IFERROR(VLOOKUP($A351&amp;$B351,'Staff Ranked NHDD'!$C$8:$F$374,4,FALSE),0)</f>
        <v>33.682956989247309</v>
      </c>
      <c r="M351" s="279"/>
      <c r="N351" s="279"/>
      <c r="O351" s="72"/>
      <c r="P351" s="279"/>
    </row>
    <row r="352" spans="1:16" x14ac:dyDescent="0.25">
      <c r="A352" s="110">
        <f t="shared" si="20"/>
        <v>1</v>
      </c>
      <c r="B352" s="110">
        <f t="shared" si="21"/>
        <v>14</v>
      </c>
      <c r="C352" s="110">
        <f t="shared" si="22"/>
        <v>2021</v>
      </c>
      <c r="D352" s="75">
        <f t="shared" si="23"/>
        <v>44210</v>
      </c>
      <c r="E352" s="284">
        <f>IFERROR(VLOOKUP($D352,Actual_Kirk_HDD!$A$4:$F$471,6,FALSE),0)</f>
        <v>0</v>
      </c>
      <c r="F352" s="284">
        <f>IFERROR(VLOOKUP($A352&amp;$B352,'Staff Ranked NHDD'!$C$8:$F$374,2,FALSE),0)</f>
        <v>15.503064516129026</v>
      </c>
      <c r="H352" s="49"/>
      <c r="J352" s="74">
        <f>IFERROR(VLOOKUP($D352,Actual_CGI_HDD!$A$9:$E$532,5),0)</f>
        <v>0</v>
      </c>
      <c r="K352" s="284">
        <f>IFERROR(VLOOKUP($A352&amp;$B352,'Staff Ranked NHDD'!$C$8:$F$374,4,FALSE),0)</f>
        <v>16.200913978494626</v>
      </c>
      <c r="M352" s="279"/>
      <c r="N352" s="279"/>
      <c r="O352" s="72"/>
      <c r="P352" s="279"/>
    </row>
    <row r="353" spans="1:16" x14ac:dyDescent="0.25">
      <c r="A353" s="110">
        <f t="shared" si="20"/>
        <v>1</v>
      </c>
      <c r="B353" s="110">
        <f t="shared" si="21"/>
        <v>15</v>
      </c>
      <c r="C353" s="110">
        <f t="shared" si="22"/>
        <v>2021</v>
      </c>
      <c r="D353" s="75">
        <f t="shared" si="23"/>
        <v>44211</v>
      </c>
      <c r="E353" s="284">
        <f>IFERROR(VLOOKUP($D353,Actual_Kirk_HDD!$A$4:$F$471,6,FALSE),0)</f>
        <v>0</v>
      </c>
      <c r="F353" s="284">
        <f>IFERROR(VLOOKUP($A353&amp;$B353,'Staff Ranked NHDD'!$C$8:$F$374,2,FALSE),0)</f>
        <v>29.395394265232973</v>
      </c>
      <c r="H353" s="49"/>
      <c r="J353" s="74">
        <f>IFERROR(VLOOKUP($D353,Actual_CGI_HDD!$A$9:$E$532,5),0)</f>
        <v>0</v>
      </c>
      <c r="K353" s="284">
        <f>IFERROR(VLOOKUP($A353&amp;$B353,'Staff Ranked NHDD'!$C$8:$F$374,4,FALSE),0)</f>
        <v>30.823225806451614</v>
      </c>
      <c r="M353" s="279"/>
      <c r="N353" s="279"/>
      <c r="O353" s="72"/>
      <c r="P353" s="279"/>
    </row>
    <row r="354" spans="1:16" x14ac:dyDescent="0.25">
      <c r="A354" s="110">
        <f t="shared" si="20"/>
        <v>1</v>
      </c>
      <c r="B354" s="110">
        <f t="shared" si="21"/>
        <v>16</v>
      </c>
      <c r="C354" s="110">
        <f t="shared" si="22"/>
        <v>2021</v>
      </c>
      <c r="D354" s="75">
        <f t="shared" si="23"/>
        <v>44212</v>
      </c>
      <c r="E354" s="284">
        <f>IFERROR(VLOOKUP($D354,Actual_Kirk_HDD!$A$4:$F$471,6,FALSE),0)</f>
        <v>0</v>
      </c>
      <c r="F354" s="284">
        <f>IFERROR(VLOOKUP($A354&amp;$B354,'Staff Ranked NHDD'!$C$8:$F$374,2,FALSE),0)</f>
        <v>32.992311827956982</v>
      </c>
      <c r="H354" s="49"/>
      <c r="J354" s="74">
        <f>IFERROR(VLOOKUP($D354,Actual_CGI_HDD!$A$9:$E$532,5),0)</f>
        <v>0</v>
      </c>
      <c r="K354" s="284">
        <f>IFERROR(VLOOKUP($A354&amp;$B354,'Staff Ranked NHDD'!$C$8:$F$374,4,FALSE),0)</f>
        <v>30.130483870967748</v>
      </c>
      <c r="M354" s="279"/>
      <c r="N354" s="279"/>
      <c r="O354" s="72"/>
      <c r="P354" s="279"/>
    </row>
    <row r="355" spans="1:16" x14ac:dyDescent="0.25">
      <c r="A355" s="110">
        <f t="shared" si="20"/>
        <v>1</v>
      </c>
      <c r="B355" s="110">
        <f t="shared" si="21"/>
        <v>17</v>
      </c>
      <c r="C355" s="110">
        <f t="shared" si="22"/>
        <v>2021</v>
      </c>
      <c r="D355" s="75">
        <f t="shared" si="23"/>
        <v>44213</v>
      </c>
      <c r="E355" s="284">
        <f>IFERROR(VLOOKUP($D355,Actual_Kirk_HDD!$A$4:$F$471,6,FALSE),0)</f>
        <v>0</v>
      </c>
      <c r="F355" s="284">
        <f>IFERROR(VLOOKUP($A355&amp;$B355,'Staff Ranked NHDD'!$C$8:$F$374,2,FALSE),0)</f>
        <v>42.183512544802859</v>
      </c>
      <c r="H355" s="49"/>
      <c r="J355" s="74">
        <f>IFERROR(VLOOKUP($D355,Actual_CGI_HDD!$A$9:$E$532,5),0)</f>
        <v>0</v>
      </c>
      <c r="K355" s="284">
        <f>IFERROR(VLOOKUP($A355&amp;$B355,'Staff Ranked NHDD'!$C$8:$F$374,4,FALSE),0)</f>
        <v>26.843870967741932</v>
      </c>
      <c r="M355" s="279"/>
      <c r="N355" s="279"/>
      <c r="O355" s="72"/>
      <c r="P355" s="279"/>
    </row>
    <row r="356" spans="1:16" x14ac:dyDescent="0.25">
      <c r="A356" s="110">
        <f t="shared" si="20"/>
        <v>1</v>
      </c>
      <c r="B356" s="110">
        <f t="shared" si="21"/>
        <v>18</v>
      </c>
      <c r="C356" s="110">
        <f t="shared" si="22"/>
        <v>2021</v>
      </c>
      <c r="D356" s="75">
        <f t="shared" si="23"/>
        <v>44214</v>
      </c>
      <c r="E356" s="284">
        <f>IFERROR(VLOOKUP($D356,Actual_Kirk_HDD!$A$4:$F$471,6,FALSE),0)</f>
        <v>0</v>
      </c>
      <c r="F356" s="284">
        <f>IFERROR(VLOOKUP($A356&amp;$B356,'Staff Ranked NHDD'!$C$8:$F$374,2,FALSE),0)</f>
        <v>38.514211469534047</v>
      </c>
      <c r="H356" s="49"/>
      <c r="J356" s="74">
        <f>IFERROR(VLOOKUP($D356,Actual_CGI_HDD!$A$9:$E$532,5),0)</f>
        <v>0</v>
      </c>
      <c r="K356" s="284">
        <f>IFERROR(VLOOKUP($A356&amp;$B356,'Staff Ranked NHDD'!$C$8:$F$374,4,FALSE),0)</f>
        <v>29.225000000000005</v>
      </c>
      <c r="M356" s="279"/>
      <c r="N356" s="279"/>
      <c r="O356" s="72"/>
      <c r="P356" s="279"/>
    </row>
    <row r="357" spans="1:16" x14ac:dyDescent="0.25">
      <c r="A357" s="110">
        <f t="shared" si="20"/>
        <v>1</v>
      </c>
      <c r="B357" s="110">
        <f t="shared" si="21"/>
        <v>19</v>
      </c>
      <c r="C357" s="110">
        <f t="shared" si="22"/>
        <v>2021</v>
      </c>
      <c r="D357" s="75">
        <f t="shared" si="23"/>
        <v>44215</v>
      </c>
      <c r="E357" s="284">
        <f>IFERROR(VLOOKUP($D357,Actual_Kirk_HDD!$A$4:$F$471,6,FALSE),0)</f>
        <v>0</v>
      </c>
      <c r="F357" s="284">
        <f>IFERROR(VLOOKUP($A357&amp;$B357,'Staff Ranked NHDD'!$C$8:$F$374,2,FALSE),0)</f>
        <v>40.864462365591393</v>
      </c>
      <c r="H357" s="49"/>
      <c r="J357" s="74">
        <f>IFERROR(VLOOKUP($D357,Actual_CGI_HDD!$A$9:$E$532,5),0)</f>
        <v>0</v>
      </c>
      <c r="K357" s="284">
        <f>IFERROR(VLOOKUP($A357&amp;$B357,'Staff Ranked NHDD'!$C$8:$F$374,4,FALSE),0)</f>
        <v>25.056505376344091</v>
      </c>
      <c r="M357" s="279"/>
      <c r="N357" s="279"/>
      <c r="O357" s="72"/>
      <c r="P357" s="279"/>
    </row>
    <row r="358" spans="1:16" x14ac:dyDescent="0.25">
      <c r="A358" s="110">
        <f t="shared" si="20"/>
        <v>1</v>
      </c>
      <c r="B358" s="110">
        <f t="shared" si="21"/>
        <v>20</v>
      </c>
      <c r="C358" s="110">
        <f t="shared" si="22"/>
        <v>2021</v>
      </c>
      <c r="D358" s="75">
        <f t="shared" si="23"/>
        <v>44216</v>
      </c>
      <c r="E358" s="284">
        <f>IFERROR(VLOOKUP($D358,Actual_Kirk_HDD!$A$4:$F$471,6,FALSE),0)</f>
        <v>0</v>
      </c>
      <c r="F358" s="284">
        <f>IFERROR(VLOOKUP($A358&amp;$B358,'Staff Ranked NHDD'!$C$8:$F$374,2,FALSE),0)</f>
        <v>35.555268817204293</v>
      </c>
      <c r="H358" s="49"/>
      <c r="J358" s="74">
        <f>IFERROR(VLOOKUP($D358,Actual_CGI_HDD!$A$9:$E$532,5),0)</f>
        <v>0</v>
      </c>
      <c r="K358" s="284">
        <f>IFERROR(VLOOKUP($A358&amp;$B358,'Staff Ranked NHDD'!$C$8:$F$374,4,FALSE),0)</f>
        <v>34.53623655913978</v>
      </c>
      <c r="M358" s="279"/>
      <c r="N358" s="279"/>
      <c r="O358" s="72"/>
      <c r="P358" s="279"/>
    </row>
    <row r="359" spans="1:16" x14ac:dyDescent="0.25">
      <c r="A359" s="110">
        <f t="shared" si="20"/>
        <v>1</v>
      </c>
      <c r="B359" s="110">
        <f t="shared" si="21"/>
        <v>21</v>
      </c>
      <c r="C359" s="110">
        <f t="shared" si="22"/>
        <v>2021</v>
      </c>
      <c r="D359" s="75">
        <f t="shared" si="23"/>
        <v>44217</v>
      </c>
      <c r="E359" s="284">
        <f>IFERROR(VLOOKUP($D359,Actual_Kirk_HDD!$A$4:$F$471,6,FALSE),0)</f>
        <v>0</v>
      </c>
      <c r="F359" s="284">
        <f>IFERROR(VLOOKUP($A359&amp;$B359,'Staff Ranked NHDD'!$C$8:$F$374,2,FALSE),0)</f>
        <v>27.088584229390676</v>
      </c>
      <c r="H359" s="49"/>
      <c r="J359" s="74">
        <f>IFERROR(VLOOKUP($D359,Actual_CGI_HDD!$A$9:$E$532,5),0)</f>
        <v>0</v>
      </c>
      <c r="K359" s="284">
        <f>IFERROR(VLOOKUP($A359&amp;$B359,'Staff Ranked NHDD'!$C$8:$F$374,4,FALSE),0)</f>
        <v>21.907741935483877</v>
      </c>
      <c r="M359" s="279"/>
      <c r="N359" s="279"/>
      <c r="O359" s="72"/>
      <c r="P359" s="279"/>
    </row>
    <row r="360" spans="1:16" x14ac:dyDescent="0.25">
      <c r="A360" s="110">
        <f t="shared" si="20"/>
        <v>1</v>
      </c>
      <c r="B360" s="110">
        <f t="shared" si="21"/>
        <v>22</v>
      </c>
      <c r="C360" s="110">
        <f t="shared" si="22"/>
        <v>2021</v>
      </c>
      <c r="D360" s="75">
        <f t="shared" si="23"/>
        <v>44218</v>
      </c>
      <c r="E360" s="284">
        <f>IFERROR(VLOOKUP($D360,Actual_Kirk_HDD!$A$4:$F$471,6,FALSE),0)</f>
        <v>0</v>
      </c>
      <c r="F360" s="284">
        <f>IFERROR(VLOOKUP($A360&amp;$B360,'Staff Ranked NHDD'!$C$8:$F$374,2,FALSE),0)</f>
        <v>23.563172043010745</v>
      </c>
      <c r="H360" s="49"/>
      <c r="J360" s="74">
        <f>IFERROR(VLOOKUP($D360,Actual_CGI_HDD!$A$9:$E$532,5),0)</f>
        <v>0</v>
      </c>
      <c r="K360" s="284">
        <f>IFERROR(VLOOKUP($A360&amp;$B360,'Staff Ranked NHDD'!$C$8:$F$374,4,FALSE),0)</f>
        <v>32.192580645161293</v>
      </c>
      <c r="M360" s="279"/>
      <c r="N360" s="279"/>
      <c r="O360" s="72"/>
      <c r="P360" s="279"/>
    </row>
    <row r="361" spans="1:16" x14ac:dyDescent="0.25">
      <c r="A361" s="110">
        <f t="shared" si="20"/>
        <v>1</v>
      </c>
      <c r="B361" s="110">
        <f t="shared" si="21"/>
        <v>23</v>
      </c>
      <c r="C361" s="110">
        <f t="shared" si="22"/>
        <v>2021</v>
      </c>
      <c r="D361" s="75">
        <f t="shared" si="23"/>
        <v>44219</v>
      </c>
      <c r="E361" s="284">
        <f>IFERROR(VLOOKUP($D361,Actual_Kirk_HDD!$A$4:$F$471,6,FALSE),0)</f>
        <v>0</v>
      </c>
      <c r="F361" s="284">
        <f>IFERROR(VLOOKUP($A361&amp;$B361,'Staff Ranked NHDD'!$C$8:$F$374,2,FALSE),0)</f>
        <v>49.684964157706091</v>
      </c>
      <c r="H361" s="49"/>
      <c r="J361" s="74">
        <f>IFERROR(VLOOKUP($D361,Actual_CGI_HDD!$A$9:$E$532,5),0)</f>
        <v>0</v>
      </c>
      <c r="K361" s="284">
        <f>IFERROR(VLOOKUP($A361&amp;$B361,'Staff Ranked NHDD'!$C$8:$F$374,4,FALSE),0)</f>
        <v>40.360698924731182</v>
      </c>
      <c r="M361" s="279"/>
      <c r="N361" s="279"/>
      <c r="O361" s="72"/>
      <c r="P361" s="279"/>
    </row>
    <row r="362" spans="1:16" x14ac:dyDescent="0.25">
      <c r="A362" s="110">
        <f t="shared" si="20"/>
        <v>1</v>
      </c>
      <c r="B362" s="110">
        <f t="shared" si="21"/>
        <v>24</v>
      </c>
      <c r="C362" s="110">
        <f t="shared" si="22"/>
        <v>2021</v>
      </c>
      <c r="D362" s="75">
        <f t="shared" si="23"/>
        <v>44220</v>
      </c>
      <c r="E362" s="284">
        <f>IFERROR(VLOOKUP($D362,Actual_Kirk_HDD!$A$4:$F$471,6,FALSE),0)</f>
        <v>0</v>
      </c>
      <c r="F362" s="284">
        <f>IFERROR(VLOOKUP($A362&amp;$B362,'Staff Ranked NHDD'!$C$8:$F$374,2,FALSE),0)</f>
        <v>45.240573476702501</v>
      </c>
      <c r="H362" s="49"/>
      <c r="J362" s="74">
        <f>IFERROR(VLOOKUP($D362,Actual_CGI_HDD!$A$9:$E$532,5),0)</f>
        <v>0</v>
      </c>
      <c r="K362" s="284">
        <f>IFERROR(VLOOKUP($A362&amp;$B362,'Staff Ranked NHDD'!$C$8:$F$374,4,FALSE),0)</f>
        <v>23.068602150537636</v>
      </c>
      <c r="M362" s="279"/>
      <c r="N362" s="279"/>
      <c r="O362" s="72"/>
      <c r="P362" s="279"/>
    </row>
    <row r="363" spans="1:16" x14ac:dyDescent="0.25">
      <c r="A363" s="110">
        <f t="shared" si="20"/>
        <v>1</v>
      </c>
      <c r="B363" s="110">
        <f t="shared" si="21"/>
        <v>25</v>
      </c>
      <c r="C363" s="110">
        <f t="shared" si="22"/>
        <v>2021</v>
      </c>
      <c r="D363" s="75">
        <f t="shared" si="23"/>
        <v>44221</v>
      </c>
      <c r="E363" s="284">
        <f>IFERROR(VLOOKUP($D363,Actual_Kirk_HDD!$A$4:$F$471,6,FALSE),0)</f>
        <v>0</v>
      </c>
      <c r="F363" s="284">
        <f>IFERROR(VLOOKUP($A363&amp;$B363,'Staff Ranked NHDD'!$C$8:$F$374,2,FALSE),0)</f>
        <v>30.768136200716835</v>
      </c>
      <c r="H363" s="49"/>
      <c r="J363" s="74">
        <f>IFERROR(VLOOKUP($D363,Actual_CGI_HDD!$A$9:$E$532,5),0)</f>
        <v>0</v>
      </c>
      <c r="K363" s="284">
        <f>IFERROR(VLOOKUP($A363&amp;$B363,'Staff Ranked NHDD'!$C$8:$F$374,4,FALSE),0)</f>
        <v>20.284462365591402</v>
      </c>
      <c r="M363" s="279"/>
      <c r="N363" s="279"/>
      <c r="O363" s="72"/>
      <c r="P363" s="279"/>
    </row>
    <row r="364" spans="1:16" x14ac:dyDescent="0.25">
      <c r="A364" s="110">
        <f t="shared" si="20"/>
        <v>1</v>
      </c>
      <c r="B364" s="110">
        <f t="shared" si="21"/>
        <v>26</v>
      </c>
      <c r="C364" s="110">
        <f t="shared" si="22"/>
        <v>2021</v>
      </c>
      <c r="D364" s="75">
        <f t="shared" si="23"/>
        <v>44222</v>
      </c>
      <c r="E364" s="284">
        <f>IFERROR(VLOOKUP($D364,Actual_Kirk_HDD!$A$4:$F$471,6,FALSE),0)</f>
        <v>0</v>
      </c>
      <c r="F364" s="284">
        <f>IFERROR(VLOOKUP($A364&amp;$B364,'Staff Ranked NHDD'!$C$8:$F$374,2,FALSE),0)</f>
        <v>44.340537634408598</v>
      </c>
      <c r="H364" s="49"/>
      <c r="J364" s="74">
        <f>IFERROR(VLOOKUP($D364,Actual_CGI_HDD!$A$9:$E$532,5),0)</f>
        <v>0</v>
      </c>
      <c r="K364" s="284">
        <f>IFERROR(VLOOKUP($A364&amp;$B364,'Staff Ranked NHDD'!$C$8:$F$374,4,FALSE),0)</f>
        <v>18.45956989247312</v>
      </c>
      <c r="M364" s="279"/>
      <c r="N364" s="279"/>
      <c r="O364" s="72"/>
      <c r="P364" s="279"/>
    </row>
    <row r="365" spans="1:16" x14ac:dyDescent="0.25">
      <c r="A365" s="110">
        <f t="shared" si="20"/>
        <v>1</v>
      </c>
      <c r="B365" s="110">
        <f t="shared" si="21"/>
        <v>27</v>
      </c>
      <c r="C365" s="110">
        <f t="shared" si="22"/>
        <v>2021</v>
      </c>
      <c r="D365" s="75">
        <f t="shared" si="23"/>
        <v>44223</v>
      </c>
      <c r="E365" s="284">
        <f>IFERROR(VLOOKUP($D365,Actual_Kirk_HDD!$A$4:$F$471,6,FALSE),0)</f>
        <v>0</v>
      </c>
      <c r="F365" s="284">
        <f>IFERROR(VLOOKUP($A365&amp;$B365,'Staff Ranked NHDD'!$C$8:$F$374,2,FALSE),0)</f>
        <v>53.204211469534037</v>
      </c>
      <c r="H365" s="49"/>
      <c r="J365" s="74">
        <f>IFERROR(VLOOKUP($D365,Actual_CGI_HDD!$A$9:$E$532,5),0)</f>
        <v>0</v>
      </c>
      <c r="K365" s="284">
        <f>IFERROR(VLOOKUP($A365&amp;$B365,'Staff Ranked NHDD'!$C$8:$F$374,4,FALSE),0)</f>
        <v>42.089086021505381</v>
      </c>
      <c r="M365" s="279"/>
      <c r="N365" s="279"/>
      <c r="O365" s="72"/>
      <c r="P365" s="279"/>
    </row>
    <row r="366" spans="1:16" x14ac:dyDescent="0.25">
      <c r="A366" s="110">
        <f t="shared" si="20"/>
        <v>1</v>
      </c>
      <c r="B366" s="110">
        <f t="shared" si="21"/>
        <v>28</v>
      </c>
      <c r="C366" s="110">
        <f t="shared" si="22"/>
        <v>2021</v>
      </c>
      <c r="D366" s="75">
        <f t="shared" si="23"/>
        <v>44224</v>
      </c>
      <c r="E366" s="284">
        <f>IFERROR(VLOOKUP($D366,Actual_Kirk_HDD!$A$4:$F$471,6,FALSE),0)</f>
        <v>0</v>
      </c>
      <c r="F366" s="284">
        <f>IFERROR(VLOOKUP($A366&amp;$B366,'Staff Ranked NHDD'!$C$8:$F$374,2,FALSE),0)</f>
        <v>65.822706093189979</v>
      </c>
      <c r="H366" s="49"/>
      <c r="J366" s="74">
        <f>IFERROR(VLOOKUP($D366,Actual_CGI_HDD!$A$9:$E$532,5),0)</f>
        <v>0</v>
      </c>
      <c r="K366" s="284">
        <f>IFERROR(VLOOKUP($A366&amp;$B366,'Staff Ranked NHDD'!$C$8:$F$374,4,FALSE),0)</f>
        <v>49.522903225806452</v>
      </c>
      <c r="M366" s="279"/>
      <c r="N366" s="279"/>
      <c r="O366" s="72"/>
      <c r="P366" s="279"/>
    </row>
    <row r="367" spans="1:16" x14ac:dyDescent="0.25">
      <c r="A367" s="110">
        <f t="shared" si="20"/>
        <v>1</v>
      </c>
      <c r="B367" s="110">
        <f t="shared" si="21"/>
        <v>29</v>
      </c>
      <c r="C367" s="110">
        <f t="shared" si="22"/>
        <v>2021</v>
      </c>
      <c r="D367" s="75">
        <f t="shared" si="23"/>
        <v>44225</v>
      </c>
      <c r="E367" s="284">
        <f>IFERROR(VLOOKUP($D367,Actual_Kirk_HDD!$A$4:$F$471,6,FALSE),0)</f>
        <v>0</v>
      </c>
      <c r="F367" s="284">
        <f>IFERROR(VLOOKUP($A367&amp;$B367,'Staff Ranked NHDD'!$C$8:$F$374,2,FALSE),0)</f>
        <v>60.72220430107528</v>
      </c>
      <c r="H367" s="49"/>
      <c r="J367" s="74">
        <f>IFERROR(VLOOKUP($D367,Actual_CGI_HDD!$A$9:$E$532,5),0)</f>
        <v>0</v>
      </c>
      <c r="K367" s="284">
        <f>IFERROR(VLOOKUP($A367&amp;$B367,'Staff Ranked NHDD'!$C$8:$F$374,4,FALSE),0)</f>
        <v>38.913440860215054</v>
      </c>
      <c r="M367" s="279"/>
      <c r="N367" s="279"/>
      <c r="O367" s="72"/>
      <c r="P367" s="279"/>
    </row>
    <row r="368" spans="1:16" x14ac:dyDescent="0.25">
      <c r="A368" s="110">
        <f t="shared" si="20"/>
        <v>1</v>
      </c>
      <c r="B368" s="110">
        <f t="shared" si="21"/>
        <v>30</v>
      </c>
      <c r="C368" s="110">
        <f t="shared" si="22"/>
        <v>2021</v>
      </c>
      <c r="D368" s="75">
        <f t="shared" si="23"/>
        <v>44226</v>
      </c>
      <c r="E368" s="284">
        <f>IFERROR(VLOOKUP($D368,Actual_Kirk_HDD!$A$4:$F$471,6,FALSE),0)</f>
        <v>0</v>
      </c>
      <c r="F368" s="284">
        <f>IFERROR(VLOOKUP($A368&amp;$B368,'Staff Ranked NHDD'!$C$8:$F$374,2,FALSE),0)</f>
        <v>34.810842293906802</v>
      </c>
      <c r="H368" s="49"/>
      <c r="J368" s="74">
        <f>IFERROR(VLOOKUP($D368,Actual_CGI_HDD!$A$9:$E$532,5),0)</f>
        <v>0</v>
      </c>
      <c r="K368" s="284">
        <f>IFERROR(VLOOKUP($A368&amp;$B368,'Staff Ranked NHDD'!$C$8:$F$374,4,FALSE),0)</f>
        <v>11.688548387096777</v>
      </c>
      <c r="M368" s="279"/>
      <c r="N368" s="279"/>
      <c r="O368" s="72"/>
      <c r="P368" s="279"/>
    </row>
    <row r="369" spans="1:16" x14ac:dyDescent="0.25">
      <c r="A369" s="110">
        <f t="shared" si="20"/>
        <v>1</v>
      </c>
      <c r="B369" s="110">
        <f t="shared" si="21"/>
        <v>31</v>
      </c>
      <c r="C369" s="110">
        <f t="shared" si="22"/>
        <v>2021</v>
      </c>
      <c r="D369" s="75">
        <f t="shared" si="23"/>
        <v>44227</v>
      </c>
      <c r="E369" s="284">
        <f>IFERROR(VLOOKUP($D369,Actual_Kirk_HDD!$A$4:$F$471,6,FALSE),0)</f>
        <v>0</v>
      </c>
      <c r="F369" s="284">
        <f>IFERROR(VLOOKUP($A369&amp;$B369,'Staff Ranked NHDD'!$C$8:$F$374,2,FALSE),0)</f>
        <v>25.43605734767025</v>
      </c>
      <c r="H369" s="49"/>
      <c r="J369" s="74">
        <f>IFERROR(VLOOKUP($D369,Actual_CGI_HDD!$A$9:$E$532,5),0)</f>
        <v>0</v>
      </c>
      <c r="K369" s="284">
        <f>IFERROR(VLOOKUP($A369&amp;$B369,'Staff Ranked NHDD'!$C$8:$F$374,4,FALSE),0)</f>
        <v>5.5470967741935526</v>
      </c>
      <c r="M369" s="279"/>
      <c r="N369" s="279"/>
      <c r="O369" s="72"/>
      <c r="P369" s="279"/>
    </row>
  </sheetData>
  <sortState xmlns:xlrd2="http://schemas.microsoft.com/office/spreadsheetml/2017/richdata2" ref="AB4:AB488">
    <sortCondition sortBy="cellColor" ref="AB4:AB488" dxfId="2"/>
  </sortState>
  <pageMargins left="0.45" right="0.45" top="0.75" bottom="0.5" header="0.3" footer="0.3"/>
  <pageSetup scale="75" orientation="portrait" horizontalDpi="72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Q150"/>
  <sheetViews>
    <sheetView topLeftCell="A94" zoomScale="85" zoomScaleNormal="85" workbookViewId="0">
      <selection activeCell="C118" sqref="C118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  <col min="14" max="14" width="16.28515625" customWidth="1"/>
    <col min="15" max="15" width="6.7109375" customWidth="1"/>
  </cols>
  <sheetData>
    <row r="1" spans="1:17" ht="18.75" x14ac:dyDescent="0.3">
      <c r="B1" s="402" t="s">
        <v>143</v>
      </c>
      <c r="C1" s="402"/>
      <c r="D1" s="402"/>
      <c r="E1" s="402"/>
      <c r="F1" s="402"/>
      <c r="G1" s="402"/>
      <c r="H1" s="402"/>
      <c r="I1" s="402"/>
      <c r="J1" s="402"/>
    </row>
    <row r="2" spans="1:17" x14ac:dyDescent="0.25">
      <c r="B2" s="403" t="s">
        <v>122</v>
      </c>
      <c r="C2" s="403"/>
      <c r="D2" s="403"/>
      <c r="E2" s="403"/>
      <c r="F2" s="403"/>
      <c r="G2" s="403"/>
      <c r="H2" s="403"/>
      <c r="I2" s="403"/>
      <c r="J2" s="403"/>
    </row>
    <row r="3" spans="1:17" x14ac:dyDescent="0.25">
      <c r="B3" s="403" t="s">
        <v>125</v>
      </c>
      <c r="C3" s="403"/>
      <c r="D3" s="403"/>
      <c r="E3" s="403"/>
      <c r="F3" s="403"/>
      <c r="G3" s="403"/>
      <c r="H3" s="403"/>
      <c r="I3" s="403"/>
      <c r="J3" s="403"/>
    </row>
    <row r="4" spans="1:17" x14ac:dyDescent="0.25">
      <c r="P4" t="s">
        <v>133</v>
      </c>
      <c r="Q4" t="s">
        <v>142</v>
      </c>
    </row>
    <row r="5" spans="1:17" x14ac:dyDescent="0.25">
      <c r="A5" s="213" t="s">
        <v>189</v>
      </c>
      <c r="B5" s="214" t="s">
        <v>184</v>
      </c>
      <c r="C5" s="399" t="s">
        <v>104</v>
      </c>
      <c r="D5" s="400"/>
      <c r="E5" s="400"/>
      <c r="F5" s="400"/>
      <c r="G5" s="399" t="s">
        <v>105</v>
      </c>
      <c r="H5" s="400"/>
      <c r="I5" s="399" t="s">
        <v>19</v>
      </c>
      <c r="J5" s="401"/>
      <c r="L5" s="57" t="s">
        <v>67</v>
      </c>
      <c r="M5" s="58" t="s">
        <v>92</v>
      </c>
      <c r="N5" s="58"/>
      <c r="O5" s="59"/>
      <c r="P5">
        <v>6</v>
      </c>
      <c r="Q5">
        <v>8</v>
      </c>
    </row>
    <row r="6" spans="1:17" x14ac:dyDescent="0.25">
      <c r="B6" s="95">
        <v>8</v>
      </c>
      <c r="C6" s="116" t="s">
        <v>126</v>
      </c>
      <c r="D6" s="117" t="s">
        <v>126</v>
      </c>
      <c r="E6" s="117" t="s">
        <v>64</v>
      </c>
      <c r="F6" s="117" t="s">
        <v>64</v>
      </c>
      <c r="G6" s="117" t="s">
        <v>126</v>
      </c>
      <c r="H6" s="117" t="s">
        <v>64</v>
      </c>
      <c r="I6" s="117" t="s">
        <v>126</v>
      </c>
      <c r="J6" s="117" t="s">
        <v>64</v>
      </c>
      <c r="L6" s="60"/>
      <c r="M6" s="118"/>
      <c r="N6" s="118"/>
      <c r="O6" s="62"/>
    </row>
    <row r="7" spans="1:17" x14ac:dyDescent="0.25">
      <c r="A7" s="96" t="s">
        <v>287</v>
      </c>
      <c r="B7" s="96" t="s">
        <v>288</v>
      </c>
      <c r="C7" s="92" t="s">
        <v>67</v>
      </c>
      <c r="D7" s="93" t="s">
        <v>73</v>
      </c>
      <c r="E7" s="93" t="s">
        <v>66</v>
      </c>
      <c r="F7" s="93" t="s">
        <v>72</v>
      </c>
      <c r="G7" s="92" t="s">
        <v>69</v>
      </c>
      <c r="H7" s="93" t="s">
        <v>68</v>
      </c>
      <c r="I7" s="92" t="s">
        <v>71</v>
      </c>
      <c r="J7" s="94" t="s">
        <v>70</v>
      </c>
      <c r="L7" s="60" t="s">
        <v>69</v>
      </c>
      <c r="M7" s="61" t="s">
        <v>93</v>
      </c>
      <c r="N7" s="61"/>
      <c r="O7" s="62"/>
      <c r="P7">
        <v>8</v>
      </c>
      <c r="Q7">
        <v>12</v>
      </c>
    </row>
    <row r="8" spans="1:17" x14ac:dyDescent="0.25">
      <c r="B8" s="91" t="s">
        <v>65</v>
      </c>
      <c r="C8" s="3">
        <v>0</v>
      </c>
      <c r="D8" s="279">
        <v>0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279">
        <v>0</v>
      </c>
      <c r="L8" s="60" t="s">
        <v>71</v>
      </c>
      <c r="M8" s="61" t="s">
        <v>94</v>
      </c>
      <c r="N8" s="61"/>
      <c r="O8" s="62"/>
      <c r="P8">
        <v>10</v>
      </c>
      <c r="Q8">
        <v>16</v>
      </c>
    </row>
    <row r="9" spans="1:17" x14ac:dyDescent="0.25">
      <c r="B9" s="91" t="s">
        <v>74</v>
      </c>
      <c r="C9" s="279">
        <v>0</v>
      </c>
      <c r="D9" s="279">
        <v>0</v>
      </c>
      <c r="E9" s="279" t="s">
        <v>301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  <c r="L9" s="60" t="s">
        <v>73</v>
      </c>
      <c r="M9" s="61" t="s">
        <v>92</v>
      </c>
      <c r="N9" s="61"/>
      <c r="O9" s="62"/>
      <c r="P9">
        <v>12</v>
      </c>
      <c r="Q9">
        <v>20</v>
      </c>
    </row>
    <row r="10" spans="1:17" x14ac:dyDescent="0.25">
      <c r="B10" s="91" t="s">
        <v>75</v>
      </c>
      <c r="C10" s="279" t="s">
        <v>67</v>
      </c>
      <c r="D10" s="279" t="s">
        <v>73</v>
      </c>
      <c r="E10" s="279" t="s">
        <v>66</v>
      </c>
      <c r="F10" s="279" t="s">
        <v>72</v>
      </c>
      <c r="G10" s="279" t="s">
        <v>69</v>
      </c>
      <c r="H10" s="279" t="s">
        <v>68</v>
      </c>
      <c r="I10" s="279" t="s">
        <v>71</v>
      </c>
      <c r="J10" s="279" t="s">
        <v>70</v>
      </c>
      <c r="L10" s="60" t="s">
        <v>66</v>
      </c>
      <c r="M10" s="61" t="s">
        <v>95</v>
      </c>
      <c r="N10" s="61"/>
      <c r="O10" s="62"/>
      <c r="P10">
        <v>5</v>
      </c>
      <c r="Q10">
        <v>6</v>
      </c>
    </row>
    <row r="11" spans="1:17" x14ac:dyDescent="0.25">
      <c r="B11" s="91" t="s">
        <v>76</v>
      </c>
      <c r="C11" s="279">
        <v>339</v>
      </c>
      <c r="D11" s="279">
        <v>580</v>
      </c>
      <c r="E11" s="279">
        <v>12</v>
      </c>
      <c r="F11" s="279">
        <v>136</v>
      </c>
      <c r="G11" s="279">
        <v>152</v>
      </c>
      <c r="H11" s="279">
        <v>85</v>
      </c>
      <c r="I11" s="279">
        <v>1667</v>
      </c>
      <c r="J11" s="279">
        <v>132</v>
      </c>
      <c r="L11" s="60" t="s">
        <v>68</v>
      </c>
      <c r="M11" s="61" t="s">
        <v>96</v>
      </c>
      <c r="N11" s="61"/>
      <c r="O11" s="62"/>
      <c r="P11">
        <v>7</v>
      </c>
      <c r="Q11">
        <v>10</v>
      </c>
    </row>
    <row r="12" spans="1:17" x14ac:dyDescent="0.25">
      <c r="B12" s="91" t="s">
        <v>77</v>
      </c>
      <c r="C12" s="279">
        <v>272</v>
      </c>
      <c r="D12" s="279">
        <v>318</v>
      </c>
      <c r="E12" s="279">
        <v>10</v>
      </c>
      <c r="F12" s="279">
        <v>105</v>
      </c>
      <c r="G12" s="279">
        <v>176</v>
      </c>
      <c r="H12" s="279">
        <v>22</v>
      </c>
      <c r="I12" s="279">
        <v>1565</v>
      </c>
      <c r="J12" s="279">
        <v>78</v>
      </c>
      <c r="L12" s="60" t="s">
        <v>70</v>
      </c>
      <c r="M12" s="61" t="s">
        <v>97</v>
      </c>
      <c r="N12" s="61"/>
      <c r="O12" s="62"/>
      <c r="P12">
        <v>9</v>
      </c>
      <c r="Q12">
        <v>14</v>
      </c>
    </row>
    <row r="13" spans="1:17" x14ac:dyDescent="0.25">
      <c r="B13" s="91" t="s">
        <v>78</v>
      </c>
      <c r="C13" s="279">
        <v>236</v>
      </c>
      <c r="D13" s="279">
        <v>614</v>
      </c>
      <c r="E13" s="279">
        <v>15</v>
      </c>
      <c r="F13" s="279">
        <v>30</v>
      </c>
      <c r="G13" s="279">
        <v>217</v>
      </c>
      <c r="H13" s="279">
        <v>8</v>
      </c>
      <c r="I13" s="279">
        <v>1854</v>
      </c>
      <c r="J13" s="279">
        <v>238</v>
      </c>
      <c r="L13" s="63" t="s">
        <v>72</v>
      </c>
      <c r="M13" s="64" t="s">
        <v>95</v>
      </c>
      <c r="N13" s="64"/>
      <c r="O13" s="65"/>
      <c r="P13">
        <v>11</v>
      </c>
      <c r="Q13">
        <v>18</v>
      </c>
    </row>
    <row r="14" spans="1:17" x14ac:dyDescent="0.25">
      <c r="B14" s="91" t="s">
        <v>79</v>
      </c>
      <c r="C14" s="279">
        <v>181</v>
      </c>
      <c r="D14" s="279">
        <v>648</v>
      </c>
      <c r="E14" s="279">
        <v>32</v>
      </c>
      <c r="F14" s="279">
        <v>75</v>
      </c>
      <c r="G14" s="279">
        <v>276</v>
      </c>
      <c r="H14" s="279">
        <v>19</v>
      </c>
      <c r="I14" s="279">
        <v>1092</v>
      </c>
      <c r="J14" s="279">
        <v>174</v>
      </c>
    </row>
    <row r="15" spans="1:17" x14ac:dyDescent="0.25">
      <c r="B15" s="91" t="s">
        <v>80</v>
      </c>
      <c r="C15" s="279">
        <v>207</v>
      </c>
      <c r="D15" s="279">
        <v>763</v>
      </c>
      <c r="E15" s="279">
        <v>25</v>
      </c>
      <c r="F15" s="279">
        <v>66</v>
      </c>
      <c r="G15" s="279">
        <v>176</v>
      </c>
      <c r="H15" s="279">
        <v>15</v>
      </c>
      <c r="I15" s="279">
        <v>1239</v>
      </c>
      <c r="J15" s="279">
        <v>220</v>
      </c>
      <c r="L15" s="166" t="s">
        <v>269</v>
      </c>
      <c r="M15" s="331" t="s">
        <v>270</v>
      </c>
      <c r="N15" s="220" t="s">
        <v>271</v>
      </c>
    </row>
    <row r="16" spans="1:17" x14ac:dyDescent="0.25">
      <c r="B16" s="91" t="s">
        <v>81</v>
      </c>
      <c r="C16" s="279">
        <v>204</v>
      </c>
      <c r="D16" s="279">
        <v>742</v>
      </c>
      <c r="E16" s="279">
        <v>40</v>
      </c>
      <c r="F16" s="279">
        <v>125</v>
      </c>
      <c r="G16" s="279">
        <v>213</v>
      </c>
      <c r="H16" s="279">
        <v>48</v>
      </c>
      <c r="I16" s="279">
        <v>1248</v>
      </c>
      <c r="J16" s="279">
        <v>132</v>
      </c>
      <c r="M16" s="127"/>
    </row>
    <row r="17" spans="1:15" x14ac:dyDescent="0.25">
      <c r="B17" s="91" t="s">
        <v>82</v>
      </c>
      <c r="C17" s="279">
        <v>208</v>
      </c>
      <c r="D17" s="279">
        <v>742</v>
      </c>
      <c r="E17" s="279">
        <v>40</v>
      </c>
      <c r="F17" s="279">
        <v>34</v>
      </c>
      <c r="G17" s="279">
        <v>115</v>
      </c>
      <c r="H17" s="279">
        <v>15</v>
      </c>
      <c r="I17" s="279">
        <v>1448</v>
      </c>
      <c r="J17" s="279">
        <v>203</v>
      </c>
      <c r="M17" s="127"/>
    </row>
    <row r="18" spans="1:15" x14ac:dyDescent="0.25">
      <c r="B18" s="91" t="s">
        <v>83</v>
      </c>
      <c r="C18" s="279">
        <v>239</v>
      </c>
      <c r="D18" s="279">
        <v>624</v>
      </c>
      <c r="E18" s="279">
        <v>23</v>
      </c>
      <c r="F18" s="279">
        <v>60</v>
      </c>
      <c r="G18" s="279">
        <v>206</v>
      </c>
      <c r="H18" s="279">
        <v>40</v>
      </c>
      <c r="I18" s="279">
        <v>1408</v>
      </c>
      <c r="J18" s="279">
        <v>206</v>
      </c>
      <c r="M18" s="127"/>
    </row>
    <row r="19" spans="1:15" x14ac:dyDescent="0.25">
      <c r="B19" s="91" t="s">
        <v>84</v>
      </c>
      <c r="C19" s="279">
        <v>258</v>
      </c>
      <c r="D19" s="279">
        <v>485</v>
      </c>
      <c r="E19" s="279">
        <v>63</v>
      </c>
      <c r="F19" s="279">
        <v>50</v>
      </c>
      <c r="G19" s="279">
        <v>181</v>
      </c>
      <c r="H19" s="279">
        <v>14</v>
      </c>
      <c r="I19" s="279">
        <v>1274</v>
      </c>
      <c r="J19" s="279">
        <v>185</v>
      </c>
    </row>
    <row r="20" spans="1:15" x14ac:dyDescent="0.25">
      <c r="B20" s="91" t="s">
        <v>85</v>
      </c>
      <c r="C20" s="279">
        <v>249</v>
      </c>
      <c r="D20" s="279">
        <v>812</v>
      </c>
      <c r="E20" s="279">
        <v>32</v>
      </c>
      <c r="F20" s="279">
        <v>49</v>
      </c>
      <c r="G20" s="279">
        <v>98</v>
      </c>
      <c r="H20" s="279">
        <v>41</v>
      </c>
      <c r="I20" s="279">
        <v>1551</v>
      </c>
      <c r="J20" s="279">
        <v>149</v>
      </c>
    </row>
    <row r="21" spans="1:15" x14ac:dyDescent="0.25">
      <c r="B21" s="91" t="s">
        <v>86</v>
      </c>
      <c r="C21" s="279">
        <v>227</v>
      </c>
      <c r="D21" s="279">
        <v>569</v>
      </c>
      <c r="E21" s="279">
        <v>21</v>
      </c>
      <c r="F21" s="279">
        <v>101</v>
      </c>
      <c r="G21" s="279">
        <v>210</v>
      </c>
      <c r="H21" s="279">
        <v>18</v>
      </c>
      <c r="I21" s="279">
        <v>1345</v>
      </c>
      <c r="J21" s="279">
        <v>178</v>
      </c>
    </row>
    <row r="22" spans="1:15" x14ac:dyDescent="0.25">
      <c r="B22" s="91" t="s">
        <v>87</v>
      </c>
      <c r="C22" s="279">
        <v>259</v>
      </c>
      <c r="D22" s="279">
        <v>617</v>
      </c>
      <c r="E22" s="279">
        <v>61</v>
      </c>
      <c r="F22" s="279">
        <v>45</v>
      </c>
      <c r="G22" s="279">
        <v>147</v>
      </c>
      <c r="H22" s="279">
        <v>20</v>
      </c>
      <c r="I22" s="279">
        <v>1246</v>
      </c>
      <c r="J22" s="279">
        <v>143</v>
      </c>
      <c r="O22" s="91"/>
    </row>
    <row r="23" spans="1:15" x14ac:dyDescent="0.25">
      <c r="B23" s="91" t="s">
        <v>88</v>
      </c>
      <c r="C23" s="279">
        <v>246</v>
      </c>
      <c r="D23" s="279">
        <v>381</v>
      </c>
      <c r="E23" s="279">
        <v>28</v>
      </c>
      <c r="F23" s="279">
        <v>44</v>
      </c>
      <c r="G23" s="279">
        <v>59</v>
      </c>
      <c r="H23" s="279">
        <v>7</v>
      </c>
      <c r="I23" s="279">
        <v>1555</v>
      </c>
      <c r="J23" s="279">
        <v>152</v>
      </c>
    </row>
    <row r="24" spans="1:15" x14ac:dyDescent="0.25">
      <c r="B24" s="91" t="s">
        <v>89</v>
      </c>
      <c r="C24" s="279">
        <v>192</v>
      </c>
      <c r="D24" s="279">
        <v>889</v>
      </c>
      <c r="E24" s="279">
        <v>23</v>
      </c>
      <c r="F24" s="279">
        <v>155</v>
      </c>
      <c r="G24" s="279">
        <v>131</v>
      </c>
      <c r="H24" s="279">
        <v>35</v>
      </c>
      <c r="I24" s="279">
        <v>1566</v>
      </c>
      <c r="J24" s="279">
        <v>189</v>
      </c>
    </row>
    <row r="25" spans="1:15" x14ac:dyDescent="0.25">
      <c r="B25" s="91" t="s">
        <v>90</v>
      </c>
      <c r="C25" s="279">
        <v>265</v>
      </c>
      <c r="D25" s="279">
        <v>418</v>
      </c>
      <c r="E25" s="279">
        <v>66</v>
      </c>
      <c r="F25" s="279">
        <v>33</v>
      </c>
      <c r="G25" s="279">
        <v>173</v>
      </c>
      <c r="H25" s="279">
        <v>24</v>
      </c>
      <c r="I25" s="279">
        <v>1269</v>
      </c>
      <c r="J25" s="279">
        <v>137</v>
      </c>
    </row>
    <row r="26" spans="1:15" x14ac:dyDescent="0.25">
      <c r="B26" s="91" t="s">
        <v>91</v>
      </c>
      <c r="C26" s="279">
        <v>149</v>
      </c>
      <c r="D26" s="279">
        <v>460</v>
      </c>
      <c r="E26" s="279">
        <v>61</v>
      </c>
      <c r="F26" s="279">
        <v>46</v>
      </c>
      <c r="G26" s="279">
        <v>195</v>
      </c>
      <c r="H26" s="279">
        <v>11</v>
      </c>
      <c r="I26" s="279">
        <v>1380</v>
      </c>
      <c r="J26" s="279">
        <v>201</v>
      </c>
    </row>
    <row r="27" spans="1:15" x14ac:dyDescent="0.25">
      <c r="C27" s="3">
        <f>SUM(C8:C26)</f>
        <v>3731</v>
      </c>
      <c r="D27" s="3">
        <f t="shared" ref="D27:J27" si="0">SUM(D8:D26)</f>
        <v>9662</v>
      </c>
      <c r="E27" s="3">
        <f t="shared" si="0"/>
        <v>552</v>
      </c>
      <c r="F27" s="3">
        <f t="shared" si="0"/>
        <v>1154</v>
      </c>
      <c r="G27" s="3">
        <f t="shared" si="0"/>
        <v>2725</v>
      </c>
      <c r="H27" s="3">
        <f t="shared" si="0"/>
        <v>422</v>
      </c>
      <c r="I27" s="3">
        <f t="shared" si="0"/>
        <v>22707</v>
      </c>
      <c r="J27" s="3">
        <f t="shared" si="0"/>
        <v>2717</v>
      </c>
      <c r="K27" s="3"/>
    </row>
    <row r="28" spans="1:15" x14ac:dyDescent="0.25">
      <c r="B28" s="95">
        <v>9</v>
      </c>
      <c r="C28" s="97"/>
      <c r="D28" s="98"/>
      <c r="E28" s="97"/>
      <c r="F28" s="97"/>
      <c r="G28" s="97"/>
      <c r="H28" s="97"/>
      <c r="I28" s="97"/>
      <c r="J28" s="97"/>
    </row>
    <row r="29" spans="1:15" x14ac:dyDescent="0.25">
      <c r="A29" s="96" t="s">
        <v>288</v>
      </c>
      <c r="B29" s="96" t="s">
        <v>289</v>
      </c>
      <c r="C29" s="99" t="s">
        <v>67</v>
      </c>
      <c r="D29" s="100" t="s">
        <v>73</v>
      </c>
      <c r="E29" s="99" t="s">
        <v>66</v>
      </c>
      <c r="F29" s="99" t="s">
        <v>72</v>
      </c>
      <c r="G29" s="99" t="s">
        <v>69</v>
      </c>
      <c r="H29" s="99" t="s">
        <v>68</v>
      </c>
      <c r="I29" s="99" t="s">
        <v>71</v>
      </c>
      <c r="J29" s="99" t="s">
        <v>70</v>
      </c>
    </row>
    <row r="30" spans="1:15" x14ac:dyDescent="0.25">
      <c r="B30" s="91" t="s">
        <v>65</v>
      </c>
      <c r="C30" s="279">
        <v>0</v>
      </c>
      <c r="D30" s="279">
        <v>0</v>
      </c>
      <c r="E30" s="279">
        <v>0</v>
      </c>
      <c r="F30" s="279">
        <v>0</v>
      </c>
      <c r="G30" s="279">
        <v>0</v>
      </c>
      <c r="H30" s="279">
        <v>0</v>
      </c>
      <c r="I30" s="279">
        <v>0</v>
      </c>
      <c r="J30" s="279">
        <v>0</v>
      </c>
    </row>
    <row r="31" spans="1:15" x14ac:dyDescent="0.25">
      <c r="B31" s="91" t="s">
        <v>74</v>
      </c>
      <c r="C31" s="279">
        <v>0</v>
      </c>
      <c r="D31" s="279">
        <v>0</v>
      </c>
      <c r="E31" s="279" t="s">
        <v>301</v>
      </c>
      <c r="F31" s="279">
        <v>0</v>
      </c>
      <c r="G31" s="279">
        <v>0</v>
      </c>
      <c r="H31" s="279">
        <v>0</v>
      </c>
      <c r="I31" s="279">
        <v>0</v>
      </c>
      <c r="J31" s="279">
        <v>0</v>
      </c>
    </row>
    <row r="32" spans="1:15" x14ac:dyDescent="0.25">
      <c r="B32" s="91" t="s">
        <v>75</v>
      </c>
      <c r="C32" s="279" t="s">
        <v>67</v>
      </c>
      <c r="D32" s="279" t="s">
        <v>73</v>
      </c>
      <c r="E32" s="279" t="s">
        <v>66</v>
      </c>
      <c r="F32" s="279" t="s">
        <v>72</v>
      </c>
      <c r="G32" s="279" t="s">
        <v>69</v>
      </c>
      <c r="H32" s="279" t="s">
        <v>68</v>
      </c>
      <c r="I32" s="279" t="s">
        <v>71</v>
      </c>
      <c r="J32" s="279" t="s">
        <v>70</v>
      </c>
    </row>
    <row r="33" spans="2:10" x14ac:dyDescent="0.25">
      <c r="B33" s="91" t="s">
        <v>76</v>
      </c>
      <c r="C33" s="279">
        <v>337</v>
      </c>
      <c r="D33" s="279">
        <v>575</v>
      </c>
      <c r="E33" s="279">
        <v>12</v>
      </c>
      <c r="F33" s="279">
        <v>140</v>
      </c>
      <c r="G33" s="279">
        <v>156</v>
      </c>
      <c r="H33" s="279">
        <v>84</v>
      </c>
      <c r="I33" s="279">
        <v>1642</v>
      </c>
      <c r="J33" s="279">
        <v>132</v>
      </c>
    </row>
    <row r="34" spans="2:10" x14ac:dyDescent="0.25">
      <c r="B34" s="91" t="s">
        <v>77</v>
      </c>
      <c r="C34" s="279">
        <v>276</v>
      </c>
      <c r="D34" s="279">
        <v>315</v>
      </c>
      <c r="E34" s="279">
        <v>10</v>
      </c>
      <c r="F34" s="279">
        <v>105</v>
      </c>
      <c r="G34" s="279">
        <v>171</v>
      </c>
      <c r="H34" s="279">
        <v>23</v>
      </c>
      <c r="I34" s="279">
        <v>1555</v>
      </c>
      <c r="J34" s="279">
        <v>75</v>
      </c>
    </row>
    <row r="35" spans="2:10" x14ac:dyDescent="0.25">
      <c r="B35" s="91" t="s">
        <v>78</v>
      </c>
      <c r="C35" s="279">
        <v>228</v>
      </c>
      <c r="D35" s="279">
        <v>601</v>
      </c>
      <c r="E35" s="279">
        <v>15</v>
      </c>
      <c r="F35" s="279">
        <v>30</v>
      </c>
      <c r="G35" s="279">
        <v>214</v>
      </c>
      <c r="H35" s="279">
        <v>8</v>
      </c>
      <c r="I35" s="279">
        <v>1818</v>
      </c>
      <c r="J35" s="279">
        <v>237</v>
      </c>
    </row>
    <row r="36" spans="2:10" x14ac:dyDescent="0.25">
      <c r="B36" s="91" t="s">
        <v>79</v>
      </c>
      <c r="C36" s="279">
        <v>177</v>
      </c>
      <c r="D36" s="279">
        <v>642</v>
      </c>
      <c r="E36" s="279">
        <v>32</v>
      </c>
      <c r="F36" s="279">
        <v>79</v>
      </c>
      <c r="G36" s="279">
        <v>282</v>
      </c>
      <c r="H36" s="279">
        <v>19</v>
      </c>
      <c r="I36" s="279">
        <v>1077</v>
      </c>
      <c r="J36" s="279">
        <v>173</v>
      </c>
    </row>
    <row r="37" spans="2:10" x14ac:dyDescent="0.25">
      <c r="B37" s="91" t="s">
        <v>80</v>
      </c>
      <c r="C37" s="279">
        <v>210</v>
      </c>
      <c r="D37" s="279">
        <v>759</v>
      </c>
      <c r="E37" s="279">
        <v>25</v>
      </c>
      <c r="F37" s="279">
        <v>66</v>
      </c>
      <c r="G37" s="279">
        <v>168</v>
      </c>
      <c r="H37" s="279">
        <v>15</v>
      </c>
      <c r="I37" s="279">
        <v>1230</v>
      </c>
      <c r="J37" s="279">
        <v>203</v>
      </c>
    </row>
    <row r="38" spans="2:10" x14ac:dyDescent="0.25">
      <c r="B38" s="91" t="s">
        <v>81</v>
      </c>
      <c r="C38" s="279">
        <v>200</v>
      </c>
      <c r="D38" s="279">
        <v>743</v>
      </c>
      <c r="E38" s="279">
        <v>41</v>
      </c>
      <c r="F38" s="279">
        <v>126</v>
      </c>
      <c r="G38" s="279">
        <v>212</v>
      </c>
      <c r="H38" s="279">
        <v>48</v>
      </c>
      <c r="I38" s="279">
        <v>1240</v>
      </c>
      <c r="J38" s="279">
        <v>131</v>
      </c>
    </row>
    <row r="39" spans="2:10" x14ac:dyDescent="0.25">
      <c r="B39" s="91" t="s">
        <v>82</v>
      </c>
      <c r="C39" s="279">
        <v>206</v>
      </c>
      <c r="D39" s="279">
        <v>728</v>
      </c>
      <c r="E39" s="279">
        <v>40</v>
      </c>
      <c r="F39" s="279">
        <v>34</v>
      </c>
      <c r="G39" s="279">
        <v>113</v>
      </c>
      <c r="H39" s="279">
        <v>15</v>
      </c>
      <c r="I39" s="279">
        <v>1424</v>
      </c>
      <c r="J39" s="279">
        <v>198</v>
      </c>
    </row>
    <row r="40" spans="2:10" x14ac:dyDescent="0.25">
      <c r="B40" s="91" t="s">
        <v>83</v>
      </c>
      <c r="C40" s="279">
        <v>236</v>
      </c>
      <c r="D40" s="279">
        <v>605</v>
      </c>
      <c r="E40" s="279">
        <v>23</v>
      </c>
      <c r="F40" s="279">
        <v>60</v>
      </c>
      <c r="G40" s="279">
        <v>205</v>
      </c>
      <c r="H40" s="279">
        <v>40</v>
      </c>
      <c r="I40" s="279">
        <v>1410</v>
      </c>
      <c r="J40" s="279">
        <v>207</v>
      </c>
    </row>
    <row r="41" spans="2:10" x14ac:dyDescent="0.25">
      <c r="B41" s="91" t="s">
        <v>84</v>
      </c>
      <c r="C41" s="279">
        <v>257</v>
      </c>
      <c r="D41" s="279">
        <v>483</v>
      </c>
      <c r="E41" s="279">
        <v>63</v>
      </c>
      <c r="F41" s="279">
        <v>49</v>
      </c>
      <c r="G41" s="279">
        <v>178</v>
      </c>
      <c r="H41" s="279">
        <v>14</v>
      </c>
      <c r="I41" s="279">
        <v>1252</v>
      </c>
      <c r="J41" s="279">
        <v>182</v>
      </c>
    </row>
    <row r="42" spans="2:10" x14ac:dyDescent="0.25">
      <c r="B42" s="91" t="s">
        <v>85</v>
      </c>
      <c r="C42" s="279">
        <v>246</v>
      </c>
      <c r="D42" s="279">
        <v>809</v>
      </c>
      <c r="E42" s="279">
        <v>32</v>
      </c>
      <c r="F42" s="279">
        <v>48</v>
      </c>
      <c r="G42" s="279">
        <v>96</v>
      </c>
      <c r="H42" s="279">
        <v>41</v>
      </c>
      <c r="I42" s="279">
        <v>1533</v>
      </c>
      <c r="J42" s="279">
        <v>149</v>
      </c>
    </row>
    <row r="43" spans="2:10" x14ac:dyDescent="0.25">
      <c r="B43" s="91" t="s">
        <v>86</v>
      </c>
      <c r="C43" s="279">
        <v>222</v>
      </c>
      <c r="D43" s="279">
        <v>565</v>
      </c>
      <c r="E43" s="279">
        <v>21</v>
      </c>
      <c r="F43" s="279">
        <v>99</v>
      </c>
      <c r="G43" s="279">
        <v>209</v>
      </c>
      <c r="H43" s="279">
        <v>18</v>
      </c>
      <c r="I43" s="279">
        <v>1323</v>
      </c>
      <c r="J43" s="279">
        <v>175</v>
      </c>
    </row>
    <row r="44" spans="2:10" x14ac:dyDescent="0.25">
      <c r="B44" s="91" t="s">
        <v>87</v>
      </c>
      <c r="C44" s="279">
        <v>255</v>
      </c>
      <c r="D44" s="279">
        <v>611</v>
      </c>
      <c r="E44" s="279">
        <v>61</v>
      </c>
      <c r="F44" s="279">
        <v>46</v>
      </c>
      <c r="G44" s="279">
        <v>144</v>
      </c>
      <c r="H44" s="279">
        <v>20</v>
      </c>
      <c r="I44" s="279">
        <v>1237</v>
      </c>
      <c r="J44" s="279">
        <v>140</v>
      </c>
    </row>
    <row r="45" spans="2:10" x14ac:dyDescent="0.25">
      <c r="B45" s="91" t="s">
        <v>88</v>
      </c>
      <c r="C45" s="279">
        <v>248</v>
      </c>
      <c r="D45" s="279">
        <v>362</v>
      </c>
      <c r="E45" s="279">
        <v>28</v>
      </c>
      <c r="F45" s="279">
        <v>44</v>
      </c>
      <c r="G45" s="279">
        <v>58</v>
      </c>
      <c r="H45" s="279">
        <v>7</v>
      </c>
      <c r="I45" s="279">
        <v>1541</v>
      </c>
      <c r="J45" s="279">
        <v>151</v>
      </c>
    </row>
    <row r="46" spans="2:10" x14ac:dyDescent="0.25">
      <c r="B46" s="91" t="s">
        <v>89</v>
      </c>
      <c r="C46" s="279">
        <v>194</v>
      </c>
      <c r="D46" s="279">
        <v>884</v>
      </c>
      <c r="E46" s="279">
        <v>24</v>
      </c>
      <c r="F46" s="279">
        <v>156</v>
      </c>
      <c r="G46" s="279">
        <v>129</v>
      </c>
      <c r="H46" s="279">
        <v>35</v>
      </c>
      <c r="I46" s="279">
        <v>1536</v>
      </c>
      <c r="J46" s="279">
        <v>189</v>
      </c>
    </row>
    <row r="47" spans="2:10" x14ac:dyDescent="0.25">
      <c r="B47" s="91" t="s">
        <v>90</v>
      </c>
      <c r="C47" s="279">
        <v>262</v>
      </c>
      <c r="D47" s="279">
        <v>400</v>
      </c>
      <c r="E47" s="279">
        <v>65</v>
      </c>
      <c r="F47" s="279">
        <v>32</v>
      </c>
      <c r="G47" s="279">
        <v>170</v>
      </c>
      <c r="H47" s="279">
        <v>24</v>
      </c>
      <c r="I47" s="279">
        <v>1265</v>
      </c>
      <c r="J47" s="279">
        <v>138</v>
      </c>
    </row>
    <row r="48" spans="2:10" x14ac:dyDescent="0.25">
      <c r="B48" s="91" t="s">
        <v>91</v>
      </c>
      <c r="C48" s="279">
        <v>145</v>
      </c>
      <c r="D48" s="279">
        <v>447</v>
      </c>
      <c r="E48" s="279">
        <v>59</v>
      </c>
      <c r="F48" s="279">
        <v>48</v>
      </c>
      <c r="G48" s="279">
        <v>190</v>
      </c>
      <c r="H48" s="279">
        <v>10</v>
      </c>
      <c r="I48" s="279">
        <v>1361</v>
      </c>
      <c r="J48" s="279">
        <v>195</v>
      </c>
    </row>
    <row r="49" spans="1:11" x14ac:dyDescent="0.25">
      <c r="C49" s="3">
        <f t="shared" ref="C49:J49" si="1">SUM(C30:C48)</f>
        <v>3699</v>
      </c>
      <c r="D49" s="3">
        <f t="shared" si="1"/>
        <v>9529</v>
      </c>
      <c r="E49" s="3">
        <f t="shared" si="1"/>
        <v>551</v>
      </c>
      <c r="F49" s="3">
        <f t="shared" si="1"/>
        <v>1162</v>
      </c>
      <c r="G49" s="3">
        <f t="shared" si="1"/>
        <v>2695</v>
      </c>
      <c r="H49" s="3">
        <f t="shared" si="1"/>
        <v>421</v>
      </c>
      <c r="I49" s="3">
        <f t="shared" si="1"/>
        <v>22444</v>
      </c>
      <c r="J49" s="3">
        <f t="shared" si="1"/>
        <v>2675</v>
      </c>
      <c r="K49" s="3"/>
    </row>
    <row r="50" spans="1:11" x14ac:dyDescent="0.25">
      <c r="B50" s="95">
        <v>10</v>
      </c>
      <c r="C50" s="97"/>
      <c r="D50" s="98"/>
      <c r="E50" s="97"/>
      <c r="F50" s="97"/>
      <c r="G50" s="97"/>
      <c r="H50" s="97"/>
      <c r="I50" s="97"/>
      <c r="J50" s="97"/>
    </row>
    <row r="51" spans="1:11" x14ac:dyDescent="0.25">
      <c r="A51" s="96" t="s">
        <v>289</v>
      </c>
      <c r="B51" s="96" t="s">
        <v>290</v>
      </c>
      <c r="C51" s="99" t="s">
        <v>67</v>
      </c>
      <c r="D51" s="100" t="s">
        <v>73</v>
      </c>
      <c r="E51" s="99" t="s">
        <v>66</v>
      </c>
      <c r="F51" s="99" t="s">
        <v>72</v>
      </c>
      <c r="G51" s="99" t="s">
        <v>69</v>
      </c>
      <c r="H51" s="99" t="s">
        <v>68</v>
      </c>
      <c r="I51" s="99" t="s">
        <v>71</v>
      </c>
      <c r="J51" s="99" t="s">
        <v>70</v>
      </c>
    </row>
    <row r="52" spans="1:11" x14ac:dyDescent="0.25">
      <c r="B52" s="91" t="s">
        <v>65</v>
      </c>
      <c r="C52" s="279">
        <v>0</v>
      </c>
      <c r="D52" s="279">
        <v>0</v>
      </c>
      <c r="E52" s="279">
        <v>0</v>
      </c>
      <c r="F52" s="279">
        <v>0</v>
      </c>
      <c r="G52" s="279">
        <v>0</v>
      </c>
      <c r="H52" s="279">
        <v>0</v>
      </c>
      <c r="I52" s="279">
        <v>0</v>
      </c>
      <c r="J52" s="279">
        <v>0</v>
      </c>
    </row>
    <row r="53" spans="1:11" x14ac:dyDescent="0.25">
      <c r="B53" s="91" t="s">
        <v>74</v>
      </c>
      <c r="C53" s="279">
        <v>0</v>
      </c>
      <c r="D53" s="279">
        <v>0</v>
      </c>
      <c r="E53" s="279" t="s">
        <v>301</v>
      </c>
      <c r="F53" s="279">
        <v>0</v>
      </c>
      <c r="G53" s="279">
        <v>0</v>
      </c>
      <c r="H53" s="279">
        <v>0</v>
      </c>
      <c r="I53" s="279">
        <v>0</v>
      </c>
      <c r="J53" s="279">
        <v>0</v>
      </c>
    </row>
    <row r="54" spans="1:11" x14ac:dyDescent="0.25">
      <c r="B54" s="91" t="s">
        <v>75</v>
      </c>
      <c r="C54" s="279" t="s">
        <v>67</v>
      </c>
      <c r="D54" s="279" t="s">
        <v>73</v>
      </c>
      <c r="E54" s="279" t="s">
        <v>66</v>
      </c>
      <c r="F54" s="279" t="s">
        <v>72</v>
      </c>
      <c r="G54" s="279" t="s">
        <v>69</v>
      </c>
      <c r="H54" s="279" t="s">
        <v>68</v>
      </c>
      <c r="I54" s="279" t="s">
        <v>71</v>
      </c>
      <c r="J54" s="279" t="s">
        <v>70</v>
      </c>
    </row>
    <row r="55" spans="1:11" x14ac:dyDescent="0.25">
      <c r="B55" s="91" t="s">
        <v>76</v>
      </c>
      <c r="C55" s="279">
        <v>336</v>
      </c>
      <c r="D55" s="279">
        <v>559</v>
      </c>
      <c r="E55" s="279">
        <v>12</v>
      </c>
      <c r="F55" s="279">
        <v>135</v>
      </c>
      <c r="G55" s="279">
        <v>147</v>
      </c>
      <c r="H55" s="279">
        <v>85</v>
      </c>
      <c r="I55" s="279">
        <v>1627</v>
      </c>
      <c r="J55" s="279">
        <v>129</v>
      </c>
    </row>
    <row r="56" spans="1:11" x14ac:dyDescent="0.25">
      <c r="B56" s="91" t="s">
        <v>77</v>
      </c>
      <c r="C56" s="279">
        <v>282</v>
      </c>
      <c r="D56" s="279">
        <v>300</v>
      </c>
      <c r="E56" s="279">
        <v>10</v>
      </c>
      <c r="F56" s="279">
        <v>104</v>
      </c>
      <c r="G56" s="279">
        <v>169</v>
      </c>
      <c r="H56" s="279">
        <v>23</v>
      </c>
      <c r="I56" s="279">
        <v>1533</v>
      </c>
      <c r="J56" s="279">
        <v>76</v>
      </c>
    </row>
    <row r="57" spans="1:11" x14ac:dyDescent="0.25">
      <c r="B57" s="91" t="s">
        <v>78</v>
      </c>
      <c r="C57" s="279">
        <v>233</v>
      </c>
      <c r="D57" s="279">
        <v>580</v>
      </c>
      <c r="E57" s="279">
        <v>15</v>
      </c>
      <c r="F57" s="279">
        <v>30</v>
      </c>
      <c r="G57" s="279">
        <v>218</v>
      </c>
      <c r="H57" s="279">
        <v>8</v>
      </c>
      <c r="I57" s="279">
        <v>1794</v>
      </c>
      <c r="J57" s="279">
        <v>233</v>
      </c>
    </row>
    <row r="58" spans="1:11" x14ac:dyDescent="0.25">
      <c r="B58" s="91" t="s">
        <v>79</v>
      </c>
      <c r="C58" s="279">
        <v>170</v>
      </c>
      <c r="D58" s="279">
        <v>619</v>
      </c>
      <c r="E58" s="279">
        <v>32</v>
      </c>
      <c r="F58" s="279">
        <v>74</v>
      </c>
      <c r="G58" s="279">
        <v>269</v>
      </c>
      <c r="H58" s="279">
        <v>19</v>
      </c>
      <c r="I58" s="279">
        <v>1052</v>
      </c>
      <c r="J58" s="279">
        <v>170</v>
      </c>
    </row>
    <row r="59" spans="1:11" x14ac:dyDescent="0.25">
      <c r="B59" s="91" t="s">
        <v>80</v>
      </c>
      <c r="C59" s="279">
        <v>207</v>
      </c>
      <c r="D59" s="279">
        <v>743</v>
      </c>
      <c r="E59" s="279">
        <v>26</v>
      </c>
      <c r="F59" s="279">
        <v>66</v>
      </c>
      <c r="G59" s="279">
        <v>170</v>
      </c>
      <c r="H59" s="279">
        <v>15</v>
      </c>
      <c r="I59" s="279">
        <v>1212</v>
      </c>
      <c r="J59" s="279">
        <v>210</v>
      </c>
    </row>
    <row r="60" spans="1:11" x14ac:dyDescent="0.25">
      <c r="B60" s="91" t="s">
        <v>81</v>
      </c>
      <c r="C60" s="279">
        <v>202</v>
      </c>
      <c r="D60" s="279">
        <v>741</v>
      </c>
      <c r="E60" s="279">
        <v>41</v>
      </c>
      <c r="F60" s="279">
        <v>125</v>
      </c>
      <c r="G60" s="279">
        <v>212</v>
      </c>
      <c r="H60" s="279">
        <v>49</v>
      </c>
      <c r="I60" s="279">
        <v>1222</v>
      </c>
      <c r="J60" s="279">
        <v>131</v>
      </c>
    </row>
    <row r="61" spans="1:11" x14ac:dyDescent="0.25">
      <c r="B61" s="91" t="s">
        <v>82</v>
      </c>
      <c r="C61" s="279">
        <v>203</v>
      </c>
      <c r="D61" s="279">
        <v>716</v>
      </c>
      <c r="E61" s="279">
        <v>39</v>
      </c>
      <c r="F61" s="279">
        <v>34</v>
      </c>
      <c r="G61" s="279">
        <v>113</v>
      </c>
      <c r="H61" s="279">
        <v>15</v>
      </c>
      <c r="I61" s="279">
        <v>1411</v>
      </c>
      <c r="J61" s="279">
        <v>197</v>
      </c>
    </row>
    <row r="62" spans="1:11" x14ac:dyDescent="0.25">
      <c r="B62" s="91" t="s">
        <v>83</v>
      </c>
      <c r="C62" s="279">
        <v>234</v>
      </c>
      <c r="D62" s="279">
        <v>623</v>
      </c>
      <c r="E62" s="279">
        <v>23</v>
      </c>
      <c r="F62" s="279">
        <v>60</v>
      </c>
      <c r="G62" s="279">
        <v>208</v>
      </c>
      <c r="H62" s="279">
        <v>40</v>
      </c>
      <c r="I62" s="279">
        <v>1414</v>
      </c>
      <c r="J62" s="279">
        <v>205</v>
      </c>
    </row>
    <row r="63" spans="1:11" x14ac:dyDescent="0.25">
      <c r="B63" s="91" t="s">
        <v>84</v>
      </c>
      <c r="C63" s="279">
        <v>259</v>
      </c>
      <c r="D63" s="279">
        <v>480</v>
      </c>
      <c r="E63" s="279">
        <v>64</v>
      </c>
      <c r="F63" s="279">
        <v>49</v>
      </c>
      <c r="G63" s="279">
        <v>177</v>
      </c>
      <c r="H63" s="279">
        <v>14</v>
      </c>
      <c r="I63" s="279">
        <v>1239</v>
      </c>
      <c r="J63" s="279">
        <v>182</v>
      </c>
    </row>
    <row r="64" spans="1:11" x14ac:dyDescent="0.25">
      <c r="B64" s="91" t="s">
        <v>85</v>
      </c>
      <c r="C64" s="279">
        <v>244</v>
      </c>
      <c r="D64" s="279">
        <v>792</v>
      </c>
      <c r="E64" s="279">
        <v>32</v>
      </c>
      <c r="F64" s="279">
        <v>48</v>
      </c>
      <c r="G64" s="279">
        <v>97</v>
      </c>
      <c r="H64" s="279">
        <v>41</v>
      </c>
      <c r="I64" s="279">
        <v>1523</v>
      </c>
      <c r="J64" s="279">
        <v>149</v>
      </c>
    </row>
    <row r="65" spans="1:11" x14ac:dyDescent="0.25">
      <c r="B65" s="91" t="s">
        <v>86</v>
      </c>
      <c r="C65" s="279">
        <v>229</v>
      </c>
      <c r="D65" s="279">
        <v>562</v>
      </c>
      <c r="E65" s="279">
        <v>21</v>
      </c>
      <c r="F65" s="279">
        <v>98</v>
      </c>
      <c r="G65" s="279">
        <v>207</v>
      </c>
      <c r="H65" s="279">
        <v>18</v>
      </c>
      <c r="I65" s="279">
        <v>1328</v>
      </c>
      <c r="J65" s="279">
        <v>173</v>
      </c>
    </row>
    <row r="66" spans="1:11" x14ac:dyDescent="0.25">
      <c r="B66" s="91" t="s">
        <v>87</v>
      </c>
      <c r="C66" s="279">
        <v>255</v>
      </c>
      <c r="D66" s="279">
        <v>620</v>
      </c>
      <c r="E66" s="279">
        <v>61</v>
      </c>
      <c r="F66" s="279">
        <v>46</v>
      </c>
      <c r="G66" s="279">
        <v>143</v>
      </c>
      <c r="H66" s="279">
        <v>20</v>
      </c>
      <c r="I66" s="279">
        <v>1218</v>
      </c>
      <c r="J66" s="279">
        <v>139</v>
      </c>
    </row>
    <row r="67" spans="1:11" x14ac:dyDescent="0.25">
      <c r="B67" s="91" t="s">
        <v>88</v>
      </c>
      <c r="C67" s="279">
        <v>250</v>
      </c>
      <c r="D67" s="279">
        <v>351</v>
      </c>
      <c r="E67" s="279">
        <v>27</v>
      </c>
      <c r="F67" s="279">
        <v>43</v>
      </c>
      <c r="G67" s="279">
        <v>57</v>
      </c>
      <c r="H67" s="279">
        <v>7</v>
      </c>
      <c r="I67" s="279">
        <v>1539</v>
      </c>
      <c r="J67" s="279">
        <v>150</v>
      </c>
    </row>
    <row r="68" spans="1:11" x14ac:dyDescent="0.25">
      <c r="B68" s="91" t="s">
        <v>89</v>
      </c>
      <c r="C68" s="279">
        <v>201</v>
      </c>
      <c r="D68" s="279">
        <v>860</v>
      </c>
      <c r="E68" s="279">
        <v>23</v>
      </c>
      <c r="F68" s="279">
        <v>155</v>
      </c>
      <c r="G68" s="279">
        <v>128</v>
      </c>
      <c r="H68" s="279">
        <v>35</v>
      </c>
      <c r="I68" s="279">
        <v>1510</v>
      </c>
      <c r="J68" s="279">
        <v>188</v>
      </c>
    </row>
    <row r="69" spans="1:11" x14ac:dyDescent="0.25">
      <c r="B69" s="91" t="s">
        <v>90</v>
      </c>
      <c r="C69" s="279">
        <v>263</v>
      </c>
      <c r="D69" s="279">
        <v>400</v>
      </c>
      <c r="E69" s="279">
        <v>65</v>
      </c>
      <c r="F69" s="279">
        <v>31</v>
      </c>
      <c r="G69" s="279">
        <v>169</v>
      </c>
      <c r="H69" s="279">
        <v>24</v>
      </c>
      <c r="I69" s="279">
        <v>1245</v>
      </c>
      <c r="J69" s="279">
        <v>138</v>
      </c>
    </row>
    <row r="70" spans="1:11" x14ac:dyDescent="0.25">
      <c r="B70" s="91" t="s">
        <v>91</v>
      </c>
      <c r="C70" s="279">
        <v>149</v>
      </c>
      <c r="D70" s="279">
        <v>442</v>
      </c>
      <c r="E70" s="279">
        <v>61</v>
      </c>
      <c r="F70" s="279">
        <v>48</v>
      </c>
      <c r="G70" s="279">
        <v>191</v>
      </c>
      <c r="H70" s="279">
        <v>10</v>
      </c>
      <c r="I70" s="279">
        <v>1360</v>
      </c>
      <c r="J70" s="279">
        <v>193</v>
      </c>
    </row>
    <row r="71" spans="1:11" x14ac:dyDescent="0.25">
      <c r="C71" s="3">
        <f t="shared" ref="C71:J71" si="2">SUM(C52:C70)</f>
        <v>3717</v>
      </c>
      <c r="D71" s="3">
        <f t="shared" si="2"/>
        <v>9388</v>
      </c>
      <c r="E71" s="3">
        <f t="shared" si="2"/>
        <v>552</v>
      </c>
      <c r="F71" s="3">
        <f t="shared" si="2"/>
        <v>1146</v>
      </c>
      <c r="G71" s="3">
        <f t="shared" si="2"/>
        <v>2675</v>
      </c>
      <c r="H71" s="3">
        <f t="shared" si="2"/>
        <v>423</v>
      </c>
      <c r="I71" s="3">
        <f t="shared" si="2"/>
        <v>22227</v>
      </c>
      <c r="J71" s="3">
        <f t="shared" si="2"/>
        <v>2663</v>
      </c>
      <c r="K71" s="3"/>
    </row>
    <row r="72" spans="1:11" x14ac:dyDescent="0.25">
      <c r="B72" s="95">
        <v>11</v>
      </c>
      <c r="C72" s="97"/>
      <c r="D72" s="98"/>
      <c r="E72" s="97"/>
      <c r="F72" s="97"/>
      <c r="G72" s="97"/>
      <c r="H72" s="97"/>
      <c r="I72" s="97"/>
      <c r="J72" s="97"/>
    </row>
    <row r="73" spans="1:11" x14ac:dyDescent="0.25">
      <c r="A73" s="96" t="s">
        <v>290</v>
      </c>
      <c r="B73" s="96" t="s">
        <v>291</v>
      </c>
      <c r="C73" s="99" t="s">
        <v>67</v>
      </c>
      <c r="D73" s="100" t="s">
        <v>73</v>
      </c>
      <c r="E73" s="99" t="s">
        <v>66</v>
      </c>
      <c r="F73" s="99" t="s">
        <v>72</v>
      </c>
      <c r="G73" s="99" t="s">
        <v>69</v>
      </c>
      <c r="H73" s="99" t="s">
        <v>68</v>
      </c>
      <c r="I73" s="99" t="s">
        <v>71</v>
      </c>
      <c r="J73" s="99" t="s">
        <v>70</v>
      </c>
    </row>
    <row r="74" spans="1:11" x14ac:dyDescent="0.25">
      <c r="B74" s="91" t="s">
        <v>65</v>
      </c>
      <c r="C74" s="279">
        <v>0</v>
      </c>
      <c r="D74" s="279">
        <v>0</v>
      </c>
      <c r="E74" s="279">
        <v>0</v>
      </c>
      <c r="F74" s="279">
        <v>0</v>
      </c>
      <c r="G74" s="279">
        <v>0</v>
      </c>
      <c r="H74" s="279">
        <v>0</v>
      </c>
      <c r="I74" s="279">
        <v>0</v>
      </c>
      <c r="J74" s="279">
        <v>0</v>
      </c>
    </row>
    <row r="75" spans="1:11" x14ac:dyDescent="0.25">
      <c r="B75" s="91" t="s">
        <v>74</v>
      </c>
      <c r="C75" s="279">
        <v>0</v>
      </c>
      <c r="D75" s="279">
        <v>0</v>
      </c>
      <c r="E75" s="279" t="s">
        <v>301</v>
      </c>
      <c r="F75" s="279">
        <v>0</v>
      </c>
      <c r="G75" s="279">
        <v>0</v>
      </c>
      <c r="H75" s="279">
        <v>0</v>
      </c>
      <c r="I75" s="279">
        <v>0</v>
      </c>
      <c r="J75" s="279">
        <v>0</v>
      </c>
    </row>
    <row r="76" spans="1:11" x14ac:dyDescent="0.25">
      <c r="B76" s="91" t="s">
        <v>75</v>
      </c>
      <c r="C76" s="279" t="s">
        <v>67</v>
      </c>
      <c r="D76" s="279" t="s">
        <v>73</v>
      </c>
      <c r="E76" s="279" t="s">
        <v>66</v>
      </c>
      <c r="F76" s="279" t="s">
        <v>72</v>
      </c>
      <c r="G76" s="279" t="s">
        <v>69</v>
      </c>
      <c r="H76" s="279" t="s">
        <v>68</v>
      </c>
      <c r="I76" s="279" t="s">
        <v>71</v>
      </c>
      <c r="J76" s="279" t="s">
        <v>70</v>
      </c>
    </row>
    <row r="77" spans="1:11" x14ac:dyDescent="0.25">
      <c r="B77" s="91" t="s">
        <v>76</v>
      </c>
      <c r="C77" s="279">
        <v>341</v>
      </c>
      <c r="D77" s="279">
        <v>572</v>
      </c>
      <c r="E77" s="279">
        <v>12</v>
      </c>
      <c r="F77" s="279">
        <v>138</v>
      </c>
      <c r="G77" s="279">
        <v>150</v>
      </c>
      <c r="H77" s="279">
        <v>84</v>
      </c>
      <c r="I77" s="279">
        <v>1612</v>
      </c>
      <c r="J77" s="279">
        <v>134</v>
      </c>
    </row>
    <row r="78" spans="1:11" x14ac:dyDescent="0.25">
      <c r="B78" s="91" t="s">
        <v>77</v>
      </c>
      <c r="C78" s="279">
        <v>280</v>
      </c>
      <c r="D78" s="279">
        <v>293</v>
      </c>
      <c r="E78" s="279">
        <v>10</v>
      </c>
      <c r="F78" s="279">
        <v>106</v>
      </c>
      <c r="G78" s="279">
        <v>166</v>
      </c>
      <c r="H78" s="279">
        <v>23</v>
      </c>
      <c r="I78" s="279">
        <v>1530</v>
      </c>
      <c r="J78" s="279">
        <v>76</v>
      </c>
    </row>
    <row r="79" spans="1:11" x14ac:dyDescent="0.25">
      <c r="B79" s="91" t="s">
        <v>78</v>
      </c>
      <c r="C79" s="279">
        <v>230</v>
      </c>
      <c r="D79" s="279">
        <v>580</v>
      </c>
      <c r="E79" s="279">
        <v>15</v>
      </c>
      <c r="F79" s="279">
        <v>30</v>
      </c>
      <c r="G79" s="279">
        <v>216</v>
      </c>
      <c r="H79" s="279">
        <v>8</v>
      </c>
      <c r="I79" s="279">
        <v>1805</v>
      </c>
      <c r="J79" s="279">
        <v>239</v>
      </c>
    </row>
    <row r="80" spans="1:11" x14ac:dyDescent="0.25">
      <c r="B80" s="91" t="s">
        <v>79</v>
      </c>
      <c r="C80" s="279">
        <v>179</v>
      </c>
      <c r="D80" s="279">
        <v>622</v>
      </c>
      <c r="E80" s="279">
        <v>32</v>
      </c>
      <c r="F80" s="279">
        <v>74</v>
      </c>
      <c r="G80" s="279">
        <v>266</v>
      </c>
      <c r="H80" s="279">
        <v>19</v>
      </c>
      <c r="I80" s="279">
        <v>1070</v>
      </c>
      <c r="J80" s="279">
        <v>171</v>
      </c>
    </row>
    <row r="81" spans="1:11" x14ac:dyDescent="0.25">
      <c r="B81" s="91" t="s">
        <v>80</v>
      </c>
      <c r="C81" s="279">
        <v>207</v>
      </c>
      <c r="D81" s="279">
        <v>751</v>
      </c>
      <c r="E81" s="279">
        <v>26</v>
      </c>
      <c r="F81" s="279">
        <v>67</v>
      </c>
      <c r="G81" s="279">
        <v>170</v>
      </c>
      <c r="H81" s="279">
        <v>15</v>
      </c>
      <c r="I81" s="279">
        <v>1210</v>
      </c>
      <c r="J81" s="279">
        <v>205</v>
      </c>
    </row>
    <row r="82" spans="1:11" x14ac:dyDescent="0.25">
      <c r="B82" s="91" t="s">
        <v>81</v>
      </c>
      <c r="C82" s="279">
        <v>205</v>
      </c>
      <c r="D82" s="279">
        <v>727</v>
      </c>
      <c r="E82" s="279">
        <v>44</v>
      </c>
      <c r="F82" s="279">
        <v>125</v>
      </c>
      <c r="G82" s="279">
        <v>212</v>
      </c>
      <c r="H82" s="279">
        <v>50</v>
      </c>
      <c r="I82" s="279">
        <v>1226</v>
      </c>
      <c r="J82" s="279">
        <v>131</v>
      </c>
    </row>
    <row r="83" spans="1:11" x14ac:dyDescent="0.25">
      <c r="B83" s="91" t="s">
        <v>82</v>
      </c>
      <c r="C83" s="279">
        <v>205</v>
      </c>
      <c r="D83" s="279">
        <v>714</v>
      </c>
      <c r="E83" s="279">
        <v>40</v>
      </c>
      <c r="F83" s="279">
        <v>35</v>
      </c>
      <c r="G83" s="279">
        <v>113</v>
      </c>
      <c r="H83" s="279">
        <v>15</v>
      </c>
      <c r="I83" s="279">
        <v>1409</v>
      </c>
      <c r="J83" s="279">
        <v>198</v>
      </c>
    </row>
    <row r="84" spans="1:11" x14ac:dyDescent="0.25">
      <c r="B84" s="91" t="s">
        <v>83</v>
      </c>
      <c r="C84" s="279">
        <v>236</v>
      </c>
      <c r="D84" s="279">
        <v>604</v>
      </c>
      <c r="E84" s="279">
        <v>22</v>
      </c>
      <c r="F84" s="279">
        <v>60</v>
      </c>
      <c r="G84" s="279">
        <v>211</v>
      </c>
      <c r="H84" s="279">
        <v>41</v>
      </c>
      <c r="I84" s="279">
        <v>1395</v>
      </c>
      <c r="J84" s="279">
        <v>202</v>
      </c>
    </row>
    <row r="85" spans="1:11" x14ac:dyDescent="0.25">
      <c r="B85" s="91" t="s">
        <v>84</v>
      </c>
      <c r="C85" s="279">
        <v>260</v>
      </c>
      <c r="D85" s="279">
        <v>480</v>
      </c>
      <c r="E85" s="279">
        <v>64</v>
      </c>
      <c r="F85" s="279">
        <v>49</v>
      </c>
      <c r="G85" s="279">
        <v>177</v>
      </c>
      <c r="H85" s="279">
        <v>14</v>
      </c>
      <c r="I85" s="279">
        <v>1236</v>
      </c>
      <c r="J85" s="279">
        <v>181</v>
      </c>
    </row>
    <row r="86" spans="1:11" x14ac:dyDescent="0.25">
      <c r="B86" s="91" t="s">
        <v>85</v>
      </c>
      <c r="C86" s="279">
        <v>255</v>
      </c>
      <c r="D86" s="279">
        <v>800</v>
      </c>
      <c r="E86" s="279">
        <v>32</v>
      </c>
      <c r="F86" s="279">
        <v>48</v>
      </c>
      <c r="G86" s="279">
        <v>97</v>
      </c>
      <c r="H86" s="279">
        <v>42</v>
      </c>
      <c r="I86" s="279">
        <v>1522</v>
      </c>
      <c r="J86" s="279">
        <v>148</v>
      </c>
    </row>
    <row r="87" spans="1:11" x14ac:dyDescent="0.25">
      <c r="B87" s="91" t="s">
        <v>86</v>
      </c>
      <c r="C87" s="279">
        <v>240</v>
      </c>
      <c r="D87" s="279">
        <v>571</v>
      </c>
      <c r="E87" s="279">
        <v>21</v>
      </c>
      <c r="F87" s="279">
        <v>98</v>
      </c>
      <c r="G87" s="279">
        <v>205</v>
      </c>
      <c r="H87" s="279">
        <v>16</v>
      </c>
      <c r="I87" s="279">
        <v>1314</v>
      </c>
      <c r="J87" s="279">
        <v>174</v>
      </c>
    </row>
    <row r="88" spans="1:11" x14ac:dyDescent="0.25">
      <c r="B88" s="91" t="s">
        <v>87</v>
      </c>
      <c r="C88" s="279">
        <v>255</v>
      </c>
      <c r="D88" s="279">
        <v>651</v>
      </c>
      <c r="E88" s="279">
        <v>65</v>
      </c>
      <c r="F88" s="279">
        <v>46</v>
      </c>
      <c r="G88" s="279">
        <v>144</v>
      </c>
      <c r="H88" s="279">
        <v>20</v>
      </c>
      <c r="I88" s="279">
        <v>1226</v>
      </c>
      <c r="J88" s="279">
        <v>139</v>
      </c>
    </row>
    <row r="89" spans="1:11" x14ac:dyDescent="0.25">
      <c r="B89" s="91" t="s">
        <v>88</v>
      </c>
      <c r="C89" s="279">
        <v>258</v>
      </c>
      <c r="D89" s="279">
        <v>360</v>
      </c>
      <c r="E89" s="279">
        <v>27</v>
      </c>
      <c r="F89" s="279">
        <v>44</v>
      </c>
      <c r="G89" s="279">
        <v>60</v>
      </c>
      <c r="H89" s="279">
        <v>7</v>
      </c>
      <c r="I89" s="279">
        <v>1532</v>
      </c>
      <c r="J89" s="279">
        <v>153</v>
      </c>
    </row>
    <row r="90" spans="1:11" x14ac:dyDescent="0.25">
      <c r="B90" s="91" t="s">
        <v>89</v>
      </c>
      <c r="C90" s="279">
        <v>211</v>
      </c>
      <c r="D90" s="279">
        <v>854</v>
      </c>
      <c r="E90" s="279">
        <v>23</v>
      </c>
      <c r="F90" s="279">
        <v>158</v>
      </c>
      <c r="G90" s="279">
        <v>128</v>
      </c>
      <c r="H90" s="279">
        <v>36</v>
      </c>
      <c r="I90" s="279">
        <v>1528</v>
      </c>
      <c r="J90" s="279">
        <v>186</v>
      </c>
    </row>
    <row r="91" spans="1:11" x14ac:dyDescent="0.25">
      <c r="B91" s="91" t="s">
        <v>90</v>
      </c>
      <c r="C91" s="279">
        <v>261</v>
      </c>
      <c r="D91" s="279">
        <v>404</v>
      </c>
      <c r="E91" s="279">
        <v>66</v>
      </c>
      <c r="F91" s="279">
        <v>31</v>
      </c>
      <c r="G91" s="279">
        <v>174</v>
      </c>
      <c r="H91" s="279">
        <v>24</v>
      </c>
      <c r="I91" s="279">
        <v>1256</v>
      </c>
      <c r="J91" s="279">
        <v>139</v>
      </c>
    </row>
    <row r="92" spans="1:11" x14ac:dyDescent="0.25">
      <c r="B92" s="91" t="s">
        <v>91</v>
      </c>
      <c r="C92" s="279">
        <v>152</v>
      </c>
      <c r="D92" s="279">
        <v>436</v>
      </c>
      <c r="E92" s="279">
        <v>57</v>
      </c>
      <c r="F92" s="279">
        <v>47</v>
      </c>
      <c r="G92" s="279">
        <v>196</v>
      </c>
      <c r="H92" s="279">
        <v>10</v>
      </c>
      <c r="I92" s="279">
        <v>1367</v>
      </c>
      <c r="J92" s="279">
        <v>193</v>
      </c>
    </row>
    <row r="93" spans="1:11" x14ac:dyDescent="0.25">
      <c r="C93" s="3">
        <f t="shared" ref="C93:J93" si="3">SUM(C74:C92)</f>
        <v>3775</v>
      </c>
      <c r="D93" s="3">
        <f t="shared" si="3"/>
        <v>9419</v>
      </c>
      <c r="E93" s="3">
        <f t="shared" si="3"/>
        <v>556</v>
      </c>
      <c r="F93" s="3">
        <f t="shared" si="3"/>
        <v>1156</v>
      </c>
      <c r="G93" s="3">
        <f t="shared" si="3"/>
        <v>2685</v>
      </c>
      <c r="H93" s="3">
        <f t="shared" si="3"/>
        <v>424</v>
      </c>
      <c r="I93" s="3">
        <f t="shared" si="3"/>
        <v>22238</v>
      </c>
      <c r="J93" s="3">
        <f t="shared" si="3"/>
        <v>2669</v>
      </c>
      <c r="K93" s="3"/>
    </row>
    <row r="94" spans="1:11" x14ac:dyDescent="0.25">
      <c r="B94" s="95">
        <v>12</v>
      </c>
      <c r="C94" s="97"/>
      <c r="D94" s="98"/>
      <c r="E94" s="97"/>
      <c r="F94" s="97"/>
      <c r="G94" s="97"/>
      <c r="H94" s="97"/>
      <c r="I94" s="97"/>
      <c r="J94" s="97"/>
    </row>
    <row r="95" spans="1:11" x14ac:dyDescent="0.25">
      <c r="A95" s="96" t="s">
        <v>291</v>
      </c>
      <c r="B95" s="96" t="s">
        <v>292</v>
      </c>
      <c r="C95" s="99" t="s">
        <v>67</v>
      </c>
      <c r="D95" s="100" t="s">
        <v>73</v>
      </c>
      <c r="E95" s="99" t="s">
        <v>66</v>
      </c>
      <c r="F95" s="99" t="s">
        <v>72</v>
      </c>
      <c r="G95" s="99" t="s">
        <v>69</v>
      </c>
      <c r="H95" s="99" t="s">
        <v>68</v>
      </c>
      <c r="I95" s="99" t="s">
        <v>71</v>
      </c>
      <c r="J95" s="99" t="s">
        <v>70</v>
      </c>
    </row>
    <row r="96" spans="1:11" x14ac:dyDescent="0.25">
      <c r="B96" s="91" t="s">
        <v>65</v>
      </c>
      <c r="C96" s="279">
        <v>0</v>
      </c>
      <c r="D96" s="279">
        <v>0</v>
      </c>
      <c r="E96" s="279">
        <v>0</v>
      </c>
      <c r="F96" s="279">
        <v>0</v>
      </c>
      <c r="G96" s="279">
        <v>0</v>
      </c>
      <c r="H96" s="279">
        <v>0</v>
      </c>
      <c r="I96" s="279">
        <v>0</v>
      </c>
      <c r="J96" s="279">
        <v>0</v>
      </c>
    </row>
    <row r="97" spans="2:10" x14ac:dyDescent="0.25">
      <c r="B97" s="91" t="s">
        <v>74</v>
      </c>
      <c r="C97" s="279">
        <v>0</v>
      </c>
      <c r="D97" s="279">
        <v>0</v>
      </c>
      <c r="E97" s="279" t="s">
        <v>301</v>
      </c>
      <c r="F97" s="279">
        <v>0</v>
      </c>
      <c r="G97" s="279">
        <v>0</v>
      </c>
      <c r="H97" s="279">
        <v>0</v>
      </c>
      <c r="I97" s="279">
        <v>0</v>
      </c>
      <c r="J97" s="279">
        <v>0</v>
      </c>
    </row>
    <row r="98" spans="2:10" x14ac:dyDescent="0.25">
      <c r="B98" s="91" t="s">
        <v>75</v>
      </c>
      <c r="C98" s="279" t="s">
        <v>67</v>
      </c>
      <c r="D98" s="279" t="s">
        <v>73</v>
      </c>
      <c r="E98" s="279" t="s">
        <v>66</v>
      </c>
      <c r="F98" s="279" t="s">
        <v>72</v>
      </c>
      <c r="G98" s="279" t="s">
        <v>69</v>
      </c>
      <c r="H98" s="279" t="s">
        <v>68</v>
      </c>
      <c r="I98" s="279" t="s">
        <v>71</v>
      </c>
      <c r="J98" s="279" t="s">
        <v>70</v>
      </c>
    </row>
    <row r="99" spans="2:10" x14ac:dyDescent="0.25">
      <c r="B99" s="91" t="s">
        <v>76</v>
      </c>
      <c r="C99" s="279">
        <v>351</v>
      </c>
      <c r="D99" s="279">
        <v>600</v>
      </c>
      <c r="E99" s="279">
        <v>12</v>
      </c>
      <c r="F99" s="279">
        <v>142</v>
      </c>
      <c r="G99" s="279">
        <v>150</v>
      </c>
      <c r="H99" s="279">
        <v>91</v>
      </c>
      <c r="I99" s="279">
        <v>1643</v>
      </c>
      <c r="J99" s="279">
        <v>138</v>
      </c>
    </row>
    <row r="100" spans="2:10" x14ac:dyDescent="0.25">
      <c r="B100" s="91" t="s">
        <v>77</v>
      </c>
      <c r="C100" s="279">
        <v>292</v>
      </c>
      <c r="D100" s="279">
        <v>314</v>
      </c>
      <c r="E100" s="279">
        <v>10</v>
      </c>
      <c r="F100" s="279">
        <v>108</v>
      </c>
      <c r="G100" s="279">
        <v>171</v>
      </c>
      <c r="H100" s="279">
        <v>26</v>
      </c>
      <c r="I100" s="279">
        <v>1553</v>
      </c>
      <c r="J100" s="279">
        <v>76</v>
      </c>
    </row>
    <row r="101" spans="2:10" x14ac:dyDescent="0.25">
      <c r="B101" s="91" t="s">
        <v>78</v>
      </c>
      <c r="C101" s="279">
        <v>237</v>
      </c>
      <c r="D101" s="279">
        <v>606</v>
      </c>
      <c r="E101" s="279">
        <v>15</v>
      </c>
      <c r="F101" s="279">
        <v>31</v>
      </c>
      <c r="G101" s="279">
        <v>220</v>
      </c>
      <c r="H101" s="279">
        <v>8</v>
      </c>
      <c r="I101" s="279">
        <v>1837</v>
      </c>
      <c r="J101" s="279">
        <v>238</v>
      </c>
    </row>
    <row r="102" spans="2:10" x14ac:dyDescent="0.25">
      <c r="B102" s="91" t="s">
        <v>79</v>
      </c>
      <c r="C102" s="279">
        <v>183</v>
      </c>
      <c r="D102" s="279">
        <v>635</v>
      </c>
      <c r="E102" s="279">
        <v>34</v>
      </c>
      <c r="F102" s="279">
        <v>78</v>
      </c>
      <c r="G102" s="279">
        <v>281</v>
      </c>
      <c r="H102" s="279">
        <v>19</v>
      </c>
      <c r="I102" s="279">
        <v>1087</v>
      </c>
      <c r="J102" s="279">
        <v>171</v>
      </c>
    </row>
    <row r="103" spans="2:10" x14ac:dyDescent="0.25">
      <c r="B103" s="91" t="s">
        <v>80</v>
      </c>
      <c r="C103" s="279">
        <v>213</v>
      </c>
      <c r="D103" s="279">
        <v>772</v>
      </c>
      <c r="E103" s="279">
        <v>26</v>
      </c>
      <c r="F103" s="279">
        <v>68</v>
      </c>
      <c r="G103" s="279">
        <v>175</v>
      </c>
      <c r="H103" s="279">
        <v>15</v>
      </c>
      <c r="I103" s="279">
        <v>1224</v>
      </c>
      <c r="J103" s="279">
        <v>209</v>
      </c>
    </row>
    <row r="104" spans="2:10" x14ac:dyDescent="0.25">
      <c r="B104" s="91" t="s">
        <v>81</v>
      </c>
      <c r="C104" s="279">
        <v>210</v>
      </c>
      <c r="D104" s="279">
        <v>752</v>
      </c>
      <c r="E104" s="279">
        <v>44</v>
      </c>
      <c r="F104" s="279">
        <v>131</v>
      </c>
      <c r="G104" s="279">
        <v>215</v>
      </c>
      <c r="H104" s="279">
        <v>50</v>
      </c>
      <c r="I104" s="279">
        <v>1238</v>
      </c>
      <c r="J104" s="279">
        <v>131</v>
      </c>
    </row>
    <row r="105" spans="2:10" x14ac:dyDescent="0.25">
      <c r="B105" s="91" t="s">
        <v>82</v>
      </c>
      <c r="C105" s="279">
        <v>214</v>
      </c>
      <c r="D105" s="279">
        <v>735</v>
      </c>
      <c r="E105" s="279">
        <v>41</v>
      </c>
      <c r="F105" s="279">
        <v>36</v>
      </c>
      <c r="G105" s="279">
        <v>117</v>
      </c>
      <c r="H105" s="279">
        <v>15</v>
      </c>
      <c r="I105" s="279">
        <v>1445</v>
      </c>
      <c r="J105" s="279">
        <v>198</v>
      </c>
    </row>
    <row r="106" spans="2:10" x14ac:dyDescent="0.25">
      <c r="B106" s="91" t="s">
        <v>83</v>
      </c>
      <c r="C106" s="279">
        <v>245</v>
      </c>
      <c r="D106" s="279">
        <v>620</v>
      </c>
      <c r="E106" s="279">
        <v>24</v>
      </c>
      <c r="F106" s="279">
        <v>61</v>
      </c>
      <c r="G106" s="279">
        <v>211</v>
      </c>
      <c r="H106" s="279">
        <v>42</v>
      </c>
      <c r="I106" s="279">
        <v>1428</v>
      </c>
      <c r="J106" s="279">
        <v>206</v>
      </c>
    </row>
    <row r="107" spans="2:10" x14ac:dyDescent="0.25">
      <c r="B107" s="91" t="s">
        <v>84</v>
      </c>
      <c r="C107" s="279">
        <v>265</v>
      </c>
      <c r="D107" s="279">
        <v>502</v>
      </c>
      <c r="E107" s="279">
        <v>65</v>
      </c>
      <c r="F107" s="279">
        <v>51</v>
      </c>
      <c r="G107" s="279">
        <v>185</v>
      </c>
      <c r="H107" s="279">
        <v>14</v>
      </c>
      <c r="I107" s="279">
        <v>1274</v>
      </c>
      <c r="J107" s="279">
        <v>186</v>
      </c>
    </row>
    <row r="108" spans="2:10" x14ac:dyDescent="0.25">
      <c r="B108" s="91" t="s">
        <v>85</v>
      </c>
      <c r="C108" s="279">
        <v>256</v>
      </c>
      <c r="D108" s="279">
        <v>820</v>
      </c>
      <c r="E108" s="279">
        <v>35</v>
      </c>
      <c r="F108" s="279">
        <v>49</v>
      </c>
      <c r="G108" s="279">
        <v>96</v>
      </c>
      <c r="H108" s="279">
        <v>44</v>
      </c>
      <c r="I108" s="279">
        <v>1539</v>
      </c>
      <c r="J108" s="279">
        <v>154</v>
      </c>
    </row>
    <row r="109" spans="2:10" x14ac:dyDescent="0.25">
      <c r="B109" s="91" t="s">
        <v>86</v>
      </c>
      <c r="C109" s="279">
        <v>244</v>
      </c>
      <c r="D109" s="279">
        <v>572</v>
      </c>
      <c r="E109" s="279">
        <v>22</v>
      </c>
      <c r="F109" s="279">
        <v>103</v>
      </c>
      <c r="G109" s="279">
        <v>210</v>
      </c>
      <c r="H109" s="279">
        <v>16</v>
      </c>
      <c r="I109" s="279">
        <v>1336</v>
      </c>
      <c r="J109" s="279">
        <v>176</v>
      </c>
    </row>
    <row r="110" spans="2:10" x14ac:dyDescent="0.25">
      <c r="B110" s="91" t="s">
        <v>87</v>
      </c>
      <c r="C110" s="279">
        <v>268</v>
      </c>
      <c r="D110" s="279">
        <v>667</v>
      </c>
      <c r="E110" s="279">
        <v>65</v>
      </c>
      <c r="F110" s="279">
        <v>47</v>
      </c>
      <c r="G110" s="279">
        <v>142</v>
      </c>
      <c r="H110" s="279">
        <v>20</v>
      </c>
      <c r="I110" s="279">
        <v>1256</v>
      </c>
      <c r="J110" s="279">
        <v>142</v>
      </c>
    </row>
    <row r="111" spans="2:10" x14ac:dyDescent="0.25">
      <c r="B111" s="91" t="s">
        <v>88</v>
      </c>
      <c r="C111" s="279">
        <v>274</v>
      </c>
      <c r="D111" s="279">
        <v>377</v>
      </c>
      <c r="E111" s="279">
        <v>27</v>
      </c>
      <c r="F111" s="279">
        <v>44</v>
      </c>
      <c r="G111" s="279">
        <v>61</v>
      </c>
      <c r="H111" s="279">
        <v>7</v>
      </c>
      <c r="I111" s="279">
        <v>1557</v>
      </c>
      <c r="J111" s="279">
        <v>153</v>
      </c>
    </row>
    <row r="112" spans="2:10" x14ac:dyDescent="0.25">
      <c r="B112" s="91" t="s">
        <v>89</v>
      </c>
      <c r="C112" s="279">
        <v>218</v>
      </c>
      <c r="D112" s="279">
        <v>892</v>
      </c>
      <c r="E112" s="279">
        <v>25</v>
      </c>
      <c r="F112" s="279">
        <v>160</v>
      </c>
      <c r="G112" s="279">
        <v>135</v>
      </c>
      <c r="H112" s="279">
        <v>38</v>
      </c>
      <c r="I112" s="279">
        <v>1536</v>
      </c>
      <c r="J112" s="279">
        <v>189</v>
      </c>
    </row>
    <row r="113" spans="1:11" x14ac:dyDescent="0.25">
      <c r="B113" s="91" t="s">
        <v>90</v>
      </c>
      <c r="C113" s="279">
        <v>274</v>
      </c>
      <c r="D113" s="279">
        <v>415</v>
      </c>
      <c r="E113" s="279">
        <v>67</v>
      </c>
      <c r="F113" s="279">
        <v>35</v>
      </c>
      <c r="G113" s="279">
        <v>175</v>
      </c>
      <c r="H113" s="279">
        <v>25</v>
      </c>
      <c r="I113" s="279">
        <v>1275</v>
      </c>
      <c r="J113" s="279">
        <v>140</v>
      </c>
    </row>
    <row r="114" spans="1:11" x14ac:dyDescent="0.25">
      <c r="B114" s="91" t="s">
        <v>91</v>
      </c>
      <c r="C114" s="279">
        <v>160</v>
      </c>
      <c r="D114" s="279">
        <v>452</v>
      </c>
      <c r="E114" s="279">
        <v>62</v>
      </c>
      <c r="F114" s="279">
        <v>49</v>
      </c>
      <c r="G114" s="279">
        <v>199</v>
      </c>
      <c r="H114" s="279">
        <v>11</v>
      </c>
      <c r="I114" s="279">
        <v>1391</v>
      </c>
      <c r="J114" s="279">
        <v>205</v>
      </c>
    </row>
    <row r="115" spans="1:11" x14ac:dyDescent="0.25">
      <c r="C115" s="3">
        <f t="shared" ref="C115:J115" si="4">SUM(C96:C114)</f>
        <v>3904</v>
      </c>
      <c r="D115" s="3">
        <f t="shared" si="4"/>
        <v>9731</v>
      </c>
      <c r="E115" s="3">
        <f t="shared" si="4"/>
        <v>574</v>
      </c>
      <c r="F115" s="3">
        <f t="shared" si="4"/>
        <v>1193</v>
      </c>
      <c r="G115" s="3">
        <f t="shared" si="4"/>
        <v>2743</v>
      </c>
      <c r="H115" s="3">
        <f t="shared" si="4"/>
        <v>441</v>
      </c>
      <c r="I115" s="3">
        <f t="shared" si="4"/>
        <v>22619</v>
      </c>
      <c r="J115" s="3">
        <f t="shared" si="4"/>
        <v>2712</v>
      </c>
      <c r="K115" s="3"/>
    </row>
    <row r="116" spans="1:11" x14ac:dyDescent="0.25">
      <c r="B116" s="95">
        <v>1</v>
      </c>
      <c r="C116" s="97"/>
      <c r="D116" s="98"/>
      <c r="E116" s="97"/>
      <c r="F116" s="97"/>
      <c r="G116" s="97"/>
      <c r="H116" s="97"/>
      <c r="I116" s="97"/>
      <c r="J116" s="97"/>
    </row>
    <row r="117" spans="1:11" x14ac:dyDescent="0.25">
      <c r="A117" s="96" t="s">
        <v>292</v>
      </c>
      <c r="B117" s="96" t="s">
        <v>297</v>
      </c>
      <c r="C117" s="99" t="s">
        <v>67</v>
      </c>
      <c r="D117" s="100" t="s">
        <v>73</v>
      </c>
      <c r="E117" s="99" t="s">
        <v>66</v>
      </c>
      <c r="F117" s="99" t="s">
        <v>72</v>
      </c>
      <c r="G117" s="99" t="s">
        <v>69</v>
      </c>
      <c r="H117" s="99" t="s">
        <v>68</v>
      </c>
      <c r="I117" s="99" t="s">
        <v>71</v>
      </c>
      <c r="J117" s="99" t="s">
        <v>70</v>
      </c>
    </row>
    <row r="118" spans="1:11" x14ac:dyDescent="0.25">
      <c r="B118" s="91" t="s">
        <v>65</v>
      </c>
      <c r="C118" s="279">
        <v>0</v>
      </c>
      <c r="D118" s="279">
        <v>0</v>
      </c>
      <c r="E118" s="279">
        <v>0</v>
      </c>
      <c r="F118" s="279">
        <v>0</v>
      </c>
      <c r="G118" s="279">
        <v>0</v>
      </c>
      <c r="H118" s="279">
        <v>0</v>
      </c>
      <c r="I118" s="279">
        <v>0</v>
      </c>
      <c r="J118" s="279">
        <v>0</v>
      </c>
    </row>
    <row r="119" spans="1:11" x14ac:dyDescent="0.25">
      <c r="B119" s="91" t="s">
        <v>74</v>
      </c>
      <c r="C119" s="279">
        <v>0</v>
      </c>
      <c r="D119" s="279">
        <v>0</v>
      </c>
      <c r="E119" s="279" t="s">
        <v>301</v>
      </c>
      <c r="F119" s="279">
        <v>0</v>
      </c>
      <c r="G119" s="279">
        <v>0</v>
      </c>
      <c r="H119" s="279">
        <v>0</v>
      </c>
      <c r="I119" s="279">
        <v>0</v>
      </c>
      <c r="J119" s="279">
        <v>0</v>
      </c>
    </row>
    <row r="120" spans="1:11" x14ac:dyDescent="0.25">
      <c r="B120" s="91" t="s">
        <v>75</v>
      </c>
      <c r="C120" s="279" t="s">
        <v>67</v>
      </c>
      <c r="D120" s="279" t="s">
        <v>73</v>
      </c>
      <c r="E120" s="279" t="s">
        <v>66</v>
      </c>
      <c r="F120" s="279" t="s">
        <v>72</v>
      </c>
      <c r="G120" s="279" t="s">
        <v>69</v>
      </c>
      <c r="H120" s="279" t="s">
        <v>68</v>
      </c>
      <c r="I120" s="279" t="s">
        <v>71</v>
      </c>
      <c r="J120" s="279" t="s">
        <v>70</v>
      </c>
    </row>
    <row r="121" spans="1:11" x14ac:dyDescent="0.25">
      <c r="B121" s="91" t="s">
        <v>76</v>
      </c>
      <c r="C121" s="279">
        <v>348</v>
      </c>
      <c r="D121" s="279">
        <v>601</v>
      </c>
      <c r="E121" s="279">
        <v>12</v>
      </c>
      <c r="F121" s="279">
        <v>144</v>
      </c>
      <c r="G121" s="279">
        <v>155</v>
      </c>
      <c r="H121" s="279">
        <v>91</v>
      </c>
      <c r="I121" s="279">
        <v>1649</v>
      </c>
      <c r="J121" s="279">
        <v>141</v>
      </c>
    </row>
    <row r="122" spans="1:11" x14ac:dyDescent="0.25">
      <c r="B122" s="91" t="s">
        <v>77</v>
      </c>
      <c r="C122" s="279">
        <v>290</v>
      </c>
      <c r="D122" s="279">
        <v>314</v>
      </c>
      <c r="E122" s="279">
        <v>10</v>
      </c>
      <c r="F122" s="279">
        <v>111</v>
      </c>
      <c r="G122" s="279">
        <v>172</v>
      </c>
      <c r="H122" s="279">
        <v>26</v>
      </c>
      <c r="I122" s="279">
        <v>1576</v>
      </c>
      <c r="J122" s="279">
        <v>78</v>
      </c>
    </row>
    <row r="123" spans="1:11" x14ac:dyDescent="0.25">
      <c r="B123" s="91" t="s">
        <v>78</v>
      </c>
      <c r="C123" s="279">
        <v>243</v>
      </c>
      <c r="D123" s="279">
        <v>609</v>
      </c>
      <c r="E123" s="279">
        <v>15</v>
      </c>
      <c r="F123" s="279">
        <v>31</v>
      </c>
      <c r="G123" s="279">
        <v>217</v>
      </c>
      <c r="H123" s="279">
        <v>8</v>
      </c>
      <c r="I123" s="279">
        <v>1841</v>
      </c>
      <c r="J123" s="279">
        <v>242</v>
      </c>
    </row>
    <row r="124" spans="1:11" x14ac:dyDescent="0.25">
      <c r="B124" s="91" t="s">
        <v>79</v>
      </c>
      <c r="C124" s="279">
        <v>187</v>
      </c>
      <c r="D124" s="279">
        <v>642</v>
      </c>
      <c r="E124" s="279">
        <v>34</v>
      </c>
      <c r="F124" s="279">
        <v>80</v>
      </c>
      <c r="G124" s="279">
        <v>274</v>
      </c>
      <c r="H124" s="279">
        <v>20</v>
      </c>
      <c r="I124" s="279">
        <v>1091</v>
      </c>
      <c r="J124" s="279">
        <v>175</v>
      </c>
    </row>
    <row r="125" spans="1:11" x14ac:dyDescent="0.25">
      <c r="B125" s="91" t="s">
        <v>80</v>
      </c>
      <c r="C125" s="279">
        <v>213</v>
      </c>
      <c r="D125" s="279">
        <v>763</v>
      </c>
      <c r="E125" s="279">
        <v>26</v>
      </c>
      <c r="F125" s="279">
        <v>68</v>
      </c>
      <c r="G125" s="279">
        <v>178</v>
      </c>
      <c r="H125" s="279">
        <v>15</v>
      </c>
      <c r="I125" s="279">
        <v>1238</v>
      </c>
      <c r="J125" s="279">
        <v>212</v>
      </c>
    </row>
    <row r="126" spans="1:11" x14ac:dyDescent="0.25">
      <c r="B126" s="91" t="s">
        <v>81</v>
      </c>
      <c r="C126" s="279">
        <v>210</v>
      </c>
      <c r="D126" s="279">
        <v>753</v>
      </c>
      <c r="E126" s="279">
        <v>44</v>
      </c>
      <c r="F126" s="279">
        <v>130</v>
      </c>
      <c r="G126" s="279">
        <v>220</v>
      </c>
      <c r="H126" s="279">
        <v>50</v>
      </c>
      <c r="I126" s="279">
        <v>1245</v>
      </c>
      <c r="J126" s="279">
        <v>131</v>
      </c>
    </row>
    <row r="127" spans="1:11" x14ac:dyDescent="0.25">
      <c r="B127" s="91" t="s">
        <v>82</v>
      </c>
      <c r="C127" s="279">
        <v>214</v>
      </c>
      <c r="D127" s="279">
        <v>738</v>
      </c>
      <c r="E127" s="279">
        <v>41</v>
      </c>
      <c r="F127" s="279">
        <v>34</v>
      </c>
      <c r="G127" s="279">
        <v>118</v>
      </c>
      <c r="H127" s="279">
        <v>15</v>
      </c>
      <c r="I127" s="279">
        <v>1447</v>
      </c>
      <c r="J127" s="279">
        <v>207</v>
      </c>
    </row>
    <row r="128" spans="1:11" x14ac:dyDescent="0.25">
      <c r="B128" s="91" t="s">
        <v>83</v>
      </c>
      <c r="C128" s="279">
        <v>245</v>
      </c>
      <c r="D128" s="279">
        <v>626</v>
      </c>
      <c r="E128" s="279">
        <v>23</v>
      </c>
      <c r="F128" s="279">
        <v>60</v>
      </c>
      <c r="G128" s="279">
        <v>214</v>
      </c>
      <c r="H128" s="279">
        <v>42</v>
      </c>
      <c r="I128" s="279">
        <v>1428</v>
      </c>
      <c r="J128" s="279">
        <v>206</v>
      </c>
    </row>
    <row r="129" spans="2:11" x14ac:dyDescent="0.25">
      <c r="B129" s="91" t="s">
        <v>84</v>
      </c>
      <c r="C129" s="279">
        <v>264</v>
      </c>
      <c r="D129" s="279">
        <v>497</v>
      </c>
      <c r="E129" s="279">
        <v>66</v>
      </c>
      <c r="F129" s="279">
        <v>51</v>
      </c>
      <c r="G129" s="279">
        <v>183</v>
      </c>
      <c r="H129" s="279">
        <v>14</v>
      </c>
      <c r="I129" s="279">
        <v>1277</v>
      </c>
      <c r="J129" s="279">
        <v>189</v>
      </c>
    </row>
    <row r="130" spans="2:11" x14ac:dyDescent="0.25">
      <c r="B130" s="91" t="s">
        <v>85</v>
      </c>
      <c r="C130" s="279">
        <v>262</v>
      </c>
      <c r="D130" s="279">
        <v>821</v>
      </c>
      <c r="E130" s="279">
        <v>33</v>
      </c>
      <c r="F130" s="279">
        <v>50</v>
      </c>
      <c r="G130" s="279">
        <v>98</v>
      </c>
      <c r="H130" s="279">
        <v>42</v>
      </c>
      <c r="I130" s="279">
        <v>1548</v>
      </c>
      <c r="J130" s="279">
        <v>156</v>
      </c>
    </row>
    <row r="131" spans="2:11" x14ac:dyDescent="0.25">
      <c r="B131" s="91" t="s">
        <v>86</v>
      </c>
      <c r="C131" s="279">
        <v>246</v>
      </c>
      <c r="D131" s="279">
        <v>572</v>
      </c>
      <c r="E131" s="279">
        <v>23</v>
      </c>
      <c r="F131" s="279">
        <v>101</v>
      </c>
      <c r="G131" s="279">
        <v>212</v>
      </c>
      <c r="H131" s="279">
        <v>18</v>
      </c>
      <c r="I131" s="279">
        <v>1351</v>
      </c>
      <c r="J131" s="279">
        <v>180</v>
      </c>
    </row>
    <row r="132" spans="2:11" x14ac:dyDescent="0.25">
      <c r="B132" s="91" t="s">
        <v>87</v>
      </c>
      <c r="C132" s="279">
        <v>269</v>
      </c>
      <c r="D132" s="279">
        <v>658</v>
      </c>
      <c r="E132" s="279">
        <v>65</v>
      </c>
      <c r="F132" s="279">
        <v>47</v>
      </c>
      <c r="G132" s="279">
        <v>143</v>
      </c>
      <c r="H132" s="279">
        <v>20</v>
      </c>
      <c r="I132" s="279">
        <v>1257</v>
      </c>
      <c r="J132" s="279">
        <v>143</v>
      </c>
    </row>
    <row r="133" spans="2:11" x14ac:dyDescent="0.25">
      <c r="B133" s="91" t="s">
        <v>88</v>
      </c>
      <c r="C133" s="279">
        <v>291</v>
      </c>
      <c r="D133" s="279">
        <v>384</v>
      </c>
      <c r="E133" s="279">
        <v>27</v>
      </c>
      <c r="F133" s="279">
        <v>46</v>
      </c>
      <c r="G133" s="279">
        <v>62</v>
      </c>
      <c r="H133" s="279">
        <v>7</v>
      </c>
      <c r="I133" s="279">
        <v>1561</v>
      </c>
      <c r="J133" s="279">
        <v>154</v>
      </c>
    </row>
    <row r="134" spans="2:11" x14ac:dyDescent="0.25">
      <c r="B134" s="91" t="s">
        <v>89</v>
      </c>
      <c r="C134" s="279">
        <v>223</v>
      </c>
      <c r="D134" s="279">
        <v>897</v>
      </c>
      <c r="E134" s="279">
        <v>25</v>
      </c>
      <c r="F134" s="279">
        <v>162</v>
      </c>
      <c r="G134" s="279">
        <v>136</v>
      </c>
      <c r="H134" s="279">
        <v>38</v>
      </c>
      <c r="I134" s="279">
        <v>1551</v>
      </c>
      <c r="J134" s="279">
        <v>193</v>
      </c>
    </row>
    <row r="135" spans="2:11" x14ac:dyDescent="0.25">
      <c r="B135" s="91" t="s">
        <v>90</v>
      </c>
      <c r="C135" s="279">
        <v>275</v>
      </c>
      <c r="D135" s="279">
        <v>423</v>
      </c>
      <c r="E135" s="279">
        <v>68</v>
      </c>
      <c r="F135" s="279">
        <v>34</v>
      </c>
      <c r="G135" s="279">
        <v>173</v>
      </c>
      <c r="H135" s="279">
        <v>25</v>
      </c>
      <c r="I135" s="279">
        <v>1282</v>
      </c>
      <c r="J135" s="279">
        <v>142</v>
      </c>
    </row>
    <row r="136" spans="2:11" x14ac:dyDescent="0.25">
      <c r="B136" s="91" t="s">
        <v>91</v>
      </c>
      <c r="C136" s="279">
        <v>162</v>
      </c>
      <c r="D136" s="279">
        <v>455</v>
      </c>
      <c r="E136" s="279">
        <v>64</v>
      </c>
      <c r="F136" s="279">
        <v>50</v>
      </c>
      <c r="G136" s="279">
        <v>201</v>
      </c>
      <c r="H136" s="279">
        <v>11</v>
      </c>
      <c r="I136" s="279">
        <v>1415</v>
      </c>
      <c r="J136" s="279">
        <v>203</v>
      </c>
    </row>
    <row r="137" spans="2:11" x14ac:dyDescent="0.25">
      <c r="C137" s="3">
        <f>SUM(C118:C136)</f>
        <v>3942</v>
      </c>
      <c r="D137" s="3">
        <f t="shared" ref="D137:J137" si="5">SUM(D118:D136)</f>
        <v>9753</v>
      </c>
      <c r="E137" s="3">
        <f t="shared" si="5"/>
        <v>576</v>
      </c>
      <c r="F137" s="3">
        <f t="shared" si="5"/>
        <v>1199</v>
      </c>
      <c r="G137" s="3">
        <f t="shared" si="5"/>
        <v>2756</v>
      </c>
      <c r="H137" s="3">
        <f t="shared" si="5"/>
        <v>442</v>
      </c>
      <c r="I137" s="3">
        <f t="shared" si="5"/>
        <v>22757</v>
      </c>
      <c r="J137" s="3">
        <f t="shared" si="5"/>
        <v>2752</v>
      </c>
      <c r="K137" s="3"/>
    </row>
    <row r="138" spans="2:11" x14ac:dyDescent="0.25">
      <c r="B138" s="91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91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91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91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91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91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91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91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91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91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91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91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91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F375"/>
  <sheetViews>
    <sheetView zoomScale="75" zoomScaleNormal="75" workbookViewId="0">
      <selection activeCell="X3" sqref="X3"/>
    </sheetView>
  </sheetViews>
  <sheetFormatPr defaultRowHeight="15" x14ac:dyDescent="0.25"/>
  <cols>
    <col min="1" max="2" width="9.140625" style="218"/>
    <col min="4" max="4" width="15.28515625" style="218" customWidth="1"/>
    <col min="5" max="5" width="4.85546875" customWidth="1"/>
    <col min="6" max="6" width="18.42578125" style="218" customWidth="1"/>
  </cols>
  <sheetData>
    <row r="1" spans="1:6" x14ac:dyDescent="0.25">
      <c r="A1" s="220" t="s">
        <v>190</v>
      </c>
    </row>
    <row r="2" spans="1:6" x14ac:dyDescent="0.25">
      <c r="A2" s="221" t="s">
        <v>191</v>
      </c>
    </row>
    <row r="3" spans="1:6" ht="45.75" customHeight="1" x14ac:dyDescent="0.25">
      <c r="D3" s="222" t="s">
        <v>192</v>
      </c>
      <c r="E3" s="223"/>
      <c r="F3" s="222" t="s">
        <v>193</v>
      </c>
    </row>
    <row r="4" spans="1:6" x14ac:dyDescent="0.25">
      <c r="D4" s="224" t="s">
        <v>194</v>
      </c>
      <c r="F4" s="219" t="s">
        <v>19</v>
      </c>
    </row>
    <row r="5" spans="1:6" ht="62.25" customHeight="1" x14ac:dyDescent="0.25">
      <c r="D5" s="225" t="s">
        <v>54</v>
      </c>
      <c r="F5" s="133" t="s">
        <v>40</v>
      </c>
    </row>
    <row r="6" spans="1:6" x14ac:dyDescent="0.25">
      <c r="A6" s="218" t="s">
        <v>34</v>
      </c>
      <c r="B6" s="218" t="s">
        <v>195</v>
      </c>
      <c r="C6" t="s">
        <v>196</v>
      </c>
      <c r="D6" s="218" t="s">
        <v>100</v>
      </c>
      <c r="E6" s="45"/>
      <c r="F6" s="218" t="s">
        <v>100</v>
      </c>
    </row>
    <row r="7" spans="1:6" ht="6" customHeight="1" x14ac:dyDescent="0.25">
      <c r="E7" s="45"/>
    </row>
    <row r="8" spans="1:6" x14ac:dyDescent="0.25">
      <c r="A8" s="218">
        <v>1</v>
      </c>
      <c r="B8" s="218">
        <v>1</v>
      </c>
      <c r="C8" s="218" t="str">
        <f>A8&amp;B8</f>
        <v>11</v>
      </c>
      <c r="D8" s="226">
        <v>51.393243727598566</v>
      </c>
      <c r="F8" s="226">
        <v>24.154731182795697</v>
      </c>
    </row>
    <row r="9" spans="1:6" x14ac:dyDescent="0.25">
      <c r="A9" s="218">
        <v>1</v>
      </c>
      <c r="B9" s="218">
        <v>2</v>
      </c>
      <c r="C9" s="228" t="str">
        <f t="shared" ref="C9:C38" si="0">A9&amp;B9</f>
        <v>12</v>
      </c>
      <c r="D9" s="226">
        <v>55.163817204301068</v>
      </c>
      <c r="F9" s="226">
        <v>31.395268817204293</v>
      </c>
    </row>
    <row r="10" spans="1:6" x14ac:dyDescent="0.25">
      <c r="A10" s="218">
        <v>1</v>
      </c>
      <c r="B10" s="218">
        <v>3</v>
      </c>
      <c r="C10" s="228" t="str">
        <f t="shared" si="0"/>
        <v>13</v>
      </c>
      <c r="D10" s="226">
        <v>57.487974910394264</v>
      </c>
      <c r="F10" s="226">
        <v>36.378172043010757</v>
      </c>
    </row>
    <row r="11" spans="1:6" x14ac:dyDescent="0.25">
      <c r="A11" s="218">
        <v>1</v>
      </c>
      <c r="B11" s="218">
        <v>4</v>
      </c>
      <c r="C11" s="228" t="str">
        <f t="shared" si="0"/>
        <v>14</v>
      </c>
      <c r="D11" s="226">
        <v>48.045860215053757</v>
      </c>
      <c r="F11" s="226">
        <v>28.452043010752689</v>
      </c>
    </row>
    <row r="12" spans="1:6" x14ac:dyDescent="0.25">
      <c r="A12" s="218">
        <v>1</v>
      </c>
      <c r="B12" s="218">
        <v>5</v>
      </c>
      <c r="C12" s="228" t="str">
        <f t="shared" si="0"/>
        <v>15</v>
      </c>
      <c r="D12" s="226">
        <v>43.232365591397851</v>
      </c>
      <c r="F12" s="226">
        <v>26.018279569892471</v>
      </c>
    </row>
    <row r="13" spans="1:6" x14ac:dyDescent="0.25">
      <c r="A13" s="218">
        <v>1</v>
      </c>
      <c r="B13" s="218">
        <v>6</v>
      </c>
      <c r="C13" s="228" t="str">
        <f t="shared" si="0"/>
        <v>16</v>
      </c>
      <c r="D13" s="226">
        <v>33.842401433691748</v>
      </c>
      <c r="F13" s="226">
        <v>27.773387096774194</v>
      </c>
    </row>
    <row r="14" spans="1:6" x14ac:dyDescent="0.25">
      <c r="A14" s="218">
        <v>1</v>
      </c>
      <c r="B14" s="218">
        <v>7</v>
      </c>
      <c r="C14" s="228" t="str">
        <f t="shared" si="0"/>
        <v>17</v>
      </c>
      <c r="D14" s="226">
        <v>28.297043010752681</v>
      </c>
      <c r="F14" s="226">
        <v>32.989086021505372</v>
      </c>
    </row>
    <row r="15" spans="1:6" x14ac:dyDescent="0.25">
      <c r="A15" s="218">
        <v>1</v>
      </c>
      <c r="B15" s="218">
        <v>8</v>
      </c>
      <c r="C15" s="228" t="str">
        <f t="shared" si="0"/>
        <v>18</v>
      </c>
      <c r="D15" s="226">
        <v>37.535376344086018</v>
      </c>
      <c r="F15" s="226">
        <v>35.329139784946236</v>
      </c>
    </row>
    <row r="16" spans="1:6" x14ac:dyDescent="0.25">
      <c r="A16" s="218">
        <v>1</v>
      </c>
      <c r="B16" s="218">
        <v>9</v>
      </c>
      <c r="C16" s="228" t="str">
        <f t="shared" si="0"/>
        <v>19</v>
      </c>
      <c r="D16" s="226">
        <v>36.481272401433678</v>
      </c>
      <c r="F16" s="226">
        <v>37.539139784946244</v>
      </c>
    </row>
    <row r="17" spans="1:6" x14ac:dyDescent="0.25">
      <c r="A17" s="218">
        <v>1</v>
      </c>
      <c r="B17" s="218">
        <v>10</v>
      </c>
      <c r="C17" s="228" t="str">
        <f t="shared" si="0"/>
        <v>110</v>
      </c>
      <c r="D17" s="226">
        <v>39.602455197132606</v>
      </c>
      <c r="F17" s="226">
        <v>46.065430107526893</v>
      </c>
    </row>
    <row r="18" spans="1:6" x14ac:dyDescent="0.25">
      <c r="A18" s="218">
        <v>1</v>
      </c>
      <c r="B18" s="218">
        <v>11</v>
      </c>
      <c r="C18" s="228" t="str">
        <f t="shared" si="0"/>
        <v>111</v>
      </c>
      <c r="D18" s="226">
        <v>46.415931899641571</v>
      </c>
      <c r="F18" s="226">
        <v>55.906344086021498</v>
      </c>
    </row>
    <row r="19" spans="1:6" x14ac:dyDescent="0.25">
      <c r="A19" s="218">
        <v>1</v>
      </c>
      <c r="B19" s="218">
        <v>12</v>
      </c>
      <c r="C19" s="228" t="str">
        <f t="shared" si="0"/>
        <v>112</v>
      </c>
      <c r="D19" s="226">
        <v>32.111827956989238</v>
      </c>
      <c r="F19" s="226">
        <v>43.95225806451613</v>
      </c>
    </row>
    <row r="20" spans="1:6" x14ac:dyDescent="0.25">
      <c r="A20" s="218">
        <v>1</v>
      </c>
      <c r="B20" s="218">
        <v>13</v>
      </c>
      <c r="C20" s="228" t="str">
        <f t="shared" si="0"/>
        <v>113</v>
      </c>
      <c r="D20" s="226">
        <v>21.201881720430098</v>
      </c>
      <c r="F20" s="226">
        <v>33.682956989247309</v>
      </c>
    </row>
    <row r="21" spans="1:6" x14ac:dyDescent="0.25">
      <c r="A21" s="218">
        <v>1</v>
      </c>
      <c r="B21" s="218">
        <v>14</v>
      </c>
      <c r="C21" s="228" t="str">
        <f t="shared" si="0"/>
        <v>114</v>
      </c>
      <c r="D21" s="226">
        <v>15.503064516129026</v>
      </c>
      <c r="F21" s="226">
        <v>16.200913978494626</v>
      </c>
    </row>
    <row r="22" spans="1:6" x14ac:dyDescent="0.25">
      <c r="A22" s="218">
        <v>1</v>
      </c>
      <c r="B22" s="218">
        <v>15</v>
      </c>
      <c r="C22" s="228" t="str">
        <f t="shared" si="0"/>
        <v>115</v>
      </c>
      <c r="D22" s="226">
        <v>29.395394265232973</v>
      </c>
      <c r="F22" s="226">
        <v>30.823225806451614</v>
      </c>
    </row>
    <row r="23" spans="1:6" x14ac:dyDescent="0.25">
      <c r="A23" s="218">
        <v>1</v>
      </c>
      <c r="B23" s="218">
        <v>16</v>
      </c>
      <c r="C23" s="228" t="str">
        <f t="shared" si="0"/>
        <v>116</v>
      </c>
      <c r="D23" s="226">
        <v>32.992311827956982</v>
      </c>
      <c r="F23" s="226">
        <v>30.130483870967748</v>
      </c>
    </row>
    <row r="24" spans="1:6" x14ac:dyDescent="0.25">
      <c r="A24" s="218">
        <v>1</v>
      </c>
      <c r="B24" s="218">
        <v>17</v>
      </c>
      <c r="C24" s="228" t="str">
        <f t="shared" si="0"/>
        <v>117</v>
      </c>
      <c r="D24" s="226">
        <v>42.183512544802859</v>
      </c>
      <c r="F24" s="226">
        <v>26.843870967741932</v>
      </c>
    </row>
    <row r="25" spans="1:6" x14ac:dyDescent="0.25">
      <c r="A25" s="218">
        <v>1</v>
      </c>
      <c r="B25" s="218">
        <v>18</v>
      </c>
      <c r="C25" s="228" t="str">
        <f t="shared" si="0"/>
        <v>118</v>
      </c>
      <c r="D25" s="226">
        <v>38.514211469534047</v>
      </c>
      <c r="F25" s="226">
        <v>29.225000000000005</v>
      </c>
    </row>
    <row r="26" spans="1:6" x14ac:dyDescent="0.25">
      <c r="A26" s="218">
        <v>1</v>
      </c>
      <c r="B26" s="218">
        <v>19</v>
      </c>
      <c r="C26" s="228" t="str">
        <f t="shared" si="0"/>
        <v>119</v>
      </c>
      <c r="D26" s="226">
        <v>40.864462365591393</v>
      </c>
      <c r="F26" s="226">
        <v>25.056505376344091</v>
      </c>
    </row>
    <row r="27" spans="1:6" x14ac:dyDescent="0.25">
      <c r="A27" s="218">
        <v>1</v>
      </c>
      <c r="B27" s="218">
        <v>20</v>
      </c>
      <c r="C27" s="228" t="str">
        <f t="shared" si="0"/>
        <v>120</v>
      </c>
      <c r="D27" s="226">
        <v>35.555268817204293</v>
      </c>
      <c r="F27" s="226">
        <v>34.53623655913978</v>
      </c>
    </row>
    <row r="28" spans="1:6" x14ac:dyDescent="0.25">
      <c r="A28" s="218">
        <v>1</v>
      </c>
      <c r="B28" s="218">
        <v>21</v>
      </c>
      <c r="C28" s="228" t="str">
        <f t="shared" si="0"/>
        <v>121</v>
      </c>
      <c r="D28" s="226">
        <v>27.088584229390676</v>
      </c>
      <c r="F28" s="226">
        <v>21.907741935483877</v>
      </c>
    </row>
    <row r="29" spans="1:6" x14ac:dyDescent="0.25">
      <c r="A29" s="218">
        <v>1</v>
      </c>
      <c r="B29" s="218">
        <v>22</v>
      </c>
      <c r="C29" s="228" t="str">
        <f t="shared" si="0"/>
        <v>122</v>
      </c>
      <c r="D29" s="226">
        <v>23.563172043010745</v>
      </c>
      <c r="F29" s="226">
        <v>32.192580645161293</v>
      </c>
    </row>
    <row r="30" spans="1:6" x14ac:dyDescent="0.25">
      <c r="A30" s="218">
        <v>1</v>
      </c>
      <c r="B30" s="218">
        <v>23</v>
      </c>
      <c r="C30" s="228" t="str">
        <f t="shared" si="0"/>
        <v>123</v>
      </c>
      <c r="D30" s="226">
        <v>49.684964157706091</v>
      </c>
      <c r="F30" s="226">
        <v>40.360698924731182</v>
      </c>
    </row>
    <row r="31" spans="1:6" x14ac:dyDescent="0.25">
      <c r="A31" s="218">
        <v>1</v>
      </c>
      <c r="B31" s="218">
        <v>24</v>
      </c>
      <c r="C31" s="228" t="str">
        <f t="shared" si="0"/>
        <v>124</v>
      </c>
      <c r="D31" s="226">
        <v>45.240573476702501</v>
      </c>
      <c r="F31" s="226">
        <v>23.068602150537636</v>
      </c>
    </row>
    <row r="32" spans="1:6" x14ac:dyDescent="0.25">
      <c r="A32" s="218">
        <v>1</v>
      </c>
      <c r="B32" s="218">
        <v>25</v>
      </c>
      <c r="C32" s="228" t="str">
        <f t="shared" si="0"/>
        <v>125</v>
      </c>
      <c r="D32" s="226">
        <v>30.768136200716835</v>
      </c>
      <c r="F32" s="226">
        <v>20.284462365591402</v>
      </c>
    </row>
    <row r="33" spans="1:6" x14ac:dyDescent="0.25">
      <c r="A33" s="218">
        <v>1</v>
      </c>
      <c r="B33" s="218">
        <v>26</v>
      </c>
      <c r="C33" s="228" t="str">
        <f t="shared" si="0"/>
        <v>126</v>
      </c>
      <c r="D33" s="226">
        <v>44.340537634408598</v>
      </c>
      <c r="F33" s="226">
        <v>18.45956989247312</v>
      </c>
    </row>
    <row r="34" spans="1:6" x14ac:dyDescent="0.25">
      <c r="A34" s="218">
        <v>1</v>
      </c>
      <c r="B34" s="218">
        <v>27</v>
      </c>
      <c r="C34" s="228" t="str">
        <f t="shared" si="0"/>
        <v>127</v>
      </c>
      <c r="D34" s="226">
        <v>53.204211469534037</v>
      </c>
      <c r="F34" s="226">
        <v>42.089086021505381</v>
      </c>
    </row>
    <row r="35" spans="1:6" x14ac:dyDescent="0.25">
      <c r="A35" s="218">
        <v>1</v>
      </c>
      <c r="B35" s="218">
        <v>28</v>
      </c>
      <c r="C35" s="228" t="str">
        <f t="shared" si="0"/>
        <v>128</v>
      </c>
      <c r="D35" s="226">
        <v>65.822706093189979</v>
      </c>
      <c r="F35" s="226">
        <v>49.522903225806452</v>
      </c>
    </row>
    <row r="36" spans="1:6" x14ac:dyDescent="0.25">
      <c r="A36" s="218">
        <v>1</v>
      </c>
      <c r="B36" s="218">
        <v>29</v>
      </c>
      <c r="C36" s="228" t="str">
        <f t="shared" si="0"/>
        <v>129</v>
      </c>
      <c r="D36" s="226">
        <v>60.72220430107528</v>
      </c>
      <c r="F36" s="226">
        <v>38.913440860215054</v>
      </c>
    </row>
    <row r="37" spans="1:6" x14ac:dyDescent="0.25">
      <c r="A37" s="218">
        <v>1</v>
      </c>
      <c r="B37" s="218">
        <v>30</v>
      </c>
      <c r="C37" s="228" t="str">
        <f t="shared" si="0"/>
        <v>130</v>
      </c>
      <c r="D37" s="226">
        <v>34.810842293906802</v>
      </c>
      <c r="F37" s="226">
        <v>11.688548387096777</v>
      </c>
    </row>
    <row r="38" spans="1:6" x14ac:dyDescent="0.25">
      <c r="A38" s="218">
        <v>1</v>
      </c>
      <c r="B38" s="218">
        <v>31</v>
      </c>
      <c r="C38" s="228" t="str">
        <f t="shared" si="0"/>
        <v>131</v>
      </c>
      <c r="D38" s="226">
        <v>25.43605734767025</v>
      </c>
      <c r="F38" s="226">
        <v>5.5470967741935526</v>
      </c>
    </row>
    <row r="39" spans="1:6" x14ac:dyDescent="0.25">
      <c r="A39" s="218">
        <v>2</v>
      </c>
      <c r="B39" s="218">
        <v>1</v>
      </c>
      <c r="C39" s="218" t="str">
        <f t="shared" ref="C39:C73" si="1">A39&amp;B39</f>
        <v>21</v>
      </c>
      <c r="D39" s="226">
        <v>32.132516420361256</v>
      </c>
      <c r="F39" s="226">
        <v>26.524975369458119</v>
      </c>
    </row>
    <row r="40" spans="1:6" x14ac:dyDescent="0.25">
      <c r="A40" s="218">
        <v>2</v>
      </c>
      <c r="B40" s="218">
        <v>2</v>
      </c>
      <c r="C40" s="218" t="str">
        <f t="shared" si="1"/>
        <v>22</v>
      </c>
      <c r="D40" s="226">
        <v>24.963612479474556</v>
      </c>
      <c r="F40" s="226">
        <v>19.748862889983577</v>
      </c>
    </row>
    <row r="41" spans="1:6" x14ac:dyDescent="0.25">
      <c r="A41" s="218">
        <v>2</v>
      </c>
      <c r="B41" s="218">
        <v>3</v>
      </c>
      <c r="C41" s="218" t="str">
        <f t="shared" si="1"/>
        <v>23</v>
      </c>
      <c r="D41" s="226">
        <v>17.022586206896555</v>
      </c>
      <c r="F41" s="226">
        <v>11.233452380952381</v>
      </c>
    </row>
    <row r="42" spans="1:6" x14ac:dyDescent="0.25">
      <c r="A42" s="218">
        <v>2</v>
      </c>
      <c r="B42" s="218">
        <v>4</v>
      </c>
      <c r="C42" s="218" t="str">
        <f t="shared" si="1"/>
        <v>24</v>
      </c>
      <c r="D42" s="226">
        <v>23.466264367816102</v>
      </c>
      <c r="F42" s="226">
        <v>15.033230706075534</v>
      </c>
    </row>
    <row r="43" spans="1:6" x14ac:dyDescent="0.25">
      <c r="A43" s="218">
        <v>2</v>
      </c>
      <c r="B43" s="218">
        <v>5</v>
      </c>
      <c r="C43" s="218" t="str">
        <f t="shared" si="1"/>
        <v>25</v>
      </c>
      <c r="D43" s="226">
        <v>41.50905172413794</v>
      </c>
      <c r="F43" s="226">
        <v>30.040365353037767</v>
      </c>
    </row>
    <row r="44" spans="1:6" x14ac:dyDescent="0.25">
      <c r="A44" s="218">
        <v>2</v>
      </c>
      <c r="B44" s="218">
        <v>6</v>
      </c>
      <c r="C44" s="218" t="str">
        <f t="shared" si="1"/>
        <v>26</v>
      </c>
      <c r="D44" s="226">
        <v>48.819934318555013</v>
      </c>
      <c r="F44" s="226">
        <v>39.27231116584565</v>
      </c>
    </row>
    <row r="45" spans="1:6" x14ac:dyDescent="0.25">
      <c r="A45" s="218">
        <v>2</v>
      </c>
      <c r="B45" s="218">
        <v>7</v>
      </c>
      <c r="C45" s="218" t="str">
        <f t="shared" si="1"/>
        <v>27</v>
      </c>
      <c r="D45" s="226">
        <v>44.8792446633826</v>
      </c>
      <c r="F45" s="226">
        <v>35.55954844006569</v>
      </c>
    </row>
    <row r="46" spans="1:6" x14ac:dyDescent="0.25">
      <c r="A46" s="218">
        <v>2</v>
      </c>
      <c r="B46" s="218">
        <v>8</v>
      </c>
      <c r="C46" s="218" t="str">
        <f t="shared" si="1"/>
        <v>28</v>
      </c>
      <c r="D46" s="226">
        <v>42.894445812807881</v>
      </c>
      <c r="F46" s="226">
        <v>28.941728243021352</v>
      </c>
    </row>
    <row r="47" spans="1:6" x14ac:dyDescent="0.25">
      <c r="A47" s="218">
        <v>2</v>
      </c>
      <c r="B47" s="218">
        <v>9</v>
      </c>
      <c r="C47" s="218" t="str">
        <f t="shared" si="1"/>
        <v>29</v>
      </c>
      <c r="D47" s="226">
        <v>37.866009852216749</v>
      </c>
      <c r="F47" s="226">
        <v>21.911502463054187</v>
      </c>
    </row>
    <row r="48" spans="1:6" x14ac:dyDescent="0.25">
      <c r="A48" s="218">
        <v>2</v>
      </c>
      <c r="B48" s="218">
        <v>10</v>
      </c>
      <c r="C48" s="218" t="str">
        <f t="shared" si="1"/>
        <v>210</v>
      </c>
      <c r="D48" s="226">
        <v>27.744831691297215</v>
      </c>
      <c r="F48" s="226">
        <v>24.909798850574706</v>
      </c>
    </row>
    <row r="49" spans="1:6" x14ac:dyDescent="0.25">
      <c r="A49" s="218">
        <v>2</v>
      </c>
      <c r="B49" s="218">
        <v>11</v>
      </c>
      <c r="C49" s="218" t="str">
        <f t="shared" si="1"/>
        <v>211</v>
      </c>
      <c r="D49" s="226">
        <v>35.623895730706067</v>
      </c>
      <c r="F49" s="226">
        <v>25.736999178981936</v>
      </c>
    </row>
    <row r="50" spans="1:6" x14ac:dyDescent="0.25">
      <c r="A50" s="218">
        <v>2</v>
      </c>
      <c r="B50" s="218">
        <v>12</v>
      </c>
      <c r="C50" s="218" t="str">
        <f t="shared" si="1"/>
        <v>212</v>
      </c>
      <c r="D50" s="226">
        <v>31.237635467980297</v>
      </c>
      <c r="F50" s="226">
        <v>34.314749589490972</v>
      </c>
    </row>
    <row r="51" spans="1:6" x14ac:dyDescent="0.25">
      <c r="A51" s="218">
        <v>2</v>
      </c>
      <c r="B51" s="218">
        <v>13</v>
      </c>
      <c r="C51" s="218" t="str">
        <f t="shared" si="1"/>
        <v>213</v>
      </c>
      <c r="D51" s="226">
        <v>53.574663382594416</v>
      </c>
      <c r="F51" s="226">
        <v>44.926752873563217</v>
      </c>
    </row>
    <row r="52" spans="1:6" x14ac:dyDescent="0.25">
      <c r="A52" s="218">
        <v>2</v>
      </c>
      <c r="B52" s="218">
        <v>14</v>
      </c>
      <c r="C52" s="218" t="str">
        <f t="shared" si="1"/>
        <v>214</v>
      </c>
      <c r="D52" s="226">
        <v>63.242389162561587</v>
      </c>
      <c r="F52" s="226">
        <v>52.966867816091948</v>
      </c>
    </row>
    <row r="53" spans="1:6" x14ac:dyDescent="0.25">
      <c r="A53" s="218">
        <v>2</v>
      </c>
      <c r="B53" s="218">
        <v>15</v>
      </c>
      <c r="C53" s="218" t="str">
        <f t="shared" si="1"/>
        <v>215</v>
      </c>
      <c r="D53" s="226">
        <v>57.00799671592776</v>
      </c>
      <c r="F53" s="226">
        <v>31.14612068965517</v>
      </c>
    </row>
    <row r="54" spans="1:6" x14ac:dyDescent="0.25">
      <c r="A54" s="218">
        <v>2</v>
      </c>
      <c r="B54" s="218">
        <v>16</v>
      </c>
      <c r="C54" s="218" t="str">
        <f t="shared" si="1"/>
        <v>216</v>
      </c>
      <c r="D54" s="226">
        <v>34.460303776683091</v>
      </c>
      <c r="F54" s="226">
        <v>27.222405582922821</v>
      </c>
    </row>
    <row r="55" spans="1:6" x14ac:dyDescent="0.25">
      <c r="A55" s="218">
        <v>2</v>
      </c>
      <c r="B55" s="218">
        <v>17</v>
      </c>
      <c r="C55" s="218" t="str">
        <f t="shared" si="1"/>
        <v>217</v>
      </c>
      <c r="D55" s="226">
        <v>28.929610016420369</v>
      </c>
      <c r="F55" s="226">
        <v>13.371297208538586</v>
      </c>
    </row>
    <row r="56" spans="1:6" x14ac:dyDescent="0.25">
      <c r="A56" s="218">
        <v>2</v>
      </c>
      <c r="B56" s="218">
        <v>18</v>
      </c>
      <c r="C56" s="218" t="str">
        <f t="shared" si="1"/>
        <v>218</v>
      </c>
      <c r="D56" s="226">
        <v>22.007783251231526</v>
      </c>
      <c r="F56" s="226">
        <v>23.977027914614116</v>
      </c>
    </row>
    <row r="57" spans="1:6" x14ac:dyDescent="0.25">
      <c r="A57" s="218">
        <v>2</v>
      </c>
      <c r="B57" s="218">
        <v>19</v>
      </c>
      <c r="C57" s="218" t="str">
        <f t="shared" si="1"/>
        <v>219</v>
      </c>
      <c r="D57" s="226">
        <v>36.764934318555007</v>
      </c>
      <c r="F57" s="226">
        <v>32.158132183908045</v>
      </c>
    </row>
    <row r="58" spans="1:6" x14ac:dyDescent="0.25">
      <c r="A58" s="218">
        <v>2</v>
      </c>
      <c r="B58" s="218">
        <v>20</v>
      </c>
      <c r="C58" s="218" t="str">
        <f t="shared" si="1"/>
        <v>220</v>
      </c>
      <c r="D58" s="226">
        <v>46.878288177339911</v>
      </c>
      <c r="F58" s="226">
        <v>41.328608374384231</v>
      </c>
    </row>
    <row r="59" spans="1:6" x14ac:dyDescent="0.25">
      <c r="A59" s="218">
        <v>2</v>
      </c>
      <c r="B59" s="218">
        <v>21</v>
      </c>
      <c r="C59" s="218" t="str">
        <f t="shared" si="1"/>
        <v>221</v>
      </c>
      <c r="D59" s="226">
        <v>50.76514778325123</v>
      </c>
      <c r="F59" s="226">
        <v>37.460541871921187</v>
      </c>
    </row>
    <row r="60" spans="1:6" x14ac:dyDescent="0.25">
      <c r="A60" s="218">
        <v>2</v>
      </c>
      <c r="B60" s="218">
        <v>22</v>
      </c>
      <c r="C60" s="218" t="str">
        <f t="shared" si="1"/>
        <v>222</v>
      </c>
      <c r="D60" s="226">
        <v>40.177586206896557</v>
      </c>
      <c r="F60" s="226">
        <v>18.436087848932676</v>
      </c>
    </row>
    <row r="61" spans="1:6" x14ac:dyDescent="0.25">
      <c r="A61" s="218">
        <v>2</v>
      </c>
      <c r="B61" s="218">
        <v>23</v>
      </c>
      <c r="C61" s="218" t="str">
        <f t="shared" si="1"/>
        <v>223</v>
      </c>
      <c r="D61" s="226">
        <v>19.816995073891629</v>
      </c>
      <c r="F61" s="226">
        <v>6.2272495894909676</v>
      </c>
    </row>
    <row r="62" spans="1:6" x14ac:dyDescent="0.25">
      <c r="A62" s="218">
        <v>2</v>
      </c>
      <c r="B62" s="218">
        <v>24</v>
      </c>
      <c r="C62" s="218" t="str">
        <f t="shared" si="1"/>
        <v>224</v>
      </c>
      <c r="D62" s="226">
        <v>11.245615763546798</v>
      </c>
      <c r="F62" s="226">
        <v>16.720726600985223</v>
      </c>
    </row>
    <row r="63" spans="1:6" x14ac:dyDescent="0.25">
      <c r="A63" s="218">
        <v>2</v>
      </c>
      <c r="B63" s="218">
        <v>25</v>
      </c>
      <c r="C63" s="218" t="str">
        <f t="shared" si="1"/>
        <v>225</v>
      </c>
      <c r="D63" s="226">
        <v>26.327175697865357</v>
      </c>
      <c r="F63" s="226">
        <v>20.936034482758618</v>
      </c>
    </row>
    <row r="64" spans="1:6" x14ac:dyDescent="0.25">
      <c r="A64" s="218">
        <v>2</v>
      </c>
      <c r="B64" s="218">
        <v>26</v>
      </c>
      <c r="C64" s="218" t="str">
        <f t="shared" si="1"/>
        <v>226</v>
      </c>
      <c r="D64" s="226">
        <v>30.321371100164207</v>
      </c>
      <c r="F64" s="226">
        <v>33.104922003284074</v>
      </c>
    </row>
    <row r="65" spans="1:6" x14ac:dyDescent="0.25">
      <c r="A65" s="218">
        <v>2</v>
      </c>
      <c r="B65" s="218">
        <v>27</v>
      </c>
      <c r="C65" s="218" t="str">
        <f t="shared" si="1"/>
        <v>227</v>
      </c>
      <c r="D65" s="226">
        <v>39.049371921182257</v>
      </c>
      <c r="F65" s="226">
        <v>28.081613300492609</v>
      </c>
    </row>
    <row r="66" spans="1:6" x14ac:dyDescent="0.25">
      <c r="A66" s="218">
        <v>2</v>
      </c>
      <c r="B66" s="218">
        <v>28</v>
      </c>
      <c r="C66" s="218" t="str">
        <f t="shared" si="1"/>
        <v>228</v>
      </c>
      <c r="D66" s="226">
        <v>33.162060755336611</v>
      </c>
      <c r="F66" s="226">
        <v>23.007339901477835</v>
      </c>
    </row>
    <row r="67" spans="1:6" s="293" customFormat="1" x14ac:dyDescent="0.25">
      <c r="A67" s="339">
        <v>2</v>
      </c>
      <c r="B67" s="339">
        <v>29</v>
      </c>
      <c r="C67" s="339" t="str">
        <f t="shared" ref="C67" si="2">A67&amp;B67</f>
        <v>229</v>
      </c>
      <c r="D67" s="226">
        <v>25.788793103448278</v>
      </c>
      <c r="F67" s="226">
        <v>17.817887931034484</v>
      </c>
    </row>
    <row r="68" spans="1:6" x14ac:dyDescent="0.25">
      <c r="A68" s="218">
        <v>3</v>
      </c>
      <c r="B68" s="218">
        <v>1</v>
      </c>
      <c r="C68" s="218" t="str">
        <f t="shared" si="1"/>
        <v>31</v>
      </c>
      <c r="D68" s="226">
        <v>30.387473118279569</v>
      </c>
      <c r="F68" s="226">
        <v>21.700322580645157</v>
      </c>
    </row>
    <row r="69" spans="1:6" x14ac:dyDescent="0.25">
      <c r="A69" s="218">
        <v>3</v>
      </c>
      <c r="B69" s="218">
        <v>2</v>
      </c>
      <c r="C69" s="218" t="str">
        <f t="shared" si="1"/>
        <v>32</v>
      </c>
      <c r="D69" s="226">
        <v>19.96516129032258</v>
      </c>
      <c r="F69" s="226">
        <v>7.6667921146953404</v>
      </c>
    </row>
    <row r="70" spans="1:6" x14ac:dyDescent="0.25">
      <c r="A70" s="218">
        <v>3</v>
      </c>
      <c r="B70" s="218">
        <v>3</v>
      </c>
      <c r="C70" s="218" t="str">
        <f t="shared" si="1"/>
        <v>33</v>
      </c>
      <c r="D70" s="226">
        <v>29.329032258064515</v>
      </c>
      <c r="F70" s="226">
        <v>16.338512544802871</v>
      </c>
    </row>
    <row r="71" spans="1:6" x14ac:dyDescent="0.25">
      <c r="A71" s="218">
        <v>3</v>
      </c>
      <c r="B71" s="218">
        <v>4</v>
      </c>
      <c r="C71" s="218" t="str">
        <f t="shared" si="1"/>
        <v>34</v>
      </c>
      <c r="D71" s="226">
        <v>22.568064516129031</v>
      </c>
      <c r="F71" s="226">
        <v>25.234408602150541</v>
      </c>
    </row>
    <row r="72" spans="1:6" x14ac:dyDescent="0.25">
      <c r="A72" s="218">
        <v>3</v>
      </c>
      <c r="B72" s="218">
        <v>5</v>
      </c>
      <c r="C72" s="218" t="str">
        <f t="shared" si="1"/>
        <v>35</v>
      </c>
      <c r="D72" s="226">
        <v>23.586362007168461</v>
      </c>
      <c r="F72" s="226">
        <v>19.980913978494627</v>
      </c>
    </row>
    <row r="73" spans="1:6" x14ac:dyDescent="0.25">
      <c r="A73" s="218">
        <v>3</v>
      </c>
      <c r="B73" s="218">
        <v>6</v>
      </c>
      <c r="C73" s="218" t="str">
        <f t="shared" si="1"/>
        <v>36</v>
      </c>
      <c r="D73" s="226">
        <v>33.561254480286742</v>
      </c>
      <c r="F73" s="226">
        <v>30.830268817204303</v>
      </c>
    </row>
    <row r="74" spans="1:6" x14ac:dyDescent="0.25">
      <c r="A74" s="218">
        <v>3</v>
      </c>
      <c r="B74" s="218">
        <v>7</v>
      </c>
      <c r="C74" s="218" t="str">
        <f t="shared" ref="C74:C137" si="3">A74&amp;B74</f>
        <v>37</v>
      </c>
      <c r="D74" s="226">
        <v>28.248763440860213</v>
      </c>
      <c r="F74" s="226">
        <v>41.300053763440864</v>
      </c>
    </row>
    <row r="75" spans="1:6" x14ac:dyDescent="0.25">
      <c r="A75" s="218">
        <v>3</v>
      </c>
      <c r="B75" s="218">
        <v>8</v>
      </c>
      <c r="C75" s="218" t="str">
        <f t="shared" si="3"/>
        <v>38</v>
      </c>
      <c r="D75" s="226">
        <v>18.895609318996417</v>
      </c>
      <c r="F75" s="226">
        <v>23.475107526881722</v>
      </c>
    </row>
    <row r="76" spans="1:6" x14ac:dyDescent="0.25">
      <c r="A76" s="218">
        <v>3</v>
      </c>
      <c r="B76" s="218">
        <v>9</v>
      </c>
      <c r="C76" s="218" t="str">
        <f t="shared" si="3"/>
        <v>39</v>
      </c>
      <c r="D76" s="226">
        <v>3.2054301075268823</v>
      </c>
      <c r="F76" s="226">
        <v>9.1446774193548404</v>
      </c>
    </row>
    <row r="77" spans="1:6" x14ac:dyDescent="0.25">
      <c r="A77" s="218">
        <v>3</v>
      </c>
      <c r="B77" s="218">
        <v>10</v>
      </c>
      <c r="C77" s="218" t="str">
        <f t="shared" si="3"/>
        <v>310</v>
      </c>
      <c r="D77" s="226">
        <v>26.488225806451617</v>
      </c>
      <c r="F77" s="226">
        <v>17.206129032258065</v>
      </c>
    </row>
    <row r="78" spans="1:6" x14ac:dyDescent="0.25">
      <c r="A78" s="218">
        <v>3</v>
      </c>
      <c r="B78" s="218">
        <v>11</v>
      </c>
      <c r="C78" s="218" t="str">
        <f t="shared" si="3"/>
        <v>311</v>
      </c>
      <c r="D78" s="226">
        <v>34.826272401433691</v>
      </c>
      <c r="F78" s="226">
        <v>18.949354838709674</v>
      </c>
    </row>
    <row r="79" spans="1:6" x14ac:dyDescent="0.25">
      <c r="A79" s="218">
        <v>3</v>
      </c>
      <c r="B79" s="218">
        <v>12</v>
      </c>
      <c r="C79" s="218" t="str">
        <f t="shared" si="3"/>
        <v>312</v>
      </c>
      <c r="D79" s="226">
        <v>21.718351254480282</v>
      </c>
      <c r="F79" s="226">
        <v>12.111397849462369</v>
      </c>
    </row>
    <row r="80" spans="1:6" x14ac:dyDescent="0.25">
      <c r="A80" s="218">
        <v>3</v>
      </c>
      <c r="B80" s="218">
        <v>13</v>
      </c>
      <c r="C80" s="218" t="str">
        <f t="shared" si="3"/>
        <v>313</v>
      </c>
      <c r="D80" s="226">
        <v>20.845430107526884</v>
      </c>
      <c r="F80" s="226">
        <v>20.803225806451611</v>
      </c>
    </row>
    <row r="81" spans="1:6" x14ac:dyDescent="0.25">
      <c r="A81" s="218">
        <v>3</v>
      </c>
      <c r="B81" s="218">
        <v>14</v>
      </c>
      <c r="C81" s="218" t="str">
        <f t="shared" si="3"/>
        <v>314</v>
      </c>
      <c r="D81" s="226">
        <v>32.419408602150533</v>
      </c>
      <c r="F81" s="226">
        <v>26.280483870967746</v>
      </c>
    </row>
    <row r="82" spans="1:6" x14ac:dyDescent="0.25">
      <c r="A82" s="218">
        <v>3</v>
      </c>
      <c r="B82" s="218">
        <v>15</v>
      </c>
      <c r="C82" s="218" t="str">
        <f t="shared" si="3"/>
        <v>315</v>
      </c>
      <c r="D82" s="226">
        <v>43.309784946236547</v>
      </c>
      <c r="F82" s="226">
        <v>33.680896057347667</v>
      </c>
    </row>
    <row r="83" spans="1:6" x14ac:dyDescent="0.25">
      <c r="A83" s="218">
        <v>3</v>
      </c>
      <c r="B83" s="218">
        <v>16</v>
      </c>
      <c r="C83" s="218" t="str">
        <f t="shared" si="3"/>
        <v>316</v>
      </c>
      <c r="D83" s="226">
        <v>40.023494623655907</v>
      </c>
      <c r="F83" s="226">
        <v>29.574623655913978</v>
      </c>
    </row>
    <row r="84" spans="1:6" x14ac:dyDescent="0.25">
      <c r="A84" s="218">
        <v>3</v>
      </c>
      <c r="B84" s="218">
        <v>17</v>
      </c>
      <c r="C84" s="218" t="str">
        <f t="shared" si="3"/>
        <v>317</v>
      </c>
      <c r="D84" s="226">
        <v>31.354838709677423</v>
      </c>
      <c r="F84" s="226">
        <v>18.037992831541221</v>
      </c>
    </row>
    <row r="85" spans="1:6" x14ac:dyDescent="0.25">
      <c r="A85" s="218">
        <v>3</v>
      </c>
      <c r="B85" s="218">
        <v>18</v>
      </c>
      <c r="C85" s="218" t="str">
        <f t="shared" si="3"/>
        <v>318</v>
      </c>
      <c r="D85" s="226">
        <v>25.571684587813614</v>
      </c>
      <c r="F85" s="226">
        <v>15.398709677419358</v>
      </c>
    </row>
    <row r="86" spans="1:6" x14ac:dyDescent="0.25">
      <c r="A86" s="218">
        <v>3</v>
      </c>
      <c r="B86" s="218">
        <v>19</v>
      </c>
      <c r="C86" s="218" t="str">
        <f t="shared" si="3"/>
        <v>319</v>
      </c>
      <c r="D86" s="226">
        <v>16.407544802867381</v>
      </c>
      <c r="F86" s="226">
        <v>4.5172222222222222</v>
      </c>
    </row>
    <row r="87" spans="1:6" x14ac:dyDescent="0.25">
      <c r="A87" s="218">
        <v>3</v>
      </c>
      <c r="B87" s="218">
        <v>20</v>
      </c>
      <c r="C87" s="218" t="str">
        <f t="shared" si="3"/>
        <v>320</v>
      </c>
      <c r="D87" s="226">
        <v>15.095143369175625</v>
      </c>
      <c r="F87" s="226">
        <v>10.051541218637992</v>
      </c>
    </row>
    <row r="88" spans="1:6" x14ac:dyDescent="0.25">
      <c r="A88" s="218">
        <v>3</v>
      </c>
      <c r="B88" s="218">
        <v>21</v>
      </c>
      <c r="C88" s="218" t="str">
        <f t="shared" si="3"/>
        <v>321</v>
      </c>
      <c r="D88" s="226">
        <v>51.447849462365603</v>
      </c>
      <c r="F88" s="226">
        <v>27.336792114695346</v>
      </c>
    </row>
    <row r="89" spans="1:6" x14ac:dyDescent="0.25">
      <c r="A89" s="218">
        <v>3</v>
      </c>
      <c r="B89" s="218">
        <v>22</v>
      </c>
      <c r="C89" s="218" t="str">
        <f t="shared" si="3"/>
        <v>322</v>
      </c>
      <c r="D89" s="226">
        <v>36.30424731182795</v>
      </c>
      <c r="F89" s="226">
        <v>28.532204301075272</v>
      </c>
    </row>
    <row r="90" spans="1:6" x14ac:dyDescent="0.25">
      <c r="A90" s="218">
        <v>3</v>
      </c>
      <c r="B90" s="218">
        <v>23</v>
      </c>
      <c r="C90" s="218" t="str">
        <f t="shared" si="3"/>
        <v>323</v>
      </c>
      <c r="D90" s="226">
        <v>37.69301075268816</v>
      </c>
      <c r="F90" s="226">
        <v>22.539229390681008</v>
      </c>
    </row>
    <row r="91" spans="1:6" x14ac:dyDescent="0.25">
      <c r="A91" s="218">
        <v>3</v>
      </c>
      <c r="B91" s="218">
        <v>24</v>
      </c>
      <c r="C91" s="218" t="str">
        <f t="shared" si="3"/>
        <v>324</v>
      </c>
      <c r="D91" s="226">
        <v>27.256899641577057</v>
      </c>
      <c r="F91" s="226">
        <v>24.273189964157705</v>
      </c>
    </row>
    <row r="92" spans="1:6" x14ac:dyDescent="0.25">
      <c r="A92" s="218">
        <v>3</v>
      </c>
      <c r="B92" s="218">
        <v>25</v>
      </c>
      <c r="C92" s="218" t="str">
        <f t="shared" si="3"/>
        <v>325</v>
      </c>
      <c r="D92" s="226">
        <v>24.727096774193548</v>
      </c>
      <c r="F92" s="226">
        <v>14.338225806451614</v>
      </c>
    </row>
    <row r="93" spans="1:6" x14ac:dyDescent="0.25">
      <c r="A93" s="218">
        <v>3</v>
      </c>
      <c r="B93" s="218">
        <v>26</v>
      </c>
      <c r="C93" s="218" t="str">
        <f t="shared" si="3"/>
        <v>326</v>
      </c>
      <c r="D93" s="226">
        <v>11.099749103942655</v>
      </c>
      <c r="F93" s="226">
        <v>2.3716129032258055</v>
      </c>
    </row>
    <row r="94" spans="1:6" x14ac:dyDescent="0.25">
      <c r="A94" s="218">
        <v>3</v>
      </c>
      <c r="B94" s="218">
        <v>27</v>
      </c>
      <c r="C94" s="218" t="str">
        <f t="shared" si="3"/>
        <v>327</v>
      </c>
      <c r="D94" s="226">
        <v>6.2624910394265232</v>
      </c>
      <c r="F94" s="226">
        <v>0.20666666666666628</v>
      </c>
    </row>
    <row r="95" spans="1:6" x14ac:dyDescent="0.25">
      <c r="A95" s="218">
        <v>3</v>
      </c>
      <c r="B95" s="218">
        <v>28</v>
      </c>
      <c r="C95" s="218" t="str">
        <f t="shared" si="3"/>
        <v>328</v>
      </c>
      <c r="D95" s="226">
        <v>8.9012544802867417</v>
      </c>
      <c r="F95" s="226">
        <v>0</v>
      </c>
    </row>
    <row r="96" spans="1:6" x14ac:dyDescent="0.25">
      <c r="A96" s="218">
        <v>3</v>
      </c>
      <c r="B96" s="218">
        <v>29</v>
      </c>
      <c r="C96" s="218" t="str">
        <f t="shared" si="3"/>
        <v>329</v>
      </c>
      <c r="D96" s="226">
        <v>0.40121863799283164</v>
      </c>
      <c r="F96" s="226">
        <v>6.2902150537634389</v>
      </c>
    </row>
    <row r="97" spans="1:6" x14ac:dyDescent="0.25">
      <c r="A97" s="218">
        <v>3</v>
      </c>
      <c r="B97" s="218">
        <v>30</v>
      </c>
      <c r="C97" s="218" t="str">
        <f t="shared" si="3"/>
        <v>330</v>
      </c>
      <c r="D97" s="226">
        <v>17.751881720430106</v>
      </c>
      <c r="F97" s="226">
        <v>11.183046594982082</v>
      </c>
    </row>
    <row r="98" spans="1:6" x14ac:dyDescent="0.25">
      <c r="A98" s="218">
        <v>3</v>
      </c>
      <c r="B98" s="218">
        <v>31</v>
      </c>
      <c r="C98" s="218" t="str">
        <f t="shared" si="3"/>
        <v>331</v>
      </c>
      <c r="D98" s="226">
        <v>13.324820788530467</v>
      </c>
      <c r="F98" s="226">
        <v>13.205000000000007</v>
      </c>
    </row>
    <row r="99" spans="1:6" x14ac:dyDescent="0.25">
      <c r="A99" s="218">
        <v>4</v>
      </c>
      <c r="B99" s="218">
        <v>1</v>
      </c>
      <c r="C99" s="218" t="str">
        <f t="shared" si="3"/>
        <v>41</v>
      </c>
      <c r="D99" s="226">
        <v>13.737592592592595</v>
      </c>
      <c r="F99" s="226">
        <v>10.356481481481483</v>
      </c>
    </row>
    <row r="100" spans="1:6" x14ac:dyDescent="0.25">
      <c r="A100" s="218">
        <v>4</v>
      </c>
      <c r="B100" s="218">
        <v>2</v>
      </c>
      <c r="C100" s="218" t="str">
        <f t="shared" si="3"/>
        <v>42</v>
      </c>
      <c r="D100" s="226">
        <v>12.305000000000003</v>
      </c>
      <c r="F100" s="226">
        <v>8.6816666666666684</v>
      </c>
    </row>
    <row r="101" spans="1:6" x14ac:dyDescent="0.25">
      <c r="A101" s="218">
        <v>4</v>
      </c>
      <c r="B101" s="218">
        <v>3</v>
      </c>
      <c r="C101" s="218" t="str">
        <f t="shared" si="3"/>
        <v>43</v>
      </c>
      <c r="D101" s="226">
        <v>15.3687037037037</v>
      </c>
      <c r="F101" s="226">
        <v>0</v>
      </c>
    </row>
    <row r="102" spans="1:6" x14ac:dyDescent="0.25">
      <c r="A102" s="218">
        <v>4</v>
      </c>
      <c r="B102" s="218">
        <v>4</v>
      </c>
      <c r="C102" s="218" t="str">
        <f t="shared" si="3"/>
        <v>44</v>
      </c>
      <c r="D102" s="226">
        <v>33.206111111111106</v>
      </c>
      <c r="F102" s="226">
        <v>14.495555555555557</v>
      </c>
    </row>
    <row r="103" spans="1:6" x14ac:dyDescent="0.25">
      <c r="A103" s="218">
        <v>4</v>
      </c>
      <c r="B103" s="218">
        <v>5</v>
      </c>
      <c r="C103" s="218" t="str">
        <f t="shared" si="3"/>
        <v>45</v>
      </c>
      <c r="D103" s="226">
        <v>24.80407407407407</v>
      </c>
      <c r="F103" s="226">
        <v>7.8372222222222225</v>
      </c>
    </row>
    <row r="104" spans="1:6" x14ac:dyDescent="0.25">
      <c r="A104" s="218">
        <v>4</v>
      </c>
      <c r="B104" s="218">
        <v>6</v>
      </c>
      <c r="C104" s="218" t="str">
        <f t="shared" si="3"/>
        <v>46</v>
      </c>
      <c r="D104" s="226">
        <v>17.896296296296295</v>
      </c>
      <c r="F104" s="226">
        <v>0</v>
      </c>
    </row>
    <row r="105" spans="1:6" x14ac:dyDescent="0.25">
      <c r="A105" s="218">
        <v>4</v>
      </c>
      <c r="B105" s="218">
        <v>7</v>
      </c>
      <c r="C105" s="218" t="str">
        <f t="shared" si="3"/>
        <v>47</v>
      </c>
      <c r="D105" s="226">
        <v>6.352777777777777</v>
      </c>
      <c r="F105" s="226">
        <v>0</v>
      </c>
    </row>
    <row r="106" spans="1:6" x14ac:dyDescent="0.25">
      <c r="A106" s="218">
        <v>4</v>
      </c>
      <c r="B106" s="218">
        <v>8</v>
      </c>
      <c r="C106" s="218" t="str">
        <f t="shared" si="3"/>
        <v>48</v>
      </c>
      <c r="D106" s="226">
        <v>0</v>
      </c>
      <c r="F106" s="226">
        <v>0</v>
      </c>
    </row>
    <row r="107" spans="1:6" x14ac:dyDescent="0.25">
      <c r="A107" s="218">
        <v>4</v>
      </c>
      <c r="B107" s="218">
        <v>9</v>
      </c>
      <c r="C107" s="218" t="str">
        <f t="shared" si="3"/>
        <v>49</v>
      </c>
      <c r="D107" s="226">
        <v>1.0096296296296299</v>
      </c>
      <c r="F107" s="226">
        <v>7.1274074074074081</v>
      </c>
    </row>
    <row r="108" spans="1:6" x14ac:dyDescent="0.25">
      <c r="A108" s="218">
        <v>4</v>
      </c>
      <c r="B108" s="218">
        <v>10</v>
      </c>
      <c r="C108" s="218" t="str">
        <f t="shared" si="3"/>
        <v>410</v>
      </c>
      <c r="D108" s="226">
        <v>19.974629629629629</v>
      </c>
      <c r="F108" s="226">
        <v>18.302407407407408</v>
      </c>
    </row>
    <row r="109" spans="1:6" x14ac:dyDescent="0.25">
      <c r="A109" s="218">
        <v>4</v>
      </c>
      <c r="B109" s="218">
        <v>11</v>
      </c>
      <c r="C109" s="218" t="str">
        <f t="shared" si="3"/>
        <v>411</v>
      </c>
      <c r="D109" s="226">
        <v>19.123888888888889</v>
      </c>
      <c r="F109" s="226">
        <v>12.688333333333333</v>
      </c>
    </row>
    <row r="110" spans="1:6" x14ac:dyDescent="0.25">
      <c r="A110" s="218">
        <v>4</v>
      </c>
      <c r="B110" s="218">
        <v>12</v>
      </c>
      <c r="C110" s="218" t="str">
        <f t="shared" si="3"/>
        <v>412</v>
      </c>
      <c r="D110" s="226">
        <v>10.536481481481482</v>
      </c>
      <c r="F110" s="226">
        <v>3.5242592592592588</v>
      </c>
    </row>
    <row r="111" spans="1:6" x14ac:dyDescent="0.25">
      <c r="A111" s="218">
        <v>4</v>
      </c>
      <c r="B111" s="218">
        <v>13</v>
      </c>
      <c r="C111" s="218" t="str">
        <f t="shared" si="3"/>
        <v>413</v>
      </c>
      <c r="D111" s="226">
        <v>17.042222222222222</v>
      </c>
      <c r="F111" s="226">
        <v>15.515925925925925</v>
      </c>
    </row>
    <row r="112" spans="1:6" x14ac:dyDescent="0.25">
      <c r="A112" s="218">
        <v>4</v>
      </c>
      <c r="B112" s="218">
        <v>14</v>
      </c>
      <c r="C112" s="218" t="str">
        <f t="shared" si="3"/>
        <v>414</v>
      </c>
      <c r="D112" s="226">
        <v>29.198333333333334</v>
      </c>
      <c r="F112" s="226">
        <v>26.646851851851856</v>
      </c>
    </row>
    <row r="113" spans="1:6" x14ac:dyDescent="0.25">
      <c r="A113" s="218">
        <v>4</v>
      </c>
      <c r="B113" s="218">
        <v>15</v>
      </c>
      <c r="C113" s="218" t="str">
        <f t="shared" si="3"/>
        <v>415</v>
      </c>
      <c r="D113" s="226">
        <v>23.402037037037029</v>
      </c>
      <c r="F113" s="226">
        <v>19.818888888888885</v>
      </c>
    </row>
    <row r="114" spans="1:6" x14ac:dyDescent="0.25">
      <c r="A114" s="218">
        <v>4</v>
      </c>
      <c r="B114" s="218">
        <v>16</v>
      </c>
      <c r="C114" s="218" t="str">
        <f t="shared" si="3"/>
        <v>416</v>
      </c>
      <c r="D114" s="226">
        <v>21.171111111111109</v>
      </c>
      <c r="F114" s="226">
        <v>16.889444444444443</v>
      </c>
    </row>
    <row r="115" spans="1:6" x14ac:dyDescent="0.25">
      <c r="A115" s="218">
        <v>4</v>
      </c>
      <c r="B115" s="218">
        <v>17</v>
      </c>
      <c r="C115" s="218" t="str">
        <f t="shared" si="3"/>
        <v>417</v>
      </c>
      <c r="D115" s="226">
        <v>26.697962962962961</v>
      </c>
      <c r="F115" s="226">
        <v>13.653703703703705</v>
      </c>
    </row>
    <row r="116" spans="1:6" x14ac:dyDescent="0.25">
      <c r="A116" s="218">
        <v>4</v>
      </c>
      <c r="B116" s="218">
        <v>18</v>
      </c>
      <c r="C116" s="218" t="str">
        <f t="shared" si="3"/>
        <v>418</v>
      </c>
      <c r="D116" s="226">
        <v>22.302962962962965</v>
      </c>
      <c r="F116" s="226">
        <v>22.43</v>
      </c>
    </row>
    <row r="117" spans="1:6" x14ac:dyDescent="0.25">
      <c r="A117" s="218">
        <v>4</v>
      </c>
      <c r="B117" s="218">
        <v>19</v>
      </c>
      <c r="C117" s="218" t="str">
        <f t="shared" si="3"/>
        <v>419</v>
      </c>
      <c r="D117" s="226">
        <v>16.192037037037032</v>
      </c>
      <c r="F117" s="226">
        <v>9.5764814814814816</v>
      </c>
    </row>
    <row r="118" spans="1:6" x14ac:dyDescent="0.25">
      <c r="A118" s="218">
        <v>4</v>
      </c>
      <c r="B118" s="218">
        <v>20</v>
      </c>
      <c r="C118" s="218" t="str">
        <f t="shared" si="3"/>
        <v>420</v>
      </c>
      <c r="D118" s="226">
        <v>14.625185185185185</v>
      </c>
      <c r="F118" s="226">
        <v>5.458333333333333</v>
      </c>
    </row>
    <row r="119" spans="1:6" x14ac:dyDescent="0.25">
      <c r="A119" s="218">
        <v>4</v>
      </c>
      <c r="B119" s="218">
        <v>21</v>
      </c>
      <c r="C119" s="218" t="str">
        <f t="shared" si="3"/>
        <v>421</v>
      </c>
      <c r="D119" s="226">
        <v>11.393888888888887</v>
      </c>
      <c r="F119" s="226">
        <v>2.7599999999999993</v>
      </c>
    </row>
    <row r="120" spans="1:6" x14ac:dyDescent="0.25">
      <c r="A120" s="218">
        <v>4</v>
      </c>
      <c r="B120" s="218">
        <v>22</v>
      </c>
      <c r="C120" s="218" t="str">
        <f t="shared" si="3"/>
        <v>422</v>
      </c>
      <c r="D120" s="226">
        <v>9.5966666666666658</v>
      </c>
      <c r="F120" s="226">
        <v>11.841666666666667</v>
      </c>
    </row>
    <row r="121" spans="1:6" x14ac:dyDescent="0.25">
      <c r="A121" s="218">
        <v>4</v>
      </c>
      <c r="B121" s="218">
        <v>23</v>
      </c>
      <c r="C121" s="218" t="str">
        <f t="shared" si="3"/>
        <v>423</v>
      </c>
      <c r="D121" s="226">
        <v>5.3733333333333331</v>
      </c>
      <c r="F121" s="226">
        <v>4.4479629629629622</v>
      </c>
    </row>
    <row r="122" spans="1:6" x14ac:dyDescent="0.25">
      <c r="A122" s="218">
        <v>4</v>
      </c>
      <c r="B122" s="218">
        <v>24</v>
      </c>
      <c r="C122" s="218" t="str">
        <f t="shared" si="3"/>
        <v>424</v>
      </c>
      <c r="D122" s="226">
        <v>2.6312962962962967</v>
      </c>
      <c r="F122" s="226">
        <v>1.6033333333333339</v>
      </c>
    </row>
    <row r="123" spans="1:6" x14ac:dyDescent="0.25">
      <c r="A123" s="218">
        <v>4</v>
      </c>
      <c r="B123" s="218">
        <v>25</v>
      </c>
      <c r="C123" s="218" t="str">
        <f t="shared" si="3"/>
        <v>425</v>
      </c>
      <c r="D123" s="226">
        <v>7.5246296296296293</v>
      </c>
      <c r="F123" s="226">
        <v>0.70833333333333359</v>
      </c>
    </row>
    <row r="124" spans="1:6" x14ac:dyDescent="0.25">
      <c r="A124" s="218">
        <v>4</v>
      </c>
      <c r="B124" s="218">
        <v>26</v>
      </c>
      <c r="C124" s="218" t="str">
        <f t="shared" si="3"/>
        <v>426</v>
      </c>
      <c r="D124" s="226">
        <v>13.144444444444446</v>
      </c>
      <c r="F124" s="226">
        <v>6.3129629629629624</v>
      </c>
    </row>
    <row r="125" spans="1:6" x14ac:dyDescent="0.25">
      <c r="A125" s="218">
        <v>4</v>
      </c>
      <c r="B125" s="218">
        <v>27</v>
      </c>
      <c r="C125" s="218" t="str">
        <f t="shared" si="3"/>
        <v>427</v>
      </c>
      <c r="D125" s="226">
        <v>4.1103703703703705</v>
      </c>
      <c r="F125" s="226">
        <v>11.198888888888888</v>
      </c>
    </row>
    <row r="126" spans="1:6" x14ac:dyDescent="0.25">
      <c r="A126" s="218">
        <v>4</v>
      </c>
      <c r="B126" s="218">
        <v>28</v>
      </c>
      <c r="C126" s="218" t="str">
        <f t="shared" si="3"/>
        <v>428</v>
      </c>
      <c r="D126" s="226">
        <v>0</v>
      </c>
      <c r="F126" s="226">
        <v>0</v>
      </c>
    </row>
    <row r="127" spans="1:6" x14ac:dyDescent="0.25">
      <c r="A127" s="218">
        <v>4</v>
      </c>
      <c r="B127" s="218">
        <v>29</v>
      </c>
      <c r="C127" s="218" t="str">
        <f t="shared" si="3"/>
        <v>429</v>
      </c>
      <c r="D127" s="226">
        <v>2.222222222222096E-3</v>
      </c>
      <c r="F127" s="226">
        <v>0</v>
      </c>
    </row>
    <row r="128" spans="1:6" x14ac:dyDescent="0.25">
      <c r="A128" s="218">
        <v>4</v>
      </c>
      <c r="B128" s="218">
        <v>30</v>
      </c>
      <c r="C128" s="218" t="str">
        <f t="shared" si="3"/>
        <v>430</v>
      </c>
      <c r="D128" s="226">
        <v>8.6698148148148118</v>
      </c>
      <c r="F128" s="226">
        <v>3.166666666666676E-2</v>
      </c>
    </row>
    <row r="129" spans="1:6" x14ac:dyDescent="0.25">
      <c r="A129" s="218">
        <v>5</v>
      </c>
      <c r="B129" s="218">
        <v>1</v>
      </c>
      <c r="C129" s="218" t="str">
        <f t="shared" si="3"/>
        <v>51</v>
      </c>
      <c r="D129" s="226">
        <v>5.1713978494623651</v>
      </c>
      <c r="F129" s="226">
        <v>2.792150537634408</v>
      </c>
    </row>
    <row r="130" spans="1:6" x14ac:dyDescent="0.25">
      <c r="A130" s="218">
        <v>5</v>
      </c>
      <c r="B130" s="218">
        <v>2</v>
      </c>
      <c r="C130" s="218" t="str">
        <f t="shared" si="3"/>
        <v>52</v>
      </c>
      <c r="D130" s="226">
        <v>0.78505376344085775</v>
      </c>
      <c r="F130" s="226">
        <v>0</v>
      </c>
    </row>
    <row r="131" spans="1:6" x14ac:dyDescent="0.25">
      <c r="A131" s="218">
        <v>5</v>
      </c>
      <c r="B131" s="218">
        <v>3</v>
      </c>
      <c r="C131" s="218" t="str">
        <f t="shared" si="3"/>
        <v>53</v>
      </c>
      <c r="D131" s="226">
        <v>0</v>
      </c>
      <c r="F131" s="226">
        <v>0</v>
      </c>
    </row>
    <row r="132" spans="1:6" x14ac:dyDescent="0.25">
      <c r="A132" s="218">
        <v>5</v>
      </c>
      <c r="B132" s="218">
        <v>4</v>
      </c>
      <c r="C132" s="218" t="str">
        <f t="shared" si="3"/>
        <v>54</v>
      </c>
      <c r="D132" s="226">
        <v>3.8116129032258059</v>
      </c>
      <c r="F132" s="226">
        <v>1.221612903225809</v>
      </c>
    </row>
    <row r="133" spans="1:6" x14ac:dyDescent="0.25">
      <c r="A133" s="218">
        <v>5</v>
      </c>
      <c r="B133" s="218">
        <v>5</v>
      </c>
      <c r="C133" s="218" t="str">
        <f t="shared" si="3"/>
        <v>55</v>
      </c>
      <c r="D133" s="226">
        <v>9.8802150537634432</v>
      </c>
      <c r="F133" s="226">
        <v>0.4753405017921139</v>
      </c>
    </row>
    <row r="134" spans="1:6" x14ac:dyDescent="0.25">
      <c r="A134" s="218">
        <v>5</v>
      </c>
      <c r="B134" s="218">
        <v>6</v>
      </c>
      <c r="C134" s="218" t="str">
        <f t="shared" si="3"/>
        <v>56</v>
      </c>
      <c r="D134" s="226">
        <v>8.982849462365591</v>
      </c>
      <c r="F134" s="226">
        <v>6.4521863799283157</v>
      </c>
    </row>
    <row r="135" spans="1:6" x14ac:dyDescent="0.25">
      <c r="A135" s="218">
        <v>5</v>
      </c>
      <c r="B135" s="218">
        <v>7</v>
      </c>
      <c r="C135" s="218" t="str">
        <f t="shared" si="3"/>
        <v>57</v>
      </c>
      <c r="D135" s="226">
        <v>13.489767025089604</v>
      </c>
      <c r="F135" s="226">
        <v>5.3442114695340477</v>
      </c>
    </row>
    <row r="136" spans="1:6" x14ac:dyDescent="0.25">
      <c r="A136" s="218">
        <v>5</v>
      </c>
      <c r="B136" s="218">
        <v>8</v>
      </c>
      <c r="C136" s="218" t="str">
        <f t="shared" si="3"/>
        <v>58</v>
      </c>
      <c r="D136" s="226">
        <v>8.0816666666666688</v>
      </c>
      <c r="F136" s="226">
        <v>7.5023118279569854</v>
      </c>
    </row>
    <row r="137" spans="1:6" x14ac:dyDescent="0.25">
      <c r="A137" s="218">
        <v>5</v>
      </c>
      <c r="B137" s="218">
        <v>9</v>
      </c>
      <c r="C137" s="218" t="str">
        <f t="shared" si="3"/>
        <v>59</v>
      </c>
      <c r="D137" s="226">
        <v>21.017365591397848</v>
      </c>
      <c r="F137" s="226">
        <v>14.161756272401432</v>
      </c>
    </row>
    <row r="138" spans="1:6" x14ac:dyDescent="0.25">
      <c r="A138" s="218">
        <v>5</v>
      </c>
      <c r="B138" s="218">
        <v>10</v>
      </c>
      <c r="C138" s="218" t="str">
        <f t="shared" ref="C138:C201" si="4">A138&amp;B138</f>
        <v>510</v>
      </c>
      <c r="D138" s="226">
        <v>10.827544802867385</v>
      </c>
      <c r="F138" s="226">
        <v>4.3445878136200689</v>
      </c>
    </row>
    <row r="139" spans="1:6" x14ac:dyDescent="0.25">
      <c r="A139" s="218">
        <v>5</v>
      </c>
      <c r="B139" s="218">
        <v>11</v>
      </c>
      <c r="C139" s="218" t="str">
        <f t="shared" si="4"/>
        <v>511</v>
      </c>
      <c r="D139" s="226">
        <v>17.241881720430108</v>
      </c>
      <c r="F139" s="226">
        <v>8.9752508960573412</v>
      </c>
    </row>
    <row r="140" spans="1:6" x14ac:dyDescent="0.25">
      <c r="A140" s="218">
        <v>5</v>
      </c>
      <c r="B140" s="218">
        <v>12</v>
      </c>
      <c r="C140" s="218" t="str">
        <f t="shared" si="4"/>
        <v>512</v>
      </c>
      <c r="D140" s="226">
        <v>15.166075268817208</v>
      </c>
      <c r="F140" s="226">
        <v>10.776702508960573</v>
      </c>
    </row>
    <row r="141" spans="1:6" x14ac:dyDescent="0.25">
      <c r="A141" s="218">
        <v>5</v>
      </c>
      <c r="B141" s="218">
        <v>13</v>
      </c>
      <c r="C141" s="218" t="str">
        <f t="shared" si="4"/>
        <v>513</v>
      </c>
      <c r="D141" s="226">
        <v>12.038440860215056</v>
      </c>
      <c r="F141" s="226">
        <v>3.6909318996415759</v>
      </c>
    </row>
    <row r="142" spans="1:6" x14ac:dyDescent="0.25">
      <c r="A142" s="218">
        <v>5</v>
      </c>
      <c r="B142" s="218">
        <v>14</v>
      </c>
      <c r="C142" s="218" t="str">
        <f t="shared" si="4"/>
        <v>514</v>
      </c>
      <c r="D142" s="226">
        <v>7.2565591397849447</v>
      </c>
      <c r="F142" s="226">
        <v>0</v>
      </c>
    </row>
    <row r="143" spans="1:6" x14ac:dyDescent="0.25">
      <c r="A143" s="218">
        <v>5</v>
      </c>
      <c r="B143" s="218">
        <v>15</v>
      </c>
      <c r="C143" s="218" t="str">
        <f t="shared" si="4"/>
        <v>515</v>
      </c>
      <c r="D143" s="226">
        <v>0</v>
      </c>
      <c r="F143" s="226">
        <v>0</v>
      </c>
    </row>
    <row r="144" spans="1:6" x14ac:dyDescent="0.25">
      <c r="A144" s="218">
        <v>5</v>
      </c>
      <c r="B144" s="218">
        <v>16</v>
      </c>
      <c r="C144" s="218" t="str">
        <f t="shared" si="4"/>
        <v>516</v>
      </c>
      <c r="D144" s="226">
        <v>0</v>
      </c>
      <c r="F144" s="226">
        <v>0</v>
      </c>
    </row>
    <row r="145" spans="1:6" x14ac:dyDescent="0.25">
      <c r="A145" s="218">
        <v>5</v>
      </c>
      <c r="B145" s="218">
        <v>17</v>
      </c>
      <c r="C145" s="218" t="str">
        <f t="shared" si="4"/>
        <v>517</v>
      </c>
      <c r="D145" s="226">
        <v>4.1075268817203893E-2</v>
      </c>
      <c r="F145" s="226">
        <v>0</v>
      </c>
    </row>
    <row r="146" spans="1:6" x14ac:dyDescent="0.25">
      <c r="A146" s="218">
        <v>5</v>
      </c>
      <c r="B146" s="218">
        <v>18</v>
      </c>
      <c r="C146" s="218" t="str">
        <f t="shared" si="4"/>
        <v>518</v>
      </c>
      <c r="D146" s="226">
        <v>4.5589784946236547</v>
      </c>
      <c r="F146" s="226">
        <v>2.012078853046595</v>
      </c>
    </row>
    <row r="147" spans="1:6" x14ac:dyDescent="0.25">
      <c r="A147" s="218">
        <v>5</v>
      </c>
      <c r="B147" s="218">
        <v>19</v>
      </c>
      <c r="C147" s="218" t="str">
        <f t="shared" si="4"/>
        <v>519</v>
      </c>
      <c r="D147" s="226">
        <v>6.6210752688172052</v>
      </c>
      <c r="F147" s="226">
        <v>2.1899641577060435E-2</v>
      </c>
    </row>
    <row r="148" spans="1:6" x14ac:dyDescent="0.25">
      <c r="A148" s="218">
        <v>5</v>
      </c>
      <c r="B148" s="218">
        <v>20</v>
      </c>
      <c r="C148" s="218" t="str">
        <f t="shared" si="4"/>
        <v>520</v>
      </c>
      <c r="D148" s="226">
        <v>5.9051254480286746</v>
      </c>
      <c r="F148" s="226">
        <v>0</v>
      </c>
    </row>
    <row r="149" spans="1:6" x14ac:dyDescent="0.25">
      <c r="A149" s="218">
        <v>5</v>
      </c>
      <c r="B149" s="218">
        <v>21</v>
      </c>
      <c r="C149" s="218" t="str">
        <f t="shared" si="4"/>
        <v>521</v>
      </c>
      <c r="D149" s="226">
        <v>3.0827956989247287</v>
      </c>
      <c r="F149" s="226">
        <v>0</v>
      </c>
    </row>
    <row r="150" spans="1:6" x14ac:dyDescent="0.25">
      <c r="A150" s="218">
        <v>5</v>
      </c>
      <c r="B150" s="218">
        <v>22</v>
      </c>
      <c r="C150" s="218" t="str">
        <f t="shared" si="4"/>
        <v>522</v>
      </c>
      <c r="D150" s="226">
        <v>2.3866129032258052</v>
      </c>
      <c r="F150" s="226">
        <v>0</v>
      </c>
    </row>
    <row r="151" spans="1:6" x14ac:dyDescent="0.25">
      <c r="A151" s="218">
        <v>5</v>
      </c>
      <c r="B151" s="218">
        <v>23</v>
      </c>
      <c r="C151" s="218" t="str">
        <f t="shared" si="4"/>
        <v>523</v>
      </c>
      <c r="D151" s="226">
        <v>0</v>
      </c>
      <c r="F151" s="226">
        <v>0</v>
      </c>
    </row>
    <row r="152" spans="1:6" x14ac:dyDescent="0.25">
      <c r="A152" s="218">
        <v>5</v>
      </c>
      <c r="B152" s="218">
        <v>24</v>
      </c>
      <c r="C152" s="218" t="str">
        <f t="shared" si="4"/>
        <v>524</v>
      </c>
      <c r="D152" s="226">
        <v>0</v>
      </c>
      <c r="F152" s="226">
        <v>0</v>
      </c>
    </row>
    <row r="153" spans="1:6" x14ac:dyDescent="0.25">
      <c r="A153" s="218">
        <v>5</v>
      </c>
      <c r="B153" s="218">
        <v>25</v>
      </c>
      <c r="C153" s="218" t="str">
        <f t="shared" si="4"/>
        <v>525</v>
      </c>
      <c r="D153" s="226">
        <v>0</v>
      </c>
      <c r="F153" s="226">
        <v>0</v>
      </c>
    </row>
    <row r="154" spans="1:6" x14ac:dyDescent="0.25">
      <c r="A154" s="218">
        <v>5</v>
      </c>
      <c r="B154" s="218">
        <v>26</v>
      </c>
      <c r="C154" s="218" t="str">
        <f t="shared" si="4"/>
        <v>526</v>
      </c>
      <c r="D154" s="226">
        <v>0</v>
      </c>
      <c r="F154" s="226">
        <v>0</v>
      </c>
    </row>
    <row r="155" spans="1:6" x14ac:dyDescent="0.25">
      <c r="A155" s="218">
        <v>5</v>
      </c>
      <c r="B155" s="218">
        <v>27</v>
      </c>
      <c r="C155" s="218" t="str">
        <f t="shared" si="4"/>
        <v>527</v>
      </c>
      <c r="D155" s="226">
        <v>0</v>
      </c>
      <c r="F155" s="226">
        <v>0</v>
      </c>
    </row>
    <row r="156" spans="1:6" x14ac:dyDescent="0.25">
      <c r="A156" s="218">
        <v>5</v>
      </c>
      <c r="B156" s="218">
        <v>28</v>
      </c>
      <c r="C156" s="218" t="str">
        <f t="shared" si="4"/>
        <v>528</v>
      </c>
      <c r="D156" s="226">
        <v>0</v>
      </c>
      <c r="F156" s="226">
        <v>0</v>
      </c>
    </row>
    <row r="157" spans="1:6" x14ac:dyDescent="0.25">
      <c r="A157" s="218">
        <v>5</v>
      </c>
      <c r="B157" s="218">
        <v>29</v>
      </c>
      <c r="C157" s="218" t="str">
        <f t="shared" si="4"/>
        <v>529</v>
      </c>
      <c r="D157" s="226">
        <v>1.6625806451612888</v>
      </c>
      <c r="F157" s="226">
        <v>0</v>
      </c>
    </row>
    <row r="158" spans="1:6" x14ac:dyDescent="0.25">
      <c r="A158" s="218">
        <v>5</v>
      </c>
      <c r="B158" s="218">
        <v>30</v>
      </c>
      <c r="C158" s="218" t="str">
        <f t="shared" si="4"/>
        <v>530</v>
      </c>
      <c r="D158" s="226">
        <v>0</v>
      </c>
      <c r="F158" s="226">
        <v>0</v>
      </c>
    </row>
    <row r="159" spans="1:6" x14ac:dyDescent="0.25">
      <c r="A159" s="218">
        <v>5</v>
      </c>
      <c r="B159" s="218">
        <v>31</v>
      </c>
      <c r="C159" s="218" t="str">
        <f t="shared" si="4"/>
        <v>531</v>
      </c>
      <c r="D159" s="226">
        <v>0</v>
      </c>
      <c r="F159" s="226">
        <v>0</v>
      </c>
    </row>
    <row r="160" spans="1:6" x14ac:dyDescent="0.25">
      <c r="A160" s="218">
        <v>6</v>
      </c>
      <c r="B160" s="218">
        <v>1</v>
      </c>
      <c r="C160" s="218" t="str">
        <f t="shared" si="4"/>
        <v>61</v>
      </c>
      <c r="D160" s="226">
        <v>4.7616666666666667</v>
      </c>
      <c r="F160" s="226">
        <v>8.0000000000000196E-2</v>
      </c>
    </row>
    <row r="161" spans="1:6" x14ac:dyDescent="0.25">
      <c r="A161" s="218">
        <v>6</v>
      </c>
      <c r="B161" s="218">
        <v>2</v>
      </c>
      <c r="C161" s="218" t="str">
        <f t="shared" si="4"/>
        <v>62</v>
      </c>
      <c r="D161" s="226">
        <v>0</v>
      </c>
      <c r="F161" s="226">
        <v>0</v>
      </c>
    </row>
    <row r="162" spans="1:6" x14ac:dyDescent="0.25">
      <c r="A162" s="218">
        <v>6</v>
      </c>
      <c r="B162" s="218">
        <v>3</v>
      </c>
      <c r="C162" s="218" t="str">
        <f t="shared" si="4"/>
        <v>63</v>
      </c>
      <c r="D162" s="226">
        <v>0</v>
      </c>
      <c r="F162" s="226">
        <v>0</v>
      </c>
    </row>
    <row r="163" spans="1:6" x14ac:dyDescent="0.25">
      <c r="A163" s="218">
        <v>6</v>
      </c>
      <c r="B163" s="218">
        <v>4</v>
      </c>
      <c r="C163" s="218" t="str">
        <f t="shared" si="4"/>
        <v>64</v>
      </c>
      <c r="D163" s="226">
        <v>0</v>
      </c>
      <c r="F163" s="226">
        <v>0</v>
      </c>
    </row>
    <row r="164" spans="1:6" x14ac:dyDescent="0.25">
      <c r="A164" s="218">
        <v>6</v>
      </c>
      <c r="B164" s="218">
        <v>5</v>
      </c>
      <c r="C164" s="218" t="str">
        <f t="shared" si="4"/>
        <v>65</v>
      </c>
      <c r="D164" s="226">
        <v>0</v>
      </c>
      <c r="F164" s="226">
        <v>0</v>
      </c>
    </row>
    <row r="165" spans="1:6" x14ac:dyDescent="0.25">
      <c r="A165" s="218">
        <v>6</v>
      </c>
      <c r="B165" s="218">
        <v>6</v>
      </c>
      <c r="C165" s="218" t="str">
        <f t="shared" si="4"/>
        <v>66</v>
      </c>
      <c r="D165" s="226">
        <v>0</v>
      </c>
      <c r="F165" s="226">
        <v>0</v>
      </c>
    </row>
    <row r="166" spans="1:6" x14ac:dyDescent="0.25">
      <c r="A166" s="218">
        <v>6</v>
      </c>
      <c r="B166" s="218">
        <v>7</v>
      </c>
      <c r="C166" s="218" t="str">
        <f t="shared" si="4"/>
        <v>67</v>
      </c>
      <c r="D166" s="226">
        <v>0</v>
      </c>
      <c r="F166" s="226">
        <v>0</v>
      </c>
    </row>
    <row r="167" spans="1:6" x14ac:dyDescent="0.25">
      <c r="A167" s="218">
        <v>6</v>
      </c>
      <c r="B167" s="218">
        <v>8</v>
      </c>
      <c r="C167" s="218" t="str">
        <f t="shared" si="4"/>
        <v>68</v>
      </c>
      <c r="D167" s="226">
        <v>0</v>
      </c>
      <c r="F167" s="226">
        <v>0</v>
      </c>
    </row>
    <row r="168" spans="1:6" x14ac:dyDescent="0.25">
      <c r="A168" s="218">
        <v>6</v>
      </c>
      <c r="B168" s="218">
        <v>9</v>
      </c>
      <c r="C168" s="218" t="str">
        <f t="shared" si="4"/>
        <v>69</v>
      </c>
      <c r="D168" s="226">
        <v>0</v>
      </c>
      <c r="F168" s="226">
        <v>0</v>
      </c>
    </row>
    <row r="169" spans="1:6" x14ac:dyDescent="0.25">
      <c r="A169" s="218">
        <v>6</v>
      </c>
      <c r="B169" s="218">
        <v>10</v>
      </c>
      <c r="C169" s="218" t="str">
        <f t="shared" si="4"/>
        <v>610</v>
      </c>
      <c r="D169" s="226">
        <v>0</v>
      </c>
      <c r="F169" s="226">
        <v>0</v>
      </c>
    </row>
    <row r="170" spans="1:6" x14ac:dyDescent="0.25">
      <c r="A170" s="218">
        <v>6</v>
      </c>
      <c r="B170" s="218">
        <v>11</v>
      </c>
      <c r="C170" s="218" t="str">
        <f t="shared" si="4"/>
        <v>611</v>
      </c>
      <c r="D170" s="226">
        <v>8.915555555555553</v>
      </c>
      <c r="F170" s="226">
        <v>0</v>
      </c>
    </row>
    <row r="171" spans="1:6" x14ac:dyDescent="0.25">
      <c r="A171" s="218">
        <v>6</v>
      </c>
      <c r="B171" s="218">
        <v>12</v>
      </c>
      <c r="C171" s="218" t="str">
        <f t="shared" si="4"/>
        <v>612</v>
      </c>
      <c r="D171" s="226">
        <v>0</v>
      </c>
      <c r="F171" s="226">
        <v>0</v>
      </c>
    </row>
    <row r="172" spans="1:6" x14ac:dyDescent="0.25">
      <c r="A172" s="218">
        <v>6</v>
      </c>
      <c r="B172" s="218">
        <v>13</v>
      </c>
      <c r="C172" s="218" t="str">
        <f t="shared" si="4"/>
        <v>613</v>
      </c>
      <c r="D172" s="226">
        <v>0</v>
      </c>
      <c r="F172" s="226">
        <v>0</v>
      </c>
    </row>
    <row r="173" spans="1:6" x14ac:dyDescent="0.25">
      <c r="A173" s="218">
        <v>6</v>
      </c>
      <c r="B173" s="218">
        <v>14</v>
      </c>
      <c r="C173" s="218" t="str">
        <f t="shared" si="4"/>
        <v>614</v>
      </c>
      <c r="D173" s="226">
        <v>0</v>
      </c>
      <c r="F173" s="226">
        <v>0</v>
      </c>
    </row>
    <row r="174" spans="1:6" x14ac:dyDescent="0.25">
      <c r="A174" s="218">
        <v>6</v>
      </c>
      <c r="B174" s="218">
        <v>15</v>
      </c>
      <c r="C174" s="218" t="str">
        <f t="shared" si="4"/>
        <v>615</v>
      </c>
      <c r="D174" s="226">
        <v>0</v>
      </c>
      <c r="F174" s="226">
        <v>0</v>
      </c>
    </row>
    <row r="175" spans="1:6" x14ac:dyDescent="0.25">
      <c r="A175" s="218">
        <v>6</v>
      </c>
      <c r="B175" s="218">
        <v>16</v>
      </c>
      <c r="C175" s="218" t="str">
        <f t="shared" si="4"/>
        <v>616</v>
      </c>
      <c r="D175" s="226">
        <v>0</v>
      </c>
      <c r="F175" s="226">
        <v>3.4888888888888894</v>
      </c>
    </row>
    <row r="176" spans="1:6" x14ac:dyDescent="0.25">
      <c r="A176" s="218">
        <v>6</v>
      </c>
      <c r="B176" s="218">
        <v>17</v>
      </c>
      <c r="C176" s="218" t="str">
        <f t="shared" si="4"/>
        <v>617</v>
      </c>
      <c r="D176" s="226">
        <v>0</v>
      </c>
      <c r="F176" s="226">
        <v>0</v>
      </c>
    </row>
    <row r="177" spans="1:6" x14ac:dyDescent="0.25">
      <c r="A177" s="218">
        <v>6</v>
      </c>
      <c r="B177" s="218">
        <v>18</v>
      </c>
      <c r="C177" s="218" t="str">
        <f t="shared" si="4"/>
        <v>618</v>
      </c>
      <c r="D177" s="226">
        <v>0</v>
      </c>
      <c r="F177" s="226">
        <v>0</v>
      </c>
    </row>
    <row r="178" spans="1:6" x14ac:dyDescent="0.25">
      <c r="A178" s="218">
        <v>6</v>
      </c>
      <c r="B178" s="218">
        <v>19</v>
      </c>
      <c r="C178" s="218" t="str">
        <f t="shared" si="4"/>
        <v>619</v>
      </c>
      <c r="D178" s="226">
        <v>0</v>
      </c>
      <c r="F178" s="226">
        <v>0</v>
      </c>
    </row>
    <row r="179" spans="1:6" x14ac:dyDescent="0.25">
      <c r="A179" s="218">
        <v>6</v>
      </c>
      <c r="B179" s="218">
        <v>20</v>
      </c>
      <c r="C179" s="218" t="str">
        <f t="shared" si="4"/>
        <v>620</v>
      </c>
      <c r="D179" s="226">
        <v>0</v>
      </c>
      <c r="F179" s="226">
        <v>0</v>
      </c>
    </row>
    <row r="180" spans="1:6" x14ac:dyDescent="0.25">
      <c r="A180" s="218">
        <v>6</v>
      </c>
      <c r="B180" s="218">
        <v>21</v>
      </c>
      <c r="C180" s="218" t="str">
        <f t="shared" si="4"/>
        <v>621</v>
      </c>
      <c r="D180" s="226">
        <v>0</v>
      </c>
      <c r="F180" s="226">
        <v>0</v>
      </c>
    </row>
    <row r="181" spans="1:6" x14ac:dyDescent="0.25">
      <c r="A181" s="218">
        <v>6</v>
      </c>
      <c r="B181" s="218">
        <v>22</v>
      </c>
      <c r="C181" s="218" t="str">
        <f t="shared" si="4"/>
        <v>622</v>
      </c>
      <c r="D181" s="226">
        <v>0</v>
      </c>
      <c r="F181" s="226">
        <v>0</v>
      </c>
    </row>
    <row r="182" spans="1:6" x14ac:dyDescent="0.25">
      <c r="A182" s="218">
        <v>6</v>
      </c>
      <c r="B182" s="218">
        <v>23</v>
      </c>
      <c r="C182" s="218" t="str">
        <f t="shared" si="4"/>
        <v>623</v>
      </c>
      <c r="D182" s="226">
        <v>1.5494444444444448</v>
      </c>
      <c r="F182" s="226">
        <v>0</v>
      </c>
    </row>
    <row r="183" spans="1:6" x14ac:dyDescent="0.25">
      <c r="A183" s="218">
        <v>6</v>
      </c>
      <c r="B183" s="218">
        <v>24</v>
      </c>
      <c r="C183" s="218" t="str">
        <f t="shared" si="4"/>
        <v>624</v>
      </c>
      <c r="D183" s="226">
        <v>2.7677777777777779</v>
      </c>
      <c r="F183" s="226">
        <v>0</v>
      </c>
    </row>
    <row r="184" spans="1:6" x14ac:dyDescent="0.25">
      <c r="A184" s="218">
        <v>6</v>
      </c>
      <c r="B184" s="218">
        <v>25</v>
      </c>
      <c r="C184" s="218" t="str">
        <f t="shared" si="4"/>
        <v>625</v>
      </c>
      <c r="D184" s="226">
        <v>0.46277777777777657</v>
      </c>
      <c r="F184" s="226">
        <v>0</v>
      </c>
    </row>
    <row r="185" spans="1:6" x14ac:dyDescent="0.25">
      <c r="A185" s="218">
        <v>6</v>
      </c>
      <c r="B185" s="218">
        <v>26</v>
      </c>
      <c r="C185" s="218" t="str">
        <f t="shared" si="4"/>
        <v>626</v>
      </c>
      <c r="D185" s="226">
        <v>0</v>
      </c>
      <c r="F185" s="226">
        <v>0</v>
      </c>
    </row>
    <row r="186" spans="1:6" x14ac:dyDescent="0.25">
      <c r="A186" s="218">
        <v>6</v>
      </c>
      <c r="B186" s="218">
        <v>27</v>
      </c>
      <c r="C186" s="218" t="str">
        <f t="shared" si="4"/>
        <v>627</v>
      </c>
      <c r="D186" s="226">
        <v>0</v>
      </c>
      <c r="F186" s="226">
        <v>0</v>
      </c>
    </row>
    <row r="187" spans="1:6" x14ac:dyDescent="0.25">
      <c r="A187" s="218">
        <v>6</v>
      </c>
      <c r="B187" s="218">
        <v>28</v>
      </c>
      <c r="C187" s="218" t="str">
        <f t="shared" si="4"/>
        <v>628</v>
      </c>
      <c r="D187" s="226">
        <v>0</v>
      </c>
      <c r="F187" s="226">
        <v>0</v>
      </c>
    </row>
    <row r="188" spans="1:6" x14ac:dyDescent="0.25">
      <c r="A188" s="218">
        <v>6</v>
      </c>
      <c r="B188" s="218">
        <v>29</v>
      </c>
      <c r="C188" s="218" t="str">
        <f t="shared" si="4"/>
        <v>629</v>
      </c>
      <c r="D188" s="226">
        <v>0</v>
      </c>
      <c r="F188" s="226">
        <v>0</v>
      </c>
    </row>
    <row r="189" spans="1:6" x14ac:dyDescent="0.25">
      <c r="A189" s="218">
        <v>6</v>
      </c>
      <c r="B189" s="218">
        <v>30</v>
      </c>
      <c r="C189" s="218" t="str">
        <f t="shared" si="4"/>
        <v>630</v>
      </c>
      <c r="D189" s="226">
        <v>0</v>
      </c>
      <c r="F189" s="226">
        <v>0</v>
      </c>
    </row>
    <row r="190" spans="1:6" x14ac:dyDescent="0.25">
      <c r="A190" s="218">
        <v>7</v>
      </c>
      <c r="B190" s="218">
        <v>1</v>
      </c>
      <c r="C190" s="218" t="str">
        <f t="shared" si="4"/>
        <v>71</v>
      </c>
      <c r="D190" s="226">
        <v>0</v>
      </c>
      <c r="F190" s="226">
        <v>9.3333333333333712E-2</v>
      </c>
    </row>
    <row r="191" spans="1:6" x14ac:dyDescent="0.25">
      <c r="A191" s="218">
        <v>7</v>
      </c>
      <c r="B191" s="218">
        <v>2</v>
      </c>
      <c r="C191" s="218" t="str">
        <f t="shared" si="4"/>
        <v>72</v>
      </c>
      <c r="D191" s="226">
        <v>0</v>
      </c>
      <c r="F191" s="226">
        <v>0</v>
      </c>
    </row>
    <row r="192" spans="1:6" x14ac:dyDescent="0.25">
      <c r="A192" s="218">
        <v>7</v>
      </c>
      <c r="B192" s="218">
        <v>3</v>
      </c>
      <c r="C192" s="218" t="str">
        <f t="shared" si="4"/>
        <v>73</v>
      </c>
      <c r="D192" s="226">
        <v>0</v>
      </c>
      <c r="F192" s="226">
        <v>0</v>
      </c>
    </row>
    <row r="193" spans="1:6" x14ac:dyDescent="0.25">
      <c r="A193" s="218">
        <v>7</v>
      </c>
      <c r="B193" s="218">
        <v>4</v>
      </c>
      <c r="C193" s="218" t="str">
        <f t="shared" si="4"/>
        <v>74</v>
      </c>
      <c r="D193" s="226">
        <v>0</v>
      </c>
      <c r="F193" s="226">
        <v>0</v>
      </c>
    </row>
    <row r="194" spans="1:6" x14ac:dyDescent="0.25">
      <c r="A194" s="218">
        <v>7</v>
      </c>
      <c r="B194" s="218">
        <v>5</v>
      </c>
      <c r="C194" s="218" t="str">
        <f t="shared" si="4"/>
        <v>75</v>
      </c>
      <c r="D194" s="226">
        <v>0</v>
      </c>
      <c r="F194" s="226">
        <v>0</v>
      </c>
    </row>
    <row r="195" spans="1:6" x14ac:dyDescent="0.25">
      <c r="A195" s="218">
        <v>7</v>
      </c>
      <c r="B195" s="218">
        <v>6</v>
      </c>
      <c r="C195" s="218" t="str">
        <f t="shared" si="4"/>
        <v>76</v>
      </c>
      <c r="D195" s="226">
        <v>0</v>
      </c>
      <c r="F195" s="226">
        <v>0</v>
      </c>
    </row>
    <row r="196" spans="1:6" x14ac:dyDescent="0.25">
      <c r="A196" s="218">
        <v>7</v>
      </c>
      <c r="B196" s="218">
        <v>7</v>
      </c>
      <c r="C196" s="218" t="str">
        <f t="shared" si="4"/>
        <v>77</v>
      </c>
      <c r="D196" s="226">
        <v>0</v>
      </c>
      <c r="F196" s="226">
        <v>0</v>
      </c>
    </row>
    <row r="197" spans="1:6" x14ac:dyDescent="0.25">
      <c r="A197" s="218">
        <v>7</v>
      </c>
      <c r="B197" s="218">
        <v>8</v>
      </c>
      <c r="C197" s="218" t="str">
        <f t="shared" si="4"/>
        <v>78</v>
      </c>
      <c r="D197" s="226">
        <v>0</v>
      </c>
      <c r="F197" s="226">
        <v>0</v>
      </c>
    </row>
    <row r="198" spans="1:6" x14ac:dyDescent="0.25">
      <c r="A198" s="218">
        <v>7</v>
      </c>
      <c r="B198" s="218">
        <v>9</v>
      </c>
      <c r="C198" s="218" t="str">
        <f t="shared" si="4"/>
        <v>79</v>
      </c>
      <c r="D198" s="226">
        <v>0</v>
      </c>
      <c r="F198" s="226">
        <v>0</v>
      </c>
    </row>
    <row r="199" spans="1:6" x14ac:dyDescent="0.25">
      <c r="A199" s="218">
        <v>7</v>
      </c>
      <c r="B199" s="218">
        <v>10</v>
      </c>
      <c r="C199" s="218" t="str">
        <f t="shared" si="4"/>
        <v>710</v>
      </c>
      <c r="D199" s="226">
        <v>0</v>
      </c>
      <c r="F199" s="226">
        <v>0</v>
      </c>
    </row>
    <row r="200" spans="1:6" x14ac:dyDescent="0.25">
      <c r="A200" s="218">
        <v>7</v>
      </c>
      <c r="B200" s="218">
        <v>11</v>
      </c>
      <c r="C200" s="218" t="str">
        <f t="shared" si="4"/>
        <v>711</v>
      </c>
      <c r="D200" s="226">
        <v>0</v>
      </c>
      <c r="F200" s="226">
        <v>0</v>
      </c>
    </row>
    <row r="201" spans="1:6" x14ac:dyDescent="0.25">
      <c r="A201" s="218">
        <v>7</v>
      </c>
      <c r="B201" s="218">
        <v>12</v>
      </c>
      <c r="C201" s="218" t="str">
        <f t="shared" si="4"/>
        <v>712</v>
      </c>
      <c r="D201" s="226">
        <v>0</v>
      </c>
      <c r="F201" s="226">
        <v>0</v>
      </c>
    </row>
    <row r="202" spans="1:6" x14ac:dyDescent="0.25">
      <c r="A202" s="218">
        <v>7</v>
      </c>
      <c r="B202" s="218">
        <v>13</v>
      </c>
      <c r="C202" s="218" t="str">
        <f t="shared" ref="C202:C265" si="5">A202&amp;B202</f>
        <v>713</v>
      </c>
      <c r="D202" s="226">
        <v>0</v>
      </c>
      <c r="F202" s="226">
        <v>0</v>
      </c>
    </row>
    <row r="203" spans="1:6" x14ac:dyDescent="0.25">
      <c r="A203" s="218">
        <v>7</v>
      </c>
      <c r="B203" s="218">
        <v>14</v>
      </c>
      <c r="C203" s="218" t="str">
        <f t="shared" si="5"/>
        <v>714</v>
      </c>
      <c r="D203" s="226">
        <v>0</v>
      </c>
      <c r="F203" s="226">
        <v>0</v>
      </c>
    </row>
    <row r="204" spans="1:6" x14ac:dyDescent="0.25">
      <c r="A204" s="218">
        <v>7</v>
      </c>
      <c r="B204" s="218">
        <v>15</v>
      </c>
      <c r="C204" s="218" t="str">
        <f t="shared" si="5"/>
        <v>715</v>
      </c>
      <c r="D204" s="226">
        <v>0</v>
      </c>
      <c r="F204" s="226">
        <v>0</v>
      </c>
    </row>
    <row r="205" spans="1:6" x14ac:dyDescent="0.25">
      <c r="A205" s="218">
        <v>7</v>
      </c>
      <c r="B205" s="218">
        <v>16</v>
      </c>
      <c r="C205" s="218" t="str">
        <f t="shared" si="5"/>
        <v>716</v>
      </c>
      <c r="D205" s="226">
        <v>1.9386200716845867</v>
      </c>
      <c r="F205" s="226">
        <v>0</v>
      </c>
    </row>
    <row r="206" spans="1:6" x14ac:dyDescent="0.25">
      <c r="A206" s="218">
        <v>7</v>
      </c>
      <c r="B206" s="218">
        <v>17</v>
      </c>
      <c r="C206" s="218" t="str">
        <f t="shared" si="5"/>
        <v>717</v>
      </c>
      <c r="D206" s="226">
        <v>0</v>
      </c>
      <c r="F206" s="226">
        <v>0</v>
      </c>
    </row>
    <row r="207" spans="1:6" x14ac:dyDescent="0.25">
      <c r="A207" s="218">
        <v>7</v>
      </c>
      <c r="B207" s="218">
        <v>18</v>
      </c>
      <c r="C207" s="218" t="str">
        <f t="shared" si="5"/>
        <v>718</v>
      </c>
      <c r="D207" s="226">
        <v>0</v>
      </c>
      <c r="F207" s="226">
        <v>0</v>
      </c>
    </row>
    <row r="208" spans="1:6" x14ac:dyDescent="0.25">
      <c r="A208" s="218">
        <v>7</v>
      </c>
      <c r="B208" s="218">
        <v>19</v>
      </c>
      <c r="C208" s="218" t="str">
        <f t="shared" si="5"/>
        <v>719</v>
      </c>
      <c r="D208" s="226">
        <v>0</v>
      </c>
      <c r="F208" s="226">
        <v>0</v>
      </c>
    </row>
    <row r="209" spans="1:6" x14ac:dyDescent="0.25">
      <c r="A209" s="218">
        <v>7</v>
      </c>
      <c r="B209" s="218">
        <v>20</v>
      </c>
      <c r="C209" s="218" t="str">
        <f t="shared" si="5"/>
        <v>720</v>
      </c>
      <c r="D209" s="226">
        <v>0</v>
      </c>
      <c r="F209" s="226">
        <v>0</v>
      </c>
    </row>
    <row r="210" spans="1:6" x14ac:dyDescent="0.25">
      <c r="A210" s="218">
        <v>7</v>
      </c>
      <c r="B210" s="218">
        <v>21</v>
      </c>
      <c r="C210" s="218" t="str">
        <f t="shared" si="5"/>
        <v>721</v>
      </c>
      <c r="D210" s="226">
        <v>0</v>
      </c>
      <c r="F210" s="226">
        <v>0</v>
      </c>
    </row>
    <row r="211" spans="1:6" x14ac:dyDescent="0.25">
      <c r="A211" s="218">
        <v>7</v>
      </c>
      <c r="B211" s="218">
        <v>22</v>
      </c>
      <c r="C211" s="218" t="str">
        <f t="shared" si="5"/>
        <v>722</v>
      </c>
      <c r="D211" s="226">
        <v>0</v>
      </c>
      <c r="F211" s="226">
        <v>0</v>
      </c>
    </row>
    <row r="212" spans="1:6" x14ac:dyDescent="0.25">
      <c r="A212" s="218">
        <v>7</v>
      </c>
      <c r="B212" s="218">
        <v>23</v>
      </c>
      <c r="C212" s="218" t="str">
        <f t="shared" si="5"/>
        <v>723</v>
      </c>
      <c r="D212" s="226">
        <v>0</v>
      </c>
      <c r="F212" s="226">
        <v>0</v>
      </c>
    </row>
    <row r="213" spans="1:6" x14ac:dyDescent="0.25">
      <c r="A213" s="218">
        <v>7</v>
      </c>
      <c r="B213" s="218">
        <v>24</v>
      </c>
      <c r="C213" s="218" t="str">
        <f t="shared" si="5"/>
        <v>724</v>
      </c>
      <c r="D213" s="226">
        <v>0</v>
      </c>
      <c r="F213" s="226">
        <v>0</v>
      </c>
    </row>
    <row r="214" spans="1:6" x14ac:dyDescent="0.25">
      <c r="A214" s="218">
        <v>7</v>
      </c>
      <c r="B214" s="218">
        <v>25</v>
      </c>
      <c r="C214" s="218" t="str">
        <f t="shared" si="5"/>
        <v>725</v>
      </c>
      <c r="D214" s="226">
        <v>0</v>
      </c>
      <c r="F214" s="226">
        <v>0</v>
      </c>
    </row>
    <row r="215" spans="1:6" x14ac:dyDescent="0.25">
      <c r="A215" s="218">
        <v>7</v>
      </c>
      <c r="B215" s="218">
        <v>26</v>
      </c>
      <c r="C215" s="218" t="str">
        <f t="shared" si="5"/>
        <v>726</v>
      </c>
      <c r="D215" s="226">
        <v>0</v>
      </c>
      <c r="F215" s="226">
        <v>0</v>
      </c>
    </row>
    <row r="216" spans="1:6" x14ac:dyDescent="0.25">
      <c r="A216" s="218">
        <v>7</v>
      </c>
      <c r="B216" s="218">
        <v>27</v>
      </c>
      <c r="C216" s="218" t="str">
        <f t="shared" si="5"/>
        <v>727</v>
      </c>
      <c r="D216" s="226">
        <v>0</v>
      </c>
      <c r="F216" s="226">
        <v>0</v>
      </c>
    </row>
    <row r="217" spans="1:6" x14ac:dyDescent="0.25">
      <c r="A217" s="218">
        <v>7</v>
      </c>
      <c r="B217" s="218">
        <v>28</v>
      </c>
      <c r="C217" s="218" t="str">
        <f t="shared" si="5"/>
        <v>728</v>
      </c>
      <c r="D217" s="226">
        <v>0</v>
      </c>
      <c r="F217" s="226">
        <v>0</v>
      </c>
    </row>
    <row r="218" spans="1:6" x14ac:dyDescent="0.25">
      <c r="A218" s="218">
        <v>7</v>
      </c>
      <c r="B218" s="218">
        <v>29</v>
      </c>
      <c r="C218" s="218" t="str">
        <f t="shared" si="5"/>
        <v>729</v>
      </c>
      <c r="D218" s="226">
        <v>0</v>
      </c>
      <c r="F218" s="226">
        <v>0</v>
      </c>
    </row>
    <row r="219" spans="1:6" x14ac:dyDescent="0.25">
      <c r="A219" s="218">
        <v>7</v>
      </c>
      <c r="B219" s="218">
        <v>30</v>
      </c>
      <c r="C219" s="218" t="str">
        <f t="shared" si="5"/>
        <v>730</v>
      </c>
      <c r="D219" s="226">
        <v>0</v>
      </c>
      <c r="F219" s="226">
        <v>0</v>
      </c>
    </row>
    <row r="220" spans="1:6" x14ac:dyDescent="0.25">
      <c r="A220" s="218">
        <v>7</v>
      </c>
      <c r="B220" s="218">
        <v>31</v>
      </c>
      <c r="C220" s="218" t="str">
        <f t="shared" si="5"/>
        <v>731</v>
      </c>
      <c r="D220" s="226">
        <v>0</v>
      </c>
      <c r="F220" s="226">
        <v>0</v>
      </c>
    </row>
    <row r="221" spans="1:6" x14ac:dyDescent="0.25">
      <c r="A221" s="218">
        <v>8</v>
      </c>
      <c r="B221" s="218">
        <v>1</v>
      </c>
      <c r="C221" s="218" t="str">
        <f t="shared" si="5"/>
        <v>81</v>
      </c>
      <c r="D221" s="226">
        <v>0</v>
      </c>
      <c r="F221" s="226">
        <v>0</v>
      </c>
    </row>
    <row r="222" spans="1:6" x14ac:dyDescent="0.25">
      <c r="A222" s="218">
        <v>8</v>
      </c>
      <c r="B222" s="218">
        <v>2</v>
      </c>
      <c r="C222" s="218" t="str">
        <f t="shared" si="5"/>
        <v>82</v>
      </c>
      <c r="D222" s="226">
        <v>0</v>
      </c>
      <c r="F222" s="226">
        <v>0</v>
      </c>
    </row>
    <row r="223" spans="1:6" x14ac:dyDescent="0.25">
      <c r="A223" s="218">
        <v>8</v>
      </c>
      <c r="B223" s="218">
        <v>3</v>
      </c>
      <c r="C223" s="218" t="str">
        <f t="shared" si="5"/>
        <v>83</v>
      </c>
      <c r="D223" s="226">
        <v>0</v>
      </c>
      <c r="F223" s="226">
        <v>0</v>
      </c>
    </row>
    <row r="224" spans="1:6" x14ac:dyDescent="0.25">
      <c r="A224" s="218">
        <v>8</v>
      </c>
      <c r="B224" s="218">
        <v>4</v>
      </c>
      <c r="C224" s="218" t="str">
        <f t="shared" si="5"/>
        <v>84</v>
      </c>
      <c r="D224" s="226">
        <v>4.868709677419349</v>
      </c>
      <c r="F224" s="226">
        <v>0</v>
      </c>
    </row>
    <row r="225" spans="1:6" x14ac:dyDescent="0.25">
      <c r="A225" s="218">
        <v>8</v>
      </c>
      <c r="B225" s="218">
        <v>5</v>
      </c>
      <c r="C225" s="218" t="str">
        <f t="shared" si="5"/>
        <v>85</v>
      </c>
      <c r="D225" s="226">
        <v>1.5306989247311804</v>
      </c>
      <c r="F225" s="226">
        <v>0.85489247311827943</v>
      </c>
    </row>
    <row r="226" spans="1:6" x14ac:dyDescent="0.25">
      <c r="A226" s="218">
        <v>8</v>
      </c>
      <c r="B226" s="218">
        <v>6</v>
      </c>
      <c r="C226" s="218" t="str">
        <f t="shared" si="5"/>
        <v>86</v>
      </c>
      <c r="D226" s="226">
        <v>4.2473118279569157E-2</v>
      </c>
      <c r="F226" s="226">
        <v>0</v>
      </c>
    </row>
    <row r="227" spans="1:6" x14ac:dyDescent="0.25">
      <c r="A227" s="218">
        <v>8</v>
      </c>
      <c r="B227" s="218">
        <v>7</v>
      </c>
      <c r="C227" s="218" t="str">
        <f t="shared" si="5"/>
        <v>87</v>
      </c>
      <c r="D227" s="226">
        <v>0</v>
      </c>
      <c r="F227" s="226">
        <v>0</v>
      </c>
    </row>
    <row r="228" spans="1:6" x14ac:dyDescent="0.25">
      <c r="A228" s="218">
        <v>8</v>
      </c>
      <c r="B228" s="218">
        <v>8</v>
      </c>
      <c r="C228" s="218" t="str">
        <f t="shared" si="5"/>
        <v>88</v>
      </c>
      <c r="D228" s="226">
        <v>0</v>
      </c>
      <c r="F228" s="226">
        <v>0</v>
      </c>
    </row>
    <row r="229" spans="1:6" x14ac:dyDescent="0.25">
      <c r="A229" s="218">
        <v>8</v>
      </c>
      <c r="B229" s="218">
        <v>9</v>
      </c>
      <c r="C229" s="218" t="str">
        <f t="shared" si="5"/>
        <v>89</v>
      </c>
      <c r="D229" s="226">
        <v>0</v>
      </c>
      <c r="F229" s="226">
        <v>0</v>
      </c>
    </row>
    <row r="230" spans="1:6" x14ac:dyDescent="0.25">
      <c r="A230" s="218">
        <v>8</v>
      </c>
      <c r="B230" s="218">
        <v>10</v>
      </c>
      <c r="C230" s="218" t="str">
        <f t="shared" si="5"/>
        <v>810</v>
      </c>
      <c r="D230" s="226">
        <v>0</v>
      </c>
      <c r="F230" s="226">
        <v>0</v>
      </c>
    </row>
    <row r="231" spans="1:6" x14ac:dyDescent="0.25">
      <c r="A231" s="218">
        <v>8</v>
      </c>
      <c r="B231" s="218">
        <v>11</v>
      </c>
      <c r="C231" s="218" t="str">
        <f t="shared" si="5"/>
        <v>811</v>
      </c>
      <c r="D231" s="226">
        <v>0</v>
      </c>
      <c r="F231" s="226">
        <v>0</v>
      </c>
    </row>
    <row r="232" spans="1:6" x14ac:dyDescent="0.25">
      <c r="A232" s="218">
        <v>8</v>
      </c>
      <c r="B232" s="218">
        <v>12</v>
      </c>
      <c r="C232" s="218" t="str">
        <f t="shared" si="5"/>
        <v>812</v>
      </c>
      <c r="D232" s="226">
        <v>0</v>
      </c>
      <c r="F232" s="226">
        <v>0</v>
      </c>
    </row>
    <row r="233" spans="1:6" x14ac:dyDescent="0.25">
      <c r="A233" s="218">
        <v>8</v>
      </c>
      <c r="B233" s="218">
        <v>13</v>
      </c>
      <c r="C233" s="218" t="str">
        <f t="shared" si="5"/>
        <v>813</v>
      </c>
      <c r="D233" s="226">
        <v>0</v>
      </c>
      <c r="F233" s="226">
        <v>0</v>
      </c>
    </row>
    <row r="234" spans="1:6" x14ac:dyDescent="0.25">
      <c r="A234" s="218">
        <v>8</v>
      </c>
      <c r="B234" s="218">
        <v>14</v>
      </c>
      <c r="C234" s="218" t="str">
        <f t="shared" si="5"/>
        <v>814</v>
      </c>
      <c r="D234" s="226">
        <v>0</v>
      </c>
      <c r="F234" s="226">
        <v>0</v>
      </c>
    </row>
    <row r="235" spans="1:6" x14ac:dyDescent="0.25">
      <c r="A235" s="218">
        <v>8</v>
      </c>
      <c r="B235" s="218">
        <v>15</v>
      </c>
      <c r="C235" s="218" t="str">
        <f t="shared" si="5"/>
        <v>815</v>
      </c>
      <c r="D235" s="226">
        <v>0</v>
      </c>
      <c r="F235" s="226">
        <v>0</v>
      </c>
    </row>
    <row r="236" spans="1:6" x14ac:dyDescent="0.25">
      <c r="A236" s="218">
        <v>8</v>
      </c>
      <c r="B236" s="218">
        <v>16</v>
      </c>
      <c r="C236" s="218" t="str">
        <f t="shared" si="5"/>
        <v>816</v>
      </c>
      <c r="D236" s="226">
        <v>0</v>
      </c>
      <c r="F236" s="226">
        <v>0</v>
      </c>
    </row>
    <row r="237" spans="1:6" x14ac:dyDescent="0.25">
      <c r="A237" s="218">
        <v>8</v>
      </c>
      <c r="B237" s="218">
        <v>17</v>
      </c>
      <c r="C237" s="218" t="str">
        <f t="shared" si="5"/>
        <v>817</v>
      </c>
      <c r="D237" s="226">
        <v>0</v>
      </c>
      <c r="F237" s="226">
        <v>0</v>
      </c>
    </row>
    <row r="238" spans="1:6" x14ac:dyDescent="0.25">
      <c r="A238" s="218">
        <v>8</v>
      </c>
      <c r="B238" s="218">
        <v>18</v>
      </c>
      <c r="C238" s="218" t="str">
        <f t="shared" si="5"/>
        <v>818</v>
      </c>
      <c r="D238" s="226">
        <v>0</v>
      </c>
      <c r="F238" s="226">
        <v>0</v>
      </c>
    </row>
    <row r="239" spans="1:6" x14ac:dyDescent="0.25">
      <c r="A239" s="218">
        <v>8</v>
      </c>
      <c r="B239" s="218">
        <v>19</v>
      </c>
      <c r="C239" s="218" t="str">
        <f t="shared" si="5"/>
        <v>819</v>
      </c>
      <c r="D239" s="226">
        <v>0</v>
      </c>
      <c r="F239" s="226">
        <v>0</v>
      </c>
    </row>
    <row r="240" spans="1:6" x14ac:dyDescent="0.25">
      <c r="A240" s="218">
        <v>8</v>
      </c>
      <c r="B240" s="218">
        <v>20</v>
      </c>
      <c r="C240" s="218" t="str">
        <f t="shared" si="5"/>
        <v>820</v>
      </c>
      <c r="D240" s="226">
        <v>0</v>
      </c>
      <c r="F240" s="226">
        <v>0</v>
      </c>
    </row>
    <row r="241" spans="1:6" x14ac:dyDescent="0.25">
      <c r="A241" s="218">
        <v>8</v>
      </c>
      <c r="B241" s="218">
        <v>21</v>
      </c>
      <c r="C241" s="218" t="str">
        <f t="shared" si="5"/>
        <v>821</v>
      </c>
      <c r="D241" s="226">
        <v>0</v>
      </c>
      <c r="F241" s="226">
        <v>0</v>
      </c>
    </row>
    <row r="242" spans="1:6" x14ac:dyDescent="0.25">
      <c r="A242" s="218">
        <v>8</v>
      </c>
      <c r="B242" s="218">
        <v>22</v>
      </c>
      <c r="C242" s="218" t="str">
        <f t="shared" si="5"/>
        <v>822</v>
      </c>
      <c r="D242" s="226">
        <v>0</v>
      </c>
      <c r="F242" s="226">
        <v>0</v>
      </c>
    </row>
    <row r="243" spans="1:6" x14ac:dyDescent="0.25">
      <c r="A243" s="218">
        <v>8</v>
      </c>
      <c r="B243" s="218">
        <v>23</v>
      </c>
      <c r="C243" s="218" t="str">
        <f t="shared" si="5"/>
        <v>823</v>
      </c>
      <c r="D243" s="226">
        <v>0</v>
      </c>
      <c r="F243" s="226">
        <v>0</v>
      </c>
    </row>
    <row r="244" spans="1:6" x14ac:dyDescent="0.25">
      <c r="A244" s="218">
        <v>8</v>
      </c>
      <c r="B244" s="218">
        <v>24</v>
      </c>
      <c r="C244" s="218" t="str">
        <f t="shared" si="5"/>
        <v>824</v>
      </c>
      <c r="D244" s="226">
        <v>0</v>
      </c>
      <c r="F244" s="226">
        <v>0</v>
      </c>
    </row>
    <row r="245" spans="1:6" x14ac:dyDescent="0.25">
      <c r="A245" s="218">
        <v>8</v>
      </c>
      <c r="B245" s="218">
        <v>25</v>
      </c>
      <c r="C245" s="218" t="str">
        <f t="shared" si="5"/>
        <v>825</v>
      </c>
      <c r="D245" s="226">
        <v>0</v>
      </c>
      <c r="F245" s="226">
        <v>0</v>
      </c>
    </row>
    <row r="246" spans="1:6" x14ac:dyDescent="0.25">
      <c r="A246" s="218">
        <v>8</v>
      </c>
      <c r="B246" s="218">
        <v>26</v>
      </c>
      <c r="C246" s="218" t="str">
        <f t="shared" si="5"/>
        <v>826</v>
      </c>
      <c r="D246" s="226">
        <v>0</v>
      </c>
      <c r="F246" s="226">
        <v>0</v>
      </c>
    </row>
    <row r="247" spans="1:6" x14ac:dyDescent="0.25">
      <c r="A247" s="218">
        <v>8</v>
      </c>
      <c r="B247" s="218">
        <v>27</v>
      </c>
      <c r="C247" s="218" t="str">
        <f t="shared" si="5"/>
        <v>827</v>
      </c>
      <c r="D247" s="226">
        <v>0</v>
      </c>
      <c r="F247" s="226">
        <v>0</v>
      </c>
    </row>
    <row r="248" spans="1:6" x14ac:dyDescent="0.25">
      <c r="A248" s="218">
        <v>8</v>
      </c>
      <c r="B248" s="218">
        <v>28</v>
      </c>
      <c r="C248" s="218" t="str">
        <f t="shared" si="5"/>
        <v>828</v>
      </c>
      <c r="D248" s="226">
        <v>0</v>
      </c>
      <c r="F248" s="226">
        <v>0</v>
      </c>
    </row>
    <row r="249" spans="1:6" x14ac:dyDescent="0.25">
      <c r="A249" s="218">
        <v>8</v>
      </c>
      <c r="B249" s="218">
        <v>29</v>
      </c>
      <c r="C249" s="218" t="str">
        <f t="shared" si="5"/>
        <v>829</v>
      </c>
      <c r="D249" s="226">
        <v>0</v>
      </c>
      <c r="F249" s="226">
        <v>0</v>
      </c>
    </row>
    <row r="250" spans="1:6" x14ac:dyDescent="0.25">
      <c r="A250" s="218">
        <v>8</v>
      </c>
      <c r="B250" s="218">
        <v>30</v>
      </c>
      <c r="C250" s="218" t="str">
        <f t="shared" si="5"/>
        <v>830</v>
      </c>
      <c r="D250" s="226">
        <v>0</v>
      </c>
      <c r="F250" s="226">
        <v>0</v>
      </c>
    </row>
    <row r="251" spans="1:6" x14ac:dyDescent="0.25">
      <c r="A251" s="218">
        <v>8</v>
      </c>
      <c r="B251" s="218">
        <v>31</v>
      </c>
      <c r="C251" s="218" t="str">
        <f t="shared" si="5"/>
        <v>831</v>
      </c>
      <c r="D251" s="226">
        <v>0</v>
      </c>
      <c r="F251" s="226">
        <v>0</v>
      </c>
    </row>
    <row r="252" spans="1:6" x14ac:dyDescent="0.25">
      <c r="A252" s="218">
        <v>9</v>
      </c>
      <c r="B252" s="218">
        <v>1</v>
      </c>
      <c r="C252" s="218" t="str">
        <f t="shared" si="5"/>
        <v>91</v>
      </c>
      <c r="D252" s="226">
        <v>0</v>
      </c>
      <c r="F252" s="226">
        <v>0</v>
      </c>
    </row>
    <row r="253" spans="1:6" x14ac:dyDescent="0.25">
      <c r="A253" s="218">
        <v>9</v>
      </c>
      <c r="B253" s="218">
        <v>2</v>
      </c>
      <c r="C253" s="218" t="str">
        <f t="shared" si="5"/>
        <v>92</v>
      </c>
      <c r="D253" s="226">
        <v>0</v>
      </c>
      <c r="F253" s="226">
        <v>0</v>
      </c>
    </row>
    <row r="254" spans="1:6" x14ac:dyDescent="0.25">
      <c r="A254" s="218">
        <v>9</v>
      </c>
      <c r="B254" s="218">
        <v>3</v>
      </c>
      <c r="C254" s="218" t="str">
        <f t="shared" si="5"/>
        <v>93</v>
      </c>
      <c r="D254" s="226">
        <v>0</v>
      </c>
      <c r="F254" s="226">
        <v>0</v>
      </c>
    </row>
    <row r="255" spans="1:6" x14ac:dyDescent="0.25">
      <c r="A255" s="218">
        <v>9</v>
      </c>
      <c r="B255" s="218">
        <v>4</v>
      </c>
      <c r="C255" s="218" t="str">
        <f t="shared" si="5"/>
        <v>94</v>
      </c>
      <c r="D255" s="226">
        <v>0</v>
      </c>
      <c r="F255" s="226">
        <v>0</v>
      </c>
    </row>
    <row r="256" spans="1:6" x14ac:dyDescent="0.25">
      <c r="A256" s="218">
        <v>9</v>
      </c>
      <c r="B256" s="218">
        <v>5</v>
      </c>
      <c r="C256" s="218" t="str">
        <f t="shared" si="5"/>
        <v>95</v>
      </c>
      <c r="D256" s="226">
        <v>0</v>
      </c>
      <c r="F256" s="226">
        <v>0</v>
      </c>
    </row>
    <row r="257" spans="1:6" x14ac:dyDescent="0.25">
      <c r="A257" s="218">
        <v>9</v>
      </c>
      <c r="B257" s="218">
        <v>6</v>
      </c>
      <c r="C257" s="218" t="str">
        <f t="shared" si="5"/>
        <v>96</v>
      </c>
      <c r="D257" s="226">
        <v>0</v>
      </c>
      <c r="F257" s="226">
        <v>0</v>
      </c>
    </row>
    <row r="258" spans="1:6" x14ac:dyDescent="0.25">
      <c r="A258" s="218">
        <v>9</v>
      </c>
      <c r="B258" s="218">
        <v>7</v>
      </c>
      <c r="C258" s="218" t="str">
        <f t="shared" si="5"/>
        <v>97</v>
      </c>
      <c r="D258" s="226">
        <v>0</v>
      </c>
      <c r="F258" s="226">
        <v>0</v>
      </c>
    </row>
    <row r="259" spans="1:6" x14ac:dyDescent="0.25">
      <c r="A259" s="218">
        <v>9</v>
      </c>
      <c r="B259" s="218">
        <v>8</v>
      </c>
      <c r="C259" s="218" t="str">
        <f t="shared" si="5"/>
        <v>98</v>
      </c>
      <c r="D259" s="226">
        <v>0</v>
      </c>
      <c r="F259" s="226">
        <v>0</v>
      </c>
    </row>
    <row r="260" spans="1:6" x14ac:dyDescent="0.25">
      <c r="A260" s="218">
        <v>9</v>
      </c>
      <c r="B260" s="218">
        <v>9</v>
      </c>
      <c r="C260" s="218" t="str">
        <f t="shared" si="5"/>
        <v>99</v>
      </c>
      <c r="D260" s="226">
        <v>13.436296296296296</v>
      </c>
      <c r="F260" s="226">
        <v>0</v>
      </c>
    </row>
    <row r="261" spans="1:6" x14ac:dyDescent="0.25">
      <c r="A261" s="218">
        <v>9</v>
      </c>
      <c r="B261" s="218">
        <v>10</v>
      </c>
      <c r="C261" s="218" t="str">
        <f t="shared" si="5"/>
        <v>910</v>
      </c>
      <c r="D261" s="226">
        <v>17.450925925925926</v>
      </c>
      <c r="F261" s="226">
        <v>0</v>
      </c>
    </row>
    <row r="262" spans="1:6" x14ac:dyDescent="0.25">
      <c r="A262" s="218">
        <v>9</v>
      </c>
      <c r="B262" s="218">
        <v>11</v>
      </c>
      <c r="C262" s="218" t="str">
        <f t="shared" si="5"/>
        <v>911</v>
      </c>
      <c r="D262" s="226">
        <v>11.309259259259257</v>
      </c>
      <c r="F262" s="226">
        <v>0</v>
      </c>
    </row>
    <row r="263" spans="1:6" x14ac:dyDescent="0.25">
      <c r="A263" s="218">
        <v>9</v>
      </c>
      <c r="B263" s="218">
        <v>12</v>
      </c>
      <c r="C263" s="218" t="str">
        <f t="shared" si="5"/>
        <v>912</v>
      </c>
      <c r="D263" s="226">
        <v>5.2650000000000006</v>
      </c>
      <c r="F263" s="226">
        <v>0</v>
      </c>
    </row>
    <row r="264" spans="1:6" x14ac:dyDescent="0.25">
      <c r="A264" s="218">
        <v>9</v>
      </c>
      <c r="B264" s="218">
        <v>13</v>
      </c>
      <c r="C264" s="218" t="str">
        <f t="shared" si="5"/>
        <v>913</v>
      </c>
      <c r="D264" s="226">
        <v>1.3109259259259254</v>
      </c>
      <c r="F264" s="226">
        <v>0</v>
      </c>
    </row>
    <row r="265" spans="1:6" x14ac:dyDescent="0.25">
      <c r="A265" s="218">
        <v>9</v>
      </c>
      <c r="B265" s="218">
        <v>14</v>
      </c>
      <c r="C265" s="218" t="str">
        <f t="shared" si="5"/>
        <v>914</v>
      </c>
      <c r="D265" s="226">
        <v>0.40222222222222398</v>
      </c>
      <c r="F265" s="226">
        <v>0</v>
      </c>
    </row>
    <row r="266" spans="1:6" x14ac:dyDescent="0.25">
      <c r="A266" s="218">
        <v>9</v>
      </c>
      <c r="B266" s="218">
        <v>15</v>
      </c>
      <c r="C266" s="218" t="str">
        <f t="shared" ref="C266:C329" si="6">A266&amp;B266</f>
        <v>915</v>
      </c>
      <c r="D266" s="226">
        <v>0</v>
      </c>
      <c r="F266" s="226">
        <v>0</v>
      </c>
    </row>
    <row r="267" spans="1:6" x14ac:dyDescent="0.25">
      <c r="A267" s="218">
        <v>9</v>
      </c>
      <c r="B267" s="218">
        <v>16</v>
      </c>
      <c r="C267" s="218" t="str">
        <f t="shared" si="6"/>
        <v>916</v>
      </c>
      <c r="D267" s="226">
        <v>0</v>
      </c>
      <c r="F267" s="226">
        <v>0</v>
      </c>
    </row>
    <row r="268" spans="1:6" x14ac:dyDescent="0.25">
      <c r="A268" s="218">
        <v>9</v>
      </c>
      <c r="B268" s="218">
        <v>17</v>
      </c>
      <c r="C268" s="218" t="str">
        <f t="shared" si="6"/>
        <v>917</v>
      </c>
      <c r="D268" s="226">
        <v>0</v>
      </c>
      <c r="F268" s="226">
        <v>0</v>
      </c>
    </row>
    <row r="269" spans="1:6" x14ac:dyDescent="0.25">
      <c r="A269" s="218">
        <v>9</v>
      </c>
      <c r="B269" s="218">
        <v>18</v>
      </c>
      <c r="C269" s="218" t="str">
        <f t="shared" si="6"/>
        <v>918</v>
      </c>
      <c r="D269" s="226">
        <v>3.8581481481481479</v>
      </c>
      <c r="F269" s="226">
        <v>0</v>
      </c>
    </row>
    <row r="270" spans="1:6" x14ac:dyDescent="0.25">
      <c r="A270" s="218">
        <v>9</v>
      </c>
      <c r="B270" s="218">
        <v>19</v>
      </c>
      <c r="C270" s="218" t="str">
        <f t="shared" si="6"/>
        <v>919</v>
      </c>
      <c r="D270" s="226">
        <v>2.9318518518518517</v>
      </c>
      <c r="F270" s="226">
        <v>8.9072222222222202</v>
      </c>
    </row>
    <row r="271" spans="1:6" x14ac:dyDescent="0.25">
      <c r="A271" s="218">
        <v>9</v>
      </c>
      <c r="B271" s="218">
        <v>20</v>
      </c>
      <c r="C271" s="218" t="str">
        <f t="shared" si="6"/>
        <v>920</v>
      </c>
      <c r="D271" s="226">
        <v>7.2085185185185194</v>
      </c>
      <c r="F271" s="226">
        <v>5.1659259259259249</v>
      </c>
    </row>
    <row r="272" spans="1:6" x14ac:dyDescent="0.25">
      <c r="A272" s="218">
        <v>9</v>
      </c>
      <c r="B272" s="218">
        <v>21</v>
      </c>
      <c r="C272" s="218" t="str">
        <f t="shared" si="6"/>
        <v>921</v>
      </c>
      <c r="D272" s="226">
        <v>4.532222222222221</v>
      </c>
      <c r="F272" s="226">
        <v>0</v>
      </c>
    </row>
    <row r="273" spans="1:6" x14ac:dyDescent="0.25">
      <c r="A273" s="218">
        <v>9</v>
      </c>
      <c r="B273" s="218">
        <v>22</v>
      </c>
      <c r="C273" s="218" t="str">
        <f t="shared" si="6"/>
        <v>922</v>
      </c>
      <c r="D273" s="226">
        <v>2.153703703703703</v>
      </c>
      <c r="F273" s="226">
        <v>3.5187037037037028</v>
      </c>
    </row>
    <row r="274" spans="1:6" x14ac:dyDescent="0.25">
      <c r="A274" s="218">
        <v>9</v>
      </c>
      <c r="B274" s="218">
        <v>23</v>
      </c>
      <c r="C274" s="218" t="str">
        <f t="shared" si="6"/>
        <v>923</v>
      </c>
      <c r="D274" s="226">
        <v>0</v>
      </c>
      <c r="F274" s="226">
        <v>2.6896296296296298</v>
      </c>
    </row>
    <row r="275" spans="1:6" x14ac:dyDescent="0.25">
      <c r="A275" s="218">
        <v>9</v>
      </c>
      <c r="B275" s="218">
        <v>24</v>
      </c>
      <c r="C275" s="218" t="str">
        <f t="shared" si="6"/>
        <v>924</v>
      </c>
      <c r="D275" s="226">
        <v>0</v>
      </c>
      <c r="F275" s="226">
        <v>1.7266666666666675</v>
      </c>
    </row>
    <row r="276" spans="1:6" x14ac:dyDescent="0.25">
      <c r="A276" s="218">
        <v>9</v>
      </c>
      <c r="B276" s="218">
        <v>25</v>
      </c>
      <c r="C276" s="218" t="str">
        <f t="shared" si="6"/>
        <v>925</v>
      </c>
      <c r="D276" s="226">
        <v>0</v>
      </c>
      <c r="F276" s="226">
        <v>0.89222222222222025</v>
      </c>
    </row>
    <row r="277" spans="1:6" x14ac:dyDescent="0.25">
      <c r="A277" s="218">
        <v>9</v>
      </c>
      <c r="B277" s="218">
        <v>26</v>
      </c>
      <c r="C277" s="218" t="str">
        <f t="shared" si="6"/>
        <v>926</v>
      </c>
      <c r="D277" s="226">
        <v>0</v>
      </c>
      <c r="F277" s="226">
        <v>0</v>
      </c>
    </row>
    <row r="278" spans="1:6" x14ac:dyDescent="0.25">
      <c r="A278" s="218">
        <v>9</v>
      </c>
      <c r="B278" s="218">
        <v>27</v>
      </c>
      <c r="C278" s="218" t="str">
        <f t="shared" si="6"/>
        <v>927</v>
      </c>
      <c r="D278" s="226">
        <v>0</v>
      </c>
      <c r="F278" s="226">
        <v>0</v>
      </c>
    </row>
    <row r="279" spans="1:6" x14ac:dyDescent="0.25">
      <c r="A279" s="218">
        <v>9</v>
      </c>
      <c r="B279" s="218">
        <v>28</v>
      </c>
      <c r="C279" s="218" t="str">
        <f t="shared" si="6"/>
        <v>928</v>
      </c>
      <c r="D279" s="226">
        <v>6.1688888888888895</v>
      </c>
      <c r="F279" s="226">
        <v>6.7099999999999982</v>
      </c>
    </row>
    <row r="280" spans="1:6" x14ac:dyDescent="0.25">
      <c r="A280" s="218">
        <v>9</v>
      </c>
      <c r="B280" s="218">
        <v>29</v>
      </c>
      <c r="C280" s="218" t="str">
        <f t="shared" si="6"/>
        <v>929</v>
      </c>
      <c r="D280" s="226">
        <v>9.779814814814813</v>
      </c>
      <c r="F280" s="226">
        <v>12.64222222222222</v>
      </c>
    </row>
    <row r="281" spans="1:6" x14ac:dyDescent="0.25">
      <c r="A281" s="218">
        <v>9</v>
      </c>
      <c r="B281" s="218">
        <v>30</v>
      </c>
      <c r="C281" s="218" t="str">
        <f t="shared" si="6"/>
        <v>930</v>
      </c>
      <c r="D281" s="226">
        <v>8.3977777777777796</v>
      </c>
      <c r="F281" s="226">
        <v>0.21425925925925829</v>
      </c>
    </row>
    <row r="282" spans="1:6" x14ac:dyDescent="0.25">
      <c r="A282" s="218">
        <v>10</v>
      </c>
      <c r="B282" s="218">
        <v>1</v>
      </c>
      <c r="C282" s="218" t="str">
        <f t="shared" si="6"/>
        <v>101</v>
      </c>
      <c r="D282" s="226">
        <v>8.1101612903225835</v>
      </c>
      <c r="F282" s="226">
        <v>5.9418817204301089</v>
      </c>
    </row>
    <row r="283" spans="1:6" x14ac:dyDescent="0.25">
      <c r="A283" s="218">
        <v>10</v>
      </c>
      <c r="B283" s="218">
        <v>2</v>
      </c>
      <c r="C283" s="218" t="str">
        <f t="shared" si="6"/>
        <v>102</v>
      </c>
      <c r="D283" s="226">
        <v>12.091738351254483</v>
      </c>
      <c r="F283" s="226">
        <v>11.301021505376344</v>
      </c>
    </row>
    <row r="284" spans="1:6" x14ac:dyDescent="0.25">
      <c r="A284" s="218">
        <v>10</v>
      </c>
      <c r="B284" s="218">
        <v>3</v>
      </c>
      <c r="C284" s="218" t="str">
        <f t="shared" si="6"/>
        <v>103</v>
      </c>
      <c r="D284" s="226">
        <v>11.306774193548389</v>
      </c>
      <c r="F284" s="226">
        <v>8.8601792114695357</v>
      </c>
    </row>
    <row r="285" spans="1:6" x14ac:dyDescent="0.25">
      <c r="A285" s="218">
        <v>10</v>
      </c>
      <c r="B285" s="218">
        <v>4</v>
      </c>
      <c r="C285" s="218" t="str">
        <f t="shared" si="6"/>
        <v>104</v>
      </c>
      <c r="D285" s="226">
        <v>10.560179211469537</v>
      </c>
      <c r="F285" s="226">
        <v>12.226075268817205</v>
      </c>
    </row>
    <row r="286" spans="1:6" x14ac:dyDescent="0.25">
      <c r="A286" s="218">
        <v>10</v>
      </c>
      <c r="B286" s="218">
        <v>5</v>
      </c>
      <c r="C286" s="218" t="str">
        <f t="shared" si="6"/>
        <v>105</v>
      </c>
      <c r="D286" s="226">
        <v>9.6870430107526921</v>
      </c>
      <c r="F286" s="226">
        <v>15.162688172043014</v>
      </c>
    </row>
    <row r="287" spans="1:6" x14ac:dyDescent="0.25">
      <c r="A287" s="218">
        <v>10</v>
      </c>
      <c r="B287" s="218">
        <v>6</v>
      </c>
      <c r="C287" s="218" t="str">
        <f t="shared" si="6"/>
        <v>106</v>
      </c>
      <c r="D287" s="226">
        <v>8.9029928315412192</v>
      </c>
      <c r="F287" s="226">
        <v>5.080322580645162</v>
      </c>
    </row>
    <row r="288" spans="1:6" x14ac:dyDescent="0.25">
      <c r="A288" s="218">
        <v>10</v>
      </c>
      <c r="B288" s="218">
        <v>7</v>
      </c>
      <c r="C288" s="218" t="str">
        <f t="shared" si="6"/>
        <v>107</v>
      </c>
      <c r="D288" s="226">
        <v>2.9795519713261664</v>
      </c>
      <c r="F288" s="226">
        <v>0</v>
      </c>
    </row>
    <row r="289" spans="1:6" x14ac:dyDescent="0.25">
      <c r="A289" s="218">
        <v>10</v>
      </c>
      <c r="B289" s="218">
        <v>8</v>
      </c>
      <c r="C289" s="218" t="str">
        <f t="shared" si="6"/>
        <v>108</v>
      </c>
      <c r="D289" s="226">
        <v>0.6302688172043015</v>
      </c>
      <c r="F289" s="226">
        <v>3.4946236559136425E-3</v>
      </c>
    </row>
    <row r="290" spans="1:6" x14ac:dyDescent="0.25">
      <c r="A290" s="218">
        <v>10</v>
      </c>
      <c r="B290" s="218">
        <v>9</v>
      </c>
      <c r="C290" s="218" t="str">
        <f t="shared" si="6"/>
        <v>109</v>
      </c>
      <c r="D290" s="226">
        <v>0</v>
      </c>
      <c r="F290" s="226">
        <v>0</v>
      </c>
    </row>
    <row r="291" spans="1:6" x14ac:dyDescent="0.25">
      <c r="A291" s="218">
        <v>10</v>
      </c>
      <c r="B291" s="218">
        <v>10</v>
      </c>
      <c r="C291" s="218" t="str">
        <f t="shared" si="6"/>
        <v>1010</v>
      </c>
      <c r="D291" s="226">
        <v>0</v>
      </c>
      <c r="F291" s="226">
        <v>0</v>
      </c>
    </row>
    <row r="292" spans="1:6" x14ac:dyDescent="0.25">
      <c r="A292" s="218">
        <v>10</v>
      </c>
      <c r="B292" s="218">
        <v>11</v>
      </c>
      <c r="C292" s="218" t="str">
        <f t="shared" si="6"/>
        <v>1011</v>
      </c>
      <c r="D292" s="226">
        <v>0</v>
      </c>
      <c r="F292" s="226">
        <v>0</v>
      </c>
    </row>
    <row r="293" spans="1:6" x14ac:dyDescent="0.25">
      <c r="A293" s="218">
        <v>10</v>
      </c>
      <c r="B293" s="218">
        <v>12</v>
      </c>
      <c r="C293" s="218" t="str">
        <f t="shared" si="6"/>
        <v>1012</v>
      </c>
      <c r="D293" s="226">
        <v>0</v>
      </c>
      <c r="F293" s="226">
        <v>2.5030645161290335</v>
      </c>
    </row>
    <row r="294" spans="1:6" x14ac:dyDescent="0.25">
      <c r="A294" s="218">
        <v>10</v>
      </c>
      <c r="B294" s="218">
        <v>13</v>
      </c>
      <c r="C294" s="218" t="str">
        <f t="shared" si="6"/>
        <v>1013</v>
      </c>
      <c r="D294" s="226">
        <v>7.2248387096774218</v>
      </c>
      <c r="F294" s="226">
        <v>7.7068279569892484</v>
      </c>
    </row>
    <row r="295" spans="1:6" x14ac:dyDescent="0.25">
      <c r="A295" s="218">
        <v>10</v>
      </c>
      <c r="B295" s="218">
        <v>14</v>
      </c>
      <c r="C295" s="218" t="str">
        <f t="shared" si="6"/>
        <v>1014</v>
      </c>
      <c r="D295" s="226">
        <v>3.9418817204301084</v>
      </c>
      <c r="F295" s="226">
        <v>3.4233870967741939</v>
      </c>
    </row>
    <row r="296" spans="1:6" x14ac:dyDescent="0.25">
      <c r="A296" s="218">
        <v>10</v>
      </c>
      <c r="B296" s="218">
        <v>15</v>
      </c>
      <c r="C296" s="218" t="str">
        <f t="shared" si="6"/>
        <v>1015</v>
      </c>
      <c r="D296" s="226">
        <v>1.7708960573476709</v>
      </c>
      <c r="F296" s="226">
        <v>6.9212365591397855</v>
      </c>
    </row>
    <row r="297" spans="1:6" x14ac:dyDescent="0.25">
      <c r="A297" s="218">
        <v>10</v>
      </c>
      <c r="B297" s="218">
        <v>16</v>
      </c>
      <c r="C297" s="218" t="str">
        <f t="shared" si="6"/>
        <v>1016</v>
      </c>
      <c r="D297" s="226">
        <v>13.884193548387097</v>
      </c>
      <c r="F297" s="226">
        <v>18.00413978494624</v>
      </c>
    </row>
    <row r="298" spans="1:6" x14ac:dyDescent="0.25">
      <c r="A298" s="218">
        <v>10</v>
      </c>
      <c r="B298" s="218">
        <v>17</v>
      </c>
      <c r="C298" s="218" t="str">
        <f t="shared" si="6"/>
        <v>1017</v>
      </c>
      <c r="D298" s="226">
        <v>12.987240143369178</v>
      </c>
      <c r="F298" s="226">
        <v>9.7119892473118288</v>
      </c>
    </row>
    <row r="299" spans="1:6" x14ac:dyDescent="0.25">
      <c r="A299" s="218">
        <v>10</v>
      </c>
      <c r="B299" s="218">
        <v>18</v>
      </c>
      <c r="C299" s="218" t="str">
        <f t="shared" si="6"/>
        <v>1018</v>
      </c>
      <c r="D299" s="226">
        <v>6.0353942652329762</v>
      </c>
      <c r="F299" s="226">
        <v>1.5839784946236561</v>
      </c>
    </row>
    <row r="300" spans="1:6" x14ac:dyDescent="0.25">
      <c r="A300" s="218">
        <v>10</v>
      </c>
      <c r="B300" s="218">
        <v>19</v>
      </c>
      <c r="C300" s="218" t="str">
        <f t="shared" si="6"/>
        <v>1019</v>
      </c>
      <c r="D300" s="226">
        <v>18.662240143369175</v>
      </c>
      <c r="F300" s="226">
        <v>10.613333333333337</v>
      </c>
    </row>
    <row r="301" spans="1:6" x14ac:dyDescent="0.25">
      <c r="A301" s="218">
        <v>10</v>
      </c>
      <c r="B301" s="218">
        <v>20</v>
      </c>
      <c r="C301" s="218" t="str">
        <f t="shared" si="6"/>
        <v>1020</v>
      </c>
      <c r="D301" s="226">
        <v>17.582616487455198</v>
      </c>
      <c r="F301" s="226">
        <v>4.3270430107526883</v>
      </c>
    </row>
    <row r="302" spans="1:6" x14ac:dyDescent="0.25">
      <c r="A302" s="218">
        <v>10</v>
      </c>
      <c r="B302" s="218">
        <v>21</v>
      </c>
      <c r="C302" s="218" t="str">
        <f t="shared" si="6"/>
        <v>1021</v>
      </c>
      <c r="D302" s="226">
        <v>16.682347670250898</v>
      </c>
      <c r="F302" s="226">
        <v>0</v>
      </c>
    </row>
    <row r="303" spans="1:6" x14ac:dyDescent="0.25">
      <c r="A303" s="218">
        <v>10</v>
      </c>
      <c r="B303" s="218">
        <v>22</v>
      </c>
      <c r="C303" s="218" t="str">
        <f t="shared" si="6"/>
        <v>1022</v>
      </c>
      <c r="D303" s="226">
        <v>14.861003584229392</v>
      </c>
      <c r="F303" s="226">
        <v>0</v>
      </c>
    </row>
    <row r="304" spans="1:6" x14ac:dyDescent="0.25">
      <c r="A304" s="218">
        <v>10</v>
      </c>
      <c r="B304" s="218">
        <v>23</v>
      </c>
      <c r="C304" s="218" t="str">
        <f t="shared" si="6"/>
        <v>1023</v>
      </c>
      <c r="D304" s="226">
        <v>5.0546057347670255</v>
      </c>
      <c r="F304" s="226">
        <v>0.67763440860215218</v>
      </c>
    </row>
    <row r="305" spans="1:6" x14ac:dyDescent="0.25">
      <c r="A305" s="218">
        <v>10</v>
      </c>
      <c r="B305" s="218">
        <v>24</v>
      </c>
      <c r="C305" s="218" t="str">
        <f t="shared" si="6"/>
        <v>1024</v>
      </c>
      <c r="D305" s="226">
        <v>19.630035842293911</v>
      </c>
      <c r="F305" s="226">
        <v>19.342903225806456</v>
      </c>
    </row>
    <row r="306" spans="1:6" x14ac:dyDescent="0.25">
      <c r="A306" s="218">
        <v>10</v>
      </c>
      <c r="B306" s="218">
        <v>25</v>
      </c>
      <c r="C306" s="218" t="str">
        <f t="shared" si="6"/>
        <v>1025</v>
      </c>
      <c r="D306" s="226">
        <v>21.906021505376348</v>
      </c>
      <c r="F306" s="226">
        <v>8.2881182795698951</v>
      </c>
    </row>
    <row r="307" spans="1:6" x14ac:dyDescent="0.25">
      <c r="A307" s="218">
        <v>10</v>
      </c>
      <c r="B307" s="218">
        <v>26</v>
      </c>
      <c r="C307" s="218" t="str">
        <f t="shared" si="6"/>
        <v>1026</v>
      </c>
      <c r="D307" s="226">
        <v>24.451899641577064</v>
      </c>
      <c r="F307" s="226">
        <v>16.957419354838709</v>
      </c>
    </row>
    <row r="308" spans="1:6" x14ac:dyDescent="0.25">
      <c r="A308" s="218">
        <v>10</v>
      </c>
      <c r="B308" s="218">
        <v>27</v>
      </c>
      <c r="C308" s="218" t="str">
        <f t="shared" si="6"/>
        <v>1027</v>
      </c>
      <c r="D308" s="226">
        <v>30.566308243727597</v>
      </c>
      <c r="F308" s="226">
        <v>24.472096774193549</v>
      </c>
    </row>
    <row r="309" spans="1:6" x14ac:dyDescent="0.25">
      <c r="A309" s="218">
        <v>10</v>
      </c>
      <c r="B309" s="218">
        <v>28</v>
      </c>
      <c r="C309" s="218" t="str">
        <f t="shared" si="6"/>
        <v>1028</v>
      </c>
      <c r="D309" s="226">
        <v>26.103745519713264</v>
      </c>
      <c r="F309" s="226">
        <v>14.038620071684587</v>
      </c>
    </row>
    <row r="310" spans="1:6" x14ac:dyDescent="0.25">
      <c r="A310" s="218">
        <v>10</v>
      </c>
      <c r="B310" s="218">
        <v>29</v>
      </c>
      <c r="C310" s="218" t="str">
        <f t="shared" si="6"/>
        <v>1029</v>
      </c>
      <c r="D310" s="226">
        <v>23.15010752688173</v>
      </c>
      <c r="F310" s="226">
        <v>16.041182795698926</v>
      </c>
    </row>
    <row r="311" spans="1:6" x14ac:dyDescent="0.25">
      <c r="A311" s="218">
        <v>10</v>
      </c>
      <c r="B311" s="218">
        <v>30</v>
      </c>
      <c r="C311" s="218" t="str">
        <f t="shared" si="6"/>
        <v>1030</v>
      </c>
      <c r="D311" s="226">
        <v>20.623530465949823</v>
      </c>
      <c r="F311" s="226">
        <v>20.572921146953398</v>
      </c>
    </row>
    <row r="312" spans="1:6" x14ac:dyDescent="0.25">
      <c r="A312" s="218">
        <v>10</v>
      </c>
      <c r="B312" s="218">
        <v>31</v>
      </c>
      <c r="C312" s="218" t="str">
        <f t="shared" si="6"/>
        <v>1031</v>
      </c>
      <c r="D312" s="226">
        <v>15.821451612903227</v>
      </c>
      <c r="F312" s="226">
        <v>13.030483870967741</v>
      </c>
    </row>
    <row r="313" spans="1:6" x14ac:dyDescent="0.25">
      <c r="A313" s="218">
        <v>11</v>
      </c>
      <c r="B313" s="218">
        <v>1</v>
      </c>
      <c r="C313" s="218" t="str">
        <f t="shared" si="6"/>
        <v>111</v>
      </c>
      <c r="D313" s="226">
        <v>18.077962962962964</v>
      </c>
      <c r="F313" s="226">
        <v>24.927777777777781</v>
      </c>
    </row>
    <row r="314" spans="1:6" x14ac:dyDescent="0.25">
      <c r="A314" s="218">
        <v>11</v>
      </c>
      <c r="B314" s="218">
        <v>2</v>
      </c>
      <c r="C314" s="218" t="str">
        <f t="shared" si="6"/>
        <v>112</v>
      </c>
      <c r="D314" s="226">
        <v>36.311296296296284</v>
      </c>
      <c r="F314" s="226">
        <v>31.095000000000006</v>
      </c>
    </row>
    <row r="315" spans="1:6" x14ac:dyDescent="0.25">
      <c r="A315" s="218">
        <v>11</v>
      </c>
      <c r="B315" s="218">
        <v>3</v>
      </c>
      <c r="C315" s="218" t="str">
        <f t="shared" si="6"/>
        <v>113</v>
      </c>
      <c r="D315" s="226">
        <v>22.064259259259259</v>
      </c>
      <c r="F315" s="226">
        <v>17.236111111111107</v>
      </c>
    </row>
    <row r="316" spans="1:6" x14ac:dyDescent="0.25">
      <c r="A316" s="218">
        <v>11</v>
      </c>
      <c r="B316" s="218">
        <v>4</v>
      </c>
      <c r="C316" s="218" t="str">
        <f t="shared" si="6"/>
        <v>114</v>
      </c>
      <c r="D316" s="226">
        <v>16.063148148148148</v>
      </c>
      <c r="F316" s="226">
        <v>10.341666666666667</v>
      </c>
    </row>
    <row r="317" spans="1:6" x14ac:dyDescent="0.25">
      <c r="A317" s="218">
        <v>11</v>
      </c>
      <c r="B317" s="218">
        <v>5</v>
      </c>
      <c r="C317" s="218" t="str">
        <f t="shared" si="6"/>
        <v>115</v>
      </c>
      <c r="D317" s="226">
        <v>15.076851851851849</v>
      </c>
      <c r="F317" s="226">
        <v>9.0405555555555566</v>
      </c>
    </row>
    <row r="318" spans="1:6" x14ac:dyDescent="0.25">
      <c r="A318" s="218">
        <v>11</v>
      </c>
      <c r="B318" s="218">
        <v>6</v>
      </c>
      <c r="C318" s="218" t="str">
        <f t="shared" si="6"/>
        <v>116</v>
      </c>
      <c r="D318" s="226">
        <v>13.913333333333332</v>
      </c>
      <c r="F318" s="226">
        <v>11.59888888888889</v>
      </c>
    </row>
    <row r="319" spans="1:6" x14ac:dyDescent="0.25">
      <c r="A319" s="218">
        <v>11</v>
      </c>
      <c r="B319" s="218">
        <v>7</v>
      </c>
      <c r="C319" s="218" t="str">
        <f t="shared" si="6"/>
        <v>117</v>
      </c>
      <c r="D319" s="226">
        <v>12.532777777777778</v>
      </c>
      <c r="F319" s="226">
        <v>7.865555555555555</v>
      </c>
    </row>
    <row r="320" spans="1:6" x14ac:dyDescent="0.25">
      <c r="A320" s="218">
        <v>11</v>
      </c>
      <c r="B320" s="218">
        <v>8</v>
      </c>
      <c r="C320" s="218" t="str">
        <f t="shared" si="6"/>
        <v>118</v>
      </c>
      <c r="D320" s="226">
        <v>5.3861111111111137</v>
      </c>
      <c r="F320" s="226">
        <v>7.6666666666667993E-2</v>
      </c>
    </row>
    <row r="321" spans="1:6" x14ac:dyDescent="0.25">
      <c r="A321" s="218">
        <v>11</v>
      </c>
      <c r="B321" s="218">
        <v>9</v>
      </c>
      <c r="C321" s="218" t="str">
        <f t="shared" si="6"/>
        <v>119</v>
      </c>
      <c r="D321" s="226">
        <v>1.7907407407407412</v>
      </c>
      <c r="F321" s="226">
        <v>1.9388888888888898</v>
      </c>
    </row>
    <row r="322" spans="1:6" x14ac:dyDescent="0.25">
      <c r="A322" s="218">
        <v>11</v>
      </c>
      <c r="B322" s="218">
        <v>10</v>
      </c>
      <c r="C322" s="218" t="str">
        <f t="shared" si="6"/>
        <v>1110</v>
      </c>
      <c r="D322" s="226">
        <v>7.9072222222222202</v>
      </c>
      <c r="F322" s="226">
        <v>4.1988888888888871</v>
      </c>
    </row>
    <row r="323" spans="1:6" x14ac:dyDescent="0.25">
      <c r="A323" s="218">
        <v>11</v>
      </c>
      <c r="B323" s="218">
        <v>11</v>
      </c>
      <c r="C323" s="218" t="str">
        <f t="shared" si="6"/>
        <v>1111</v>
      </c>
      <c r="D323" s="226">
        <v>33.244814814814809</v>
      </c>
      <c r="F323" s="226">
        <v>19.793333333333333</v>
      </c>
    </row>
    <row r="324" spans="1:6" x14ac:dyDescent="0.25">
      <c r="A324" s="218">
        <v>11</v>
      </c>
      <c r="B324" s="218">
        <v>12</v>
      </c>
      <c r="C324" s="218" t="str">
        <f t="shared" si="6"/>
        <v>1112</v>
      </c>
      <c r="D324" s="226">
        <v>25.420370370370367</v>
      </c>
      <c r="F324" s="226">
        <v>18.811111111111114</v>
      </c>
    </row>
    <row r="325" spans="1:6" x14ac:dyDescent="0.25">
      <c r="A325" s="218">
        <v>11</v>
      </c>
      <c r="B325" s="218">
        <v>13</v>
      </c>
      <c r="C325" s="218" t="str">
        <f t="shared" si="6"/>
        <v>1113</v>
      </c>
      <c r="D325" s="226">
        <v>30.960740740740736</v>
      </c>
      <c r="F325" s="226">
        <v>21.687222222222221</v>
      </c>
    </row>
    <row r="326" spans="1:6" x14ac:dyDescent="0.25">
      <c r="A326" s="218">
        <v>11</v>
      </c>
      <c r="B326" s="218">
        <v>14</v>
      </c>
      <c r="C326" s="218" t="str">
        <f t="shared" si="6"/>
        <v>1114</v>
      </c>
      <c r="D326" s="226">
        <v>41.107222222222205</v>
      </c>
      <c r="F326" s="226">
        <v>14.735000000000003</v>
      </c>
    </row>
    <row r="327" spans="1:6" x14ac:dyDescent="0.25">
      <c r="A327" s="218">
        <v>11</v>
      </c>
      <c r="B327" s="218">
        <v>15</v>
      </c>
      <c r="C327" s="218" t="str">
        <f t="shared" si="6"/>
        <v>1115</v>
      </c>
      <c r="D327" s="226">
        <v>19.576666666666664</v>
      </c>
      <c r="F327" s="226">
        <v>16.290000000000006</v>
      </c>
    </row>
    <row r="328" spans="1:6" x14ac:dyDescent="0.25">
      <c r="A328" s="218">
        <v>11</v>
      </c>
      <c r="B328" s="218">
        <v>16</v>
      </c>
      <c r="C328" s="218" t="str">
        <f t="shared" si="6"/>
        <v>1116</v>
      </c>
      <c r="D328" s="226">
        <v>29.911111111111111</v>
      </c>
      <c r="F328" s="226">
        <v>23.131666666666671</v>
      </c>
    </row>
    <row r="329" spans="1:6" x14ac:dyDescent="0.25">
      <c r="A329" s="218">
        <v>11</v>
      </c>
      <c r="B329" s="218">
        <v>17</v>
      </c>
      <c r="C329" s="218" t="str">
        <f t="shared" si="6"/>
        <v>1117</v>
      </c>
      <c r="D329" s="226">
        <v>23.609259259259261</v>
      </c>
      <c r="F329" s="226">
        <v>29.47388888888889</v>
      </c>
    </row>
    <row r="330" spans="1:6" x14ac:dyDescent="0.25">
      <c r="A330" s="218">
        <v>11</v>
      </c>
      <c r="B330" s="218">
        <v>18</v>
      </c>
      <c r="C330" s="218" t="str">
        <f t="shared" ref="C330:C373" si="7">A330&amp;B330</f>
        <v>1118</v>
      </c>
      <c r="D330" s="226">
        <v>27.719629629629626</v>
      </c>
      <c r="F330" s="226">
        <v>22.360555555555553</v>
      </c>
    </row>
    <row r="331" spans="1:6" x14ac:dyDescent="0.25">
      <c r="A331" s="218">
        <v>11</v>
      </c>
      <c r="B331" s="218">
        <v>19</v>
      </c>
      <c r="C331" s="218" t="str">
        <f t="shared" si="7"/>
        <v>1119</v>
      </c>
      <c r="D331" s="226">
        <v>17.13425925925926</v>
      </c>
      <c r="F331" s="226">
        <v>15.471666666666669</v>
      </c>
    </row>
    <row r="332" spans="1:6" x14ac:dyDescent="0.25">
      <c r="A332" s="218">
        <v>11</v>
      </c>
      <c r="B332" s="218">
        <v>20</v>
      </c>
      <c r="C332" s="218" t="str">
        <f t="shared" si="7"/>
        <v>1120</v>
      </c>
      <c r="D332" s="226">
        <v>10.467222222222222</v>
      </c>
      <c r="F332" s="226">
        <v>6.1916666666666655</v>
      </c>
    </row>
    <row r="333" spans="1:6" x14ac:dyDescent="0.25">
      <c r="A333" s="218">
        <v>11</v>
      </c>
      <c r="B333" s="218">
        <v>21</v>
      </c>
      <c r="C333" s="218" t="str">
        <f t="shared" si="7"/>
        <v>1121</v>
      </c>
      <c r="D333" s="226">
        <v>20.594444444444441</v>
      </c>
      <c r="F333" s="226">
        <v>13.763333333333332</v>
      </c>
    </row>
    <row r="334" spans="1:6" x14ac:dyDescent="0.25">
      <c r="A334" s="218">
        <v>11</v>
      </c>
      <c r="B334" s="218">
        <v>22</v>
      </c>
      <c r="C334" s="218" t="str">
        <f t="shared" si="7"/>
        <v>1122</v>
      </c>
      <c r="D334" s="226">
        <v>26.551111111111105</v>
      </c>
      <c r="F334" s="226">
        <v>28.121111111111116</v>
      </c>
    </row>
    <row r="335" spans="1:6" x14ac:dyDescent="0.25">
      <c r="A335" s="218">
        <v>11</v>
      </c>
      <c r="B335" s="218">
        <v>23</v>
      </c>
      <c r="C335" s="218" t="str">
        <f t="shared" si="7"/>
        <v>1123</v>
      </c>
      <c r="D335" s="226">
        <v>31.984259259259254</v>
      </c>
      <c r="F335" s="226">
        <v>27.060000000000002</v>
      </c>
    </row>
    <row r="336" spans="1:6" x14ac:dyDescent="0.25">
      <c r="A336" s="218">
        <v>11</v>
      </c>
      <c r="B336" s="218">
        <v>24</v>
      </c>
      <c r="C336" s="218" t="str">
        <f t="shared" si="7"/>
        <v>1124</v>
      </c>
      <c r="D336" s="226">
        <v>38.468148148148153</v>
      </c>
      <c r="F336" s="226">
        <v>17.895000000000003</v>
      </c>
    </row>
    <row r="337" spans="1:6" x14ac:dyDescent="0.25">
      <c r="A337" s="218">
        <v>11</v>
      </c>
      <c r="B337" s="218">
        <v>25</v>
      </c>
      <c r="C337" s="218" t="str">
        <f t="shared" si="7"/>
        <v>1125</v>
      </c>
      <c r="D337" s="226">
        <v>21.27277777777778</v>
      </c>
      <c r="F337" s="226">
        <v>12.59611111111111</v>
      </c>
    </row>
    <row r="338" spans="1:6" x14ac:dyDescent="0.25">
      <c r="A338" s="218">
        <v>11</v>
      </c>
      <c r="B338" s="218">
        <v>26</v>
      </c>
      <c r="C338" s="218" t="str">
        <f t="shared" si="7"/>
        <v>1126</v>
      </c>
      <c r="D338" s="226">
        <v>34.695555555555543</v>
      </c>
      <c r="F338" s="226">
        <v>24.106666666666673</v>
      </c>
    </row>
    <row r="339" spans="1:6" x14ac:dyDescent="0.25">
      <c r="A339" s="218">
        <v>11</v>
      </c>
      <c r="B339" s="218">
        <v>27</v>
      </c>
      <c r="C339" s="218" t="str">
        <f t="shared" si="7"/>
        <v>1127</v>
      </c>
      <c r="D339" s="226">
        <v>24.463518518518519</v>
      </c>
      <c r="F339" s="226">
        <v>20.800555555555555</v>
      </c>
    </row>
    <row r="340" spans="1:6" x14ac:dyDescent="0.25">
      <c r="A340" s="218">
        <v>11</v>
      </c>
      <c r="B340" s="218">
        <v>28</v>
      </c>
      <c r="C340" s="218" t="str">
        <f t="shared" si="7"/>
        <v>1128</v>
      </c>
      <c r="D340" s="226">
        <v>28.929259259259258</v>
      </c>
      <c r="F340" s="226">
        <v>26.114444444444437</v>
      </c>
    </row>
    <row r="341" spans="1:6" x14ac:dyDescent="0.25">
      <c r="A341" s="218">
        <v>11</v>
      </c>
      <c r="B341" s="218">
        <v>29</v>
      </c>
      <c r="C341" s="218" t="str">
        <f t="shared" si="7"/>
        <v>1129</v>
      </c>
      <c r="D341" s="226">
        <v>22.759814814814813</v>
      </c>
      <c r="F341" s="226">
        <v>33.203888888888891</v>
      </c>
    </row>
    <row r="342" spans="1:6" x14ac:dyDescent="0.25">
      <c r="A342" s="218">
        <v>11</v>
      </c>
      <c r="B342" s="218">
        <v>30</v>
      </c>
      <c r="C342" s="218" t="str">
        <f t="shared" si="7"/>
        <v>1130</v>
      </c>
      <c r="D342" s="226">
        <v>47.151666666666671</v>
      </c>
      <c r="F342" s="226">
        <v>37.907777777777788</v>
      </c>
    </row>
    <row r="343" spans="1:6" x14ac:dyDescent="0.25">
      <c r="A343" s="218">
        <v>12</v>
      </c>
      <c r="B343" s="218">
        <v>1</v>
      </c>
      <c r="C343" s="218" t="str">
        <f t="shared" si="7"/>
        <v>121</v>
      </c>
      <c r="D343" s="226">
        <v>42.349301075268826</v>
      </c>
      <c r="F343" s="226">
        <v>36.971075268817202</v>
      </c>
    </row>
    <row r="344" spans="1:6" x14ac:dyDescent="0.25">
      <c r="A344" s="218">
        <v>12</v>
      </c>
      <c r="B344" s="218">
        <v>2</v>
      </c>
      <c r="C344" s="218" t="str">
        <f t="shared" si="7"/>
        <v>122</v>
      </c>
      <c r="D344" s="226">
        <v>40.174856630824387</v>
      </c>
      <c r="F344" s="226">
        <v>32.162311827956991</v>
      </c>
    </row>
    <row r="345" spans="1:6" x14ac:dyDescent="0.25">
      <c r="A345" s="218">
        <v>12</v>
      </c>
      <c r="B345" s="218">
        <v>3</v>
      </c>
      <c r="C345" s="218" t="str">
        <f t="shared" si="7"/>
        <v>123</v>
      </c>
      <c r="D345" s="226">
        <v>28.63349462365591</v>
      </c>
      <c r="F345" s="226">
        <v>27.700860215053762</v>
      </c>
    </row>
    <row r="346" spans="1:6" x14ac:dyDescent="0.25">
      <c r="A346" s="218">
        <v>12</v>
      </c>
      <c r="B346" s="218">
        <v>4</v>
      </c>
      <c r="C346" s="218" t="str">
        <f t="shared" si="7"/>
        <v>124</v>
      </c>
      <c r="D346" s="226">
        <v>34.727007168458776</v>
      </c>
      <c r="F346" s="226">
        <v>25.58064516129032</v>
      </c>
    </row>
    <row r="347" spans="1:6" x14ac:dyDescent="0.25">
      <c r="A347" s="218">
        <v>12</v>
      </c>
      <c r="B347" s="218">
        <v>5</v>
      </c>
      <c r="C347" s="218" t="str">
        <f t="shared" si="7"/>
        <v>125</v>
      </c>
      <c r="D347" s="226">
        <v>26.567401433691753</v>
      </c>
      <c r="F347" s="226">
        <v>24.205860215053757</v>
      </c>
    </row>
    <row r="348" spans="1:6" x14ac:dyDescent="0.25">
      <c r="A348" s="218">
        <v>12</v>
      </c>
      <c r="B348" s="218">
        <v>6</v>
      </c>
      <c r="C348" s="218" t="str">
        <f t="shared" si="7"/>
        <v>126</v>
      </c>
      <c r="D348" s="226">
        <v>25.634014336917563</v>
      </c>
      <c r="F348" s="226">
        <v>27.058333333333341</v>
      </c>
    </row>
    <row r="349" spans="1:6" x14ac:dyDescent="0.25">
      <c r="A349" s="218">
        <v>12</v>
      </c>
      <c r="B349" s="218">
        <v>7</v>
      </c>
      <c r="C349" s="218" t="str">
        <f t="shared" si="7"/>
        <v>127</v>
      </c>
      <c r="D349" s="226">
        <v>29.45564516129032</v>
      </c>
      <c r="F349" s="226">
        <v>30.495645161290323</v>
      </c>
    </row>
    <row r="350" spans="1:6" x14ac:dyDescent="0.25">
      <c r="A350" s="218">
        <v>12</v>
      </c>
      <c r="B350" s="218">
        <v>8</v>
      </c>
      <c r="C350" s="218" t="str">
        <f t="shared" si="7"/>
        <v>128</v>
      </c>
      <c r="D350" s="226">
        <v>37.370770609319003</v>
      </c>
      <c r="F350" s="226">
        <v>28.445645161290326</v>
      </c>
    </row>
    <row r="351" spans="1:6" x14ac:dyDescent="0.25">
      <c r="A351" s="218">
        <v>12</v>
      </c>
      <c r="B351" s="218">
        <v>9</v>
      </c>
      <c r="C351" s="218" t="str">
        <f t="shared" si="7"/>
        <v>129</v>
      </c>
      <c r="D351" s="226">
        <v>32.824336917562725</v>
      </c>
      <c r="F351" s="226">
        <v>17.264569892473116</v>
      </c>
    </row>
    <row r="352" spans="1:6" x14ac:dyDescent="0.25">
      <c r="A352" s="218">
        <v>12</v>
      </c>
      <c r="B352" s="218">
        <v>10</v>
      </c>
      <c r="C352" s="218" t="str">
        <f t="shared" si="7"/>
        <v>1210</v>
      </c>
      <c r="D352" s="226">
        <v>18.225089605734766</v>
      </c>
      <c r="F352" s="226">
        <v>15.691720430107525</v>
      </c>
    </row>
    <row r="353" spans="1:6" x14ac:dyDescent="0.25">
      <c r="A353" s="218">
        <v>12</v>
      </c>
      <c r="B353" s="218">
        <v>11</v>
      </c>
      <c r="C353" s="218" t="str">
        <f t="shared" si="7"/>
        <v>1211</v>
      </c>
      <c r="D353" s="226">
        <v>12.179946236559145</v>
      </c>
      <c r="F353" s="226">
        <v>5.1909139784946223</v>
      </c>
    </row>
    <row r="354" spans="1:6" x14ac:dyDescent="0.25">
      <c r="A354" s="218">
        <v>12</v>
      </c>
      <c r="B354" s="218">
        <v>12</v>
      </c>
      <c r="C354" s="218" t="str">
        <f t="shared" si="7"/>
        <v>1212</v>
      </c>
      <c r="D354" s="226">
        <v>27.616182795698922</v>
      </c>
      <c r="F354" s="226">
        <v>10.834677419354838</v>
      </c>
    </row>
    <row r="355" spans="1:6" x14ac:dyDescent="0.25">
      <c r="A355" s="218">
        <v>12</v>
      </c>
      <c r="B355" s="218">
        <v>13</v>
      </c>
      <c r="C355" s="218" t="str">
        <f t="shared" si="7"/>
        <v>1213</v>
      </c>
      <c r="D355" s="226">
        <v>36.52629032258065</v>
      </c>
      <c r="F355" s="226">
        <v>24.97661290322581</v>
      </c>
    </row>
    <row r="356" spans="1:6" x14ac:dyDescent="0.25">
      <c r="A356" s="218">
        <v>12</v>
      </c>
      <c r="B356" s="218">
        <v>14</v>
      </c>
      <c r="C356" s="218" t="str">
        <f t="shared" si="7"/>
        <v>1214</v>
      </c>
      <c r="D356" s="226">
        <v>47.620430107526893</v>
      </c>
      <c r="F356" s="226">
        <v>33.1758064516129</v>
      </c>
    </row>
    <row r="357" spans="1:6" x14ac:dyDescent="0.25">
      <c r="A357" s="218">
        <v>12</v>
      </c>
      <c r="B357" s="218">
        <v>15</v>
      </c>
      <c r="C357" s="218" t="str">
        <f t="shared" si="7"/>
        <v>1215</v>
      </c>
      <c r="D357" s="226">
        <v>45.680143369175624</v>
      </c>
      <c r="F357" s="226">
        <v>38.47462365591398</v>
      </c>
    </row>
    <row r="358" spans="1:6" x14ac:dyDescent="0.25">
      <c r="A358" s="218">
        <v>12</v>
      </c>
      <c r="B358" s="218">
        <v>16</v>
      </c>
      <c r="C358" s="218" t="str">
        <f t="shared" si="7"/>
        <v>1216</v>
      </c>
      <c r="D358" s="226">
        <v>50.106075268817207</v>
      </c>
      <c r="F358" s="226">
        <v>40.556559139784959</v>
      </c>
    </row>
    <row r="359" spans="1:6" x14ac:dyDescent="0.25">
      <c r="A359" s="218">
        <v>12</v>
      </c>
      <c r="B359" s="218">
        <v>17</v>
      </c>
      <c r="C359" s="218" t="str">
        <f t="shared" si="7"/>
        <v>1217</v>
      </c>
      <c r="D359" s="226">
        <v>43.916648745519709</v>
      </c>
      <c r="F359" s="226">
        <v>42.756236559139779</v>
      </c>
    </row>
    <row r="360" spans="1:6" x14ac:dyDescent="0.25">
      <c r="A360" s="218">
        <v>12</v>
      </c>
      <c r="B360" s="218">
        <v>18</v>
      </c>
      <c r="C360" s="218" t="str">
        <f t="shared" si="7"/>
        <v>1218</v>
      </c>
      <c r="D360" s="226">
        <v>31.934193548387089</v>
      </c>
      <c r="F360" s="226">
        <v>29.828709677419347</v>
      </c>
    </row>
    <row r="361" spans="1:6" x14ac:dyDescent="0.25">
      <c r="A361" s="218">
        <v>12</v>
      </c>
      <c r="B361" s="218">
        <v>19</v>
      </c>
      <c r="C361" s="218" t="str">
        <f t="shared" si="7"/>
        <v>1219</v>
      </c>
      <c r="D361" s="226">
        <v>23.029551971326168</v>
      </c>
      <c r="F361" s="226">
        <v>26.306021505376343</v>
      </c>
    </row>
    <row r="362" spans="1:6" x14ac:dyDescent="0.25">
      <c r="A362" s="218">
        <v>12</v>
      </c>
      <c r="B362" s="218">
        <v>20</v>
      </c>
      <c r="C362" s="218" t="str">
        <f t="shared" si="7"/>
        <v>1220</v>
      </c>
      <c r="D362" s="226">
        <v>39.343028673835128</v>
      </c>
      <c r="F362" s="226">
        <v>23.139408602150539</v>
      </c>
    </row>
    <row r="363" spans="1:6" x14ac:dyDescent="0.25">
      <c r="A363" s="218">
        <v>12</v>
      </c>
      <c r="B363" s="218">
        <v>21</v>
      </c>
      <c r="C363" s="218" t="str">
        <f t="shared" si="7"/>
        <v>1221</v>
      </c>
      <c r="D363" s="226">
        <v>30.176039426523289</v>
      </c>
      <c r="F363" s="226">
        <v>14.027419354838708</v>
      </c>
    </row>
    <row r="364" spans="1:6" x14ac:dyDescent="0.25">
      <c r="A364" s="218">
        <v>12</v>
      </c>
      <c r="B364" s="218">
        <v>22</v>
      </c>
      <c r="C364" s="218" t="str">
        <f t="shared" si="7"/>
        <v>1222</v>
      </c>
      <c r="D364" s="226">
        <v>24.530483870967746</v>
      </c>
      <c r="F364" s="226">
        <v>22.154838709677417</v>
      </c>
    </row>
    <row r="365" spans="1:6" x14ac:dyDescent="0.25">
      <c r="A365" s="218">
        <v>12</v>
      </c>
      <c r="B365" s="218">
        <v>23</v>
      </c>
      <c r="C365" s="218" t="str">
        <f t="shared" si="7"/>
        <v>1223</v>
      </c>
      <c r="D365" s="226">
        <v>20.715035842293908</v>
      </c>
      <c r="F365" s="226">
        <v>18.973225806451616</v>
      </c>
    </row>
    <row r="366" spans="1:6" x14ac:dyDescent="0.25">
      <c r="A366" s="218">
        <v>12</v>
      </c>
      <c r="B366" s="218">
        <v>24</v>
      </c>
      <c r="C366" s="218" t="str">
        <f t="shared" si="7"/>
        <v>1224</v>
      </c>
      <c r="D366" s="226">
        <v>33.681792114695341</v>
      </c>
      <c r="F366" s="226">
        <v>46.390161290322574</v>
      </c>
    </row>
    <row r="367" spans="1:6" x14ac:dyDescent="0.25">
      <c r="A367" s="218">
        <v>12</v>
      </c>
      <c r="B367" s="218">
        <v>25</v>
      </c>
      <c r="C367" s="218" t="str">
        <f t="shared" si="7"/>
        <v>1225</v>
      </c>
      <c r="D367" s="226">
        <v>64.141129032258078</v>
      </c>
      <c r="F367" s="226">
        <v>54.318172043010755</v>
      </c>
    </row>
    <row r="368" spans="1:6" x14ac:dyDescent="0.25">
      <c r="A368" s="218">
        <v>12</v>
      </c>
      <c r="B368" s="218">
        <v>26</v>
      </c>
      <c r="C368" s="218" t="str">
        <f t="shared" si="7"/>
        <v>1226</v>
      </c>
      <c r="D368" s="226">
        <v>56.413440860215061</v>
      </c>
      <c r="F368" s="226">
        <v>35.625967741935476</v>
      </c>
    </row>
    <row r="369" spans="1:6" x14ac:dyDescent="0.25">
      <c r="A369" s="218">
        <v>12</v>
      </c>
      <c r="B369" s="218">
        <v>27</v>
      </c>
      <c r="C369" s="218" t="str">
        <f t="shared" si="7"/>
        <v>1227</v>
      </c>
      <c r="D369" s="226">
        <v>35.81541218637993</v>
      </c>
      <c r="F369" s="226">
        <v>20.303870967741936</v>
      </c>
    </row>
    <row r="370" spans="1:6" x14ac:dyDescent="0.25">
      <c r="A370" s="218">
        <v>12</v>
      </c>
      <c r="B370" s="218">
        <v>28</v>
      </c>
      <c r="C370" s="218" t="str">
        <f t="shared" si="7"/>
        <v>1228</v>
      </c>
      <c r="D370" s="226">
        <v>30.966792114695341</v>
      </c>
      <c r="F370" s="226">
        <v>29.141451612903225</v>
      </c>
    </row>
    <row r="371" spans="1:6" x14ac:dyDescent="0.25">
      <c r="A371" s="218">
        <v>12</v>
      </c>
      <c r="B371" s="218">
        <v>29</v>
      </c>
      <c r="C371" s="218" t="str">
        <f t="shared" si="7"/>
        <v>1229</v>
      </c>
      <c r="D371" s="226">
        <v>38.280358422939067</v>
      </c>
      <c r="F371" s="226">
        <v>31.192688172043017</v>
      </c>
    </row>
    <row r="372" spans="1:6" x14ac:dyDescent="0.25">
      <c r="A372" s="218">
        <v>12</v>
      </c>
      <c r="B372" s="218">
        <v>30</v>
      </c>
      <c r="C372" s="218" t="str">
        <f t="shared" si="7"/>
        <v>1230</v>
      </c>
      <c r="D372" s="226">
        <v>41.072741935483876</v>
      </c>
      <c r="F372" s="226">
        <v>21.315913978494624</v>
      </c>
    </row>
    <row r="373" spans="1:6" x14ac:dyDescent="0.25">
      <c r="A373" s="218">
        <v>12</v>
      </c>
      <c r="B373" s="218">
        <v>31</v>
      </c>
      <c r="C373" s="218" t="str">
        <f t="shared" si="7"/>
        <v>1231</v>
      </c>
      <c r="D373" s="226">
        <v>53.055698924731203</v>
      </c>
      <c r="F373" s="226">
        <v>34.380053763440863</v>
      </c>
    </row>
    <row r="374" spans="1:6" ht="15.75" thickBot="1" x14ac:dyDescent="0.3">
      <c r="B374" s="218" t="s">
        <v>198</v>
      </c>
      <c r="D374" s="229">
        <f>SUM(D8:D373)</f>
        <v>5866.7232451695309</v>
      </c>
      <c r="F374" s="229">
        <f>SUM(F8:F373)</f>
        <v>4331.0929711510744</v>
      </c>
    </row>
    <row r="375" spans="1:6" ht="15.75" thickTop="1" x14ac:dyDescent="0.25"/>
  </sheetData>
  <hyperlinks>
    <hyperlink ref="A2" r:id="rId1" xr:uid="{00000000-0004-0000-1700-000000000000}"/>
  </hyperlinks>
  <pageMargins left="0.7" right="0.7" top="0.75" bottom="0.75" header="0.3" footer="0.3"/>
  <pageSetup orientation="portrait" horizontalDpi="300" verticalDpi="30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L891"/>
  <sheetViews>
    <sheetView zoomScale="85" zoomScaleNormal="85" workbookViewId="0">
      <selection activeCell="Q11" sqref="Q11"/>
    </sheetView>
  </sheetViews>
  <sheetFormatPr defaultColWidth="12.7109375" defaultRowHeight="15" x14ac:dyDescent="0.25"/>
  <cols>
    <col min="1" max="1" width="15.140625" style="1" customWidth="1"/>
    <col min="2" max="2" width="7.28515625" style="137" bestFit="1" customWidth="1"/>
    <col min="3" max="3" width="7.140625" style="137" bestFit="1" customWidth="1"/>
    <col min="4" max="4" width="8.5703125" style="138" bestFit="1" customWidth="1"/>
    <col min="5" max="5" width="8.42578125" style="138" bestFit="1" customWidth="1"/>
    <col min="10" max="10" width="12.7109375" style="293"/>
  </cols>
  <sheetData>
    <row r="1" spans="1:12" x14ac:dyDescent="0.25">
      <c r="A1" s="135" t="s">
        <v>134</v>
      </c>
      <c r="B1" s="136"/>
      <c r="C1" s="136"/>
      <c r="D1" s="136"/>
      <c r="E1" s="136"/>
      <c r="H1" s="268"/>
      <c r="I1" s="268"/>
    </row>
    <row r="2" spans="1:12" x14ac:dyDescent="0.25">
      <c r="B2" s="136"/>
      <c r="C2" s="136"/>
      <c r="D2" s="136"/>
      <c r="E2" s="136"/>
      <c r="H2" s="268"/>
      <c r="I2" s="268"/>
    </row>
    <row r="3" spans="1:12" x14ac:dyDescent="0.25">
      <c r="B3" s="136"/>
      <c r="C3" s="136"/>
      <c r="D3" s="136"/>
      <c r="E3" s="136"/>
      <c r="H3" s="268"/>
      <c r="I3" s="268"/>
    </row>
    <row r="4" spans="1:12" x14ac:dyDescent="0.25">
      <c r="A4" s="274" t="s">
        <v>55</v>
      </c>
      <c r="B4" s="276"/>
      <c r="C4" s="276"/>
      <c r="D4" s="276"/>
      <c r="E4" s="276"/>
      <c r="H4" s="253"/>
      <c r="I4" s="115"/>
      <c r="J4" s="115"/>
    </row>
    <row r="5" spans="1:12" x14ac:dyDescent="0.25">
      <c r="A5" s="274" t="s">
        <v>219</v>
      </c>
      <c r="B5" s="276"/>
      <c r="C5" s="276"/>
      <c r="D5" s="276"/>
      <c r="E5" s="276"/>
      <c r="H5" s="253"/>
    </row>
    <row r="6" spans="1:12" x14ac:dyDescent="0.25">
      <c r="A6" s="273"/>
      <c r="B6" s="276"/>
      <c r="C6" s="276"/>
      <c r="D6" s="276"/>
      <c r="E6" s="276"/>
      <c r="F6" s="304" t="s">
        <v>245</v>
      </c>
      <c r="H6" s="115"/>
      <c r="I6" s="335" t="s">
        <v>278</v>
      </c>
      <c r="J6" s="335"/>
    </row>
    <row r="7" spans="1:12" x14ac:dyDescent="0.25">
      <c r="A7" s="273"/>
      <c r="B7" s="276"/>
      <c r="C7" s="276"/>
      <c r="D7" s="276"/>
      <c r="E7" s="276"/>
      <c r="F7" s="320" t="s">
        <v>244</v>
      </c>
      <c r="G7" s="291"/>
      <c r="H7" s="268"/>
      <c r="I7" s="253" t="s">
        <v>11</v>
      </c>
      <c r="J7" s="253"/>
    </row>
    <row r="8" spans="1:12" ht="16.5" customHeight="1" x14ac:dyDescent="0.25">
      <c r="A8" s="274" t="s">
        <v>58</v>
      </c>
      <c r="B8" s="276" t="s">
        <v>59</v>
      </c>
      <c r="C8" s="276" t="s">
        <v>60</v>
      </c>
      <c r="D8" s="276" t="s">
        <v>61</v>
      </c>
      <c r="E8" s="276" t="s">
        <v>62</v>
      </c>
      <c r="F8" s="304" t="s">
        <v>221</v>
      </c>
      <c r="G8" s="283"/>
      <c r="H8" s="276" t="s">
        <v>34</v>
      </c>
      <c r="I8" s="335" t="s">
        <v>220</v>
      </c>
      <c r="J8" s="335"/>
    </row>
    <row r="9" spans="1:12" x14ac:dyDescent="0.25">
      <c r="A9" s="275">
        <v>43831</v>
      </c>
      <c r="B9" s="277">
        <v>40</v>
      </c>
      <c r="C9" s="277">
        <v>23</v>
      </c>
      <c r="D9" s="140">
        <f t="shared" ref="D9" si="0">(B9+C9)/2</f>
        <v>31.5</v>
      </c>
      <c r="E9" s="140">
        <f t="shared" ref="E9" si="1">IF(65-D9&gt;0,65-D9,0)</f>
        <v>33.5</v>
      </c>
      <c r="F9" s="279">
        <f>E9*(1+VLOOKUP(TEXT(A9,"MMM"),$H$9:$I$20,2,FALSE))</f>
        <v>34.468149999999994</v>
      </c>
      <c r="G9" s="293"/>
      <c r="H9" s="335" t="s">
        <v>222</v>
      </c>
      <c r="I9" s="271">
        <v>2.8899999999999999E-2</v>
      </c>
      <c r="J9" s="271"/>
      <c r="L9" s="272"/>
    </row>
    <row r="10" spans="1:12" x14ac:dyDescent="0.25">
      <c r="A10" s="275">
        <v>43832</v>
      </c>
      <c r="B10" s="277">
        <v>54</v>
      </c>
      <c r="C10" s="277">
        <v>28</v>
      </c>
      <c r="D10" s="140">
        <f t="shared" ref="D10:D73" si="2">(B10+C10)/2</f>
        <v>41</v>
      </c>
      <c r="E10" s="140">
        <f t="shared" ref="E10:E73" si="3">IF(65-D10&gt;0,65-D10,0)</f>
        <v>24</v>
      </c>
      <c r="F10" s="279">
        <f t="shared" ref="F10:F73" si="4">E10*(1+VLOOKUP(TEXT(A10,"MMM"),$H$9:$I$20,2,FALSE))</f>
        <v>24.693599999999996</v>
      </c>
      <c r="G10" s="293"/>
      <c r="H10" s="335" t="s">
        <v>223</v>
      </c>
      <c r="I10" s="271">
        <v>3.9800000000000002E-2</v>
      </c>
      <c r="J10" s="271"/>
      <c r="L10" s="272"/>
    </row>
    <row r="11" spans="1:12" x14ac:dyDescent="0.25">
      <c r="A11" s="275">
        <v>43833</v>
      </c>
      <c r="B11" s="277">
        <v>51</v>
      </c>
      <c r="C11" s="277">
        <v>31</v>
      </c>
      <c r="D11" s="140">
        <f t="shared" si="2"/>
        <v>41</v>
      </c>
      <c r="E11" s="140">
        <f t="shared" si="3"/>
        <v>24</v>
      </c>
      <c r="F11" s="279">
        <f t="shared" si="4"/>
        <v>24.693599999999996</v>
      </c>
      <c r="G11" s="293"/>
      <c r="H11" s="335" t="s">
        <v>224</v>
      </c>
      <c r="I11" s="271">
        <v>7.0599999999999996E-2</v>
      </c>
      <c r="J11" s="271"/>
      <c r="L11" s="272"/>
    </row>
    <row r="12" spans="1:12" x14ac:dyDescent="0.25">
      <c r="A12" s="275">
        <v>43834</v>
      </c>
      <c r="B12" s="277">
        <v>45</v>
      </c>
      <c r="C12" s="277">
        <v>29</v>
      </c>
      <c r="D12" s="140">
        <f t="shared" si="2"/>
        <v>37</v>
      </c>
      <c r="E12" s="140">
        <f t="shared" si="3"/>
        <v>28</v>
      </c>
      <c r="F12" s="279">
        <f t="shared" si="4"/>
        <v>28.809199999999997</v>
      </c>
      <c r="G12" s="293"/>
      <c r="H12" s="335" t="s">
        <v>225</v>
      </c>
      <c r="I12" s="271">
        <v>0.1125</v>
      </c>
      <c r="J12" s="271"/>
      <c r="L12" s="272"/>
    </row>
    <row r="13" spans="1:12" x14ac:dyDescent="0.25">
      <c r="A13" s="275">
        <v>43835</v>
      </c>
      <c r="B13" s="277">
        <v>40</v>
      </c>
      <c r="C13" s="277">
        <v>29</v>
      </c>
      <c r="D13" s="140">
        <f t="shared" si="2"/>
        <v>34.5</v>
      </c>
      <c r="E13" s="140">
        <f t="shared" si="3"/>
        <v>30.5</v>
      </c>
      <c r="F13" s="279">
        <f t="shared" si="4"/>
        <v>31.381449999999997</v>
      </c>
      <c r="G13" s="293"/>
      <c r="H13" s="335" t="s">
        <v>20</v>
      </c>
      <c r="I13" s="271">
        <v>0.2883</v>
      </c>
      <c r="J13" s="271"/>
      <c r="L13" s="272"/>
    </row>
    <row r="14" spans="1:12" x14ac:dyDescent="0.25">
      <c r="A14" s="275">
        <v>43836</v>
      </c>
      <c r="B14" s="277">
        <v>50</v>
      </c>
      <c r="C14" s="277">
        <v>25</v>
      </c>
      <c r="D14" s="140">
        <f t="shared" si="2"/>
        <v>37.5</v>
      </c>
      <c r="E14" s="140">
        <f t="shared" si="3"/>
        <v>27.5</v>
      </c>
      <c r="F14" s="279">
        <f t="shared" si="4"/>
        <v>28.294749999999997</v>
      </c>
      <c r="G14" s="293"/>
      <c r="H14" s="335" t="s">
        <v>226</v>
      </c>
      <c r="I14" s="271">
        <v>0.67179999999999995</v>
      </c>
      <c r="J14" s="271"/>
      <c r="L14" s="272"/>
    </row>
    <row r="15" spans="1:12" x14ac:dyDescent="0.25">
      <c r="A15" s="275">
        <v>43837</v>
      </c>
      <c r="B15" s="277">
        <v>41</v>
      </c>
      <c r="C15" s="277">
        <v>26</v>
      </c>
      <c r="D15" s="140">
        <f t="shared" si="2"/>
        <v>33.5</v>
      </c>
      <c r="E15" s="140">
        <f t="shared" si="3"/>
        <v>31.5</v>
      </c>
      <c r="F15" s="279">
        <f t="shared" si="4"/>
        <v>32.410350000000001</v>
      </c>
      <c r="G15" s="293"/>
      <c r="H15" s="335" t="s">
        <v>227</v>
      </c>
      <c r="I15" s="271">
        <v>0.74939999999999996</v>
      </c>
      <c r="J15" s="271"/>
      <c r="L15" s="272"/>
    </row>
    <row r="16" spans="1:12" x14ac:dyDescent="0.25">
      <c r="A16" s="275">
        <v>43838</v>
      </c>
      <c r="B16" s="277">
        <v>47</v>
      </c>
      <c r="C16" s="277">
        <v>24</v>
      </c>
      <c r="D16" s="140">
        <f t="shared" si="2"/>
        <v>35.5</v>
      </c>
      <c r="E16" s="140">
        <f t="shared" si="3"/>
        <v>29.5</v>
      </c>
      <c r="F16" s="279">
        <f t="shared" si="4"/>
        <v>30.352549999999997</v>
      </c>
      <c r="G16" s="293"/>
      <c r="H16" s="335" t="s">
        <v>218</v>
      </c>
      <c r="I16" s="271">
        <v>1.0758000000000001</v>
      </c>
      <c r="J16" s="271"/>
      <c r="L16" s="272"/>
    </row>
    <row r="17" spans="1:12" x14ac:dyDescent="0.25">
      <c r="A17" s="275">
        <v>43839</v>
      </c>
      <c r="B17" s="277">
        <v>51</v>
      </c>
      <c r="C17" s="277">
        <v>23</v>
      </c>
      <c r="D17" s="140">
        <f t="shared" si="2"/>
        <v>37</v>
      </c>
      <c r="E17" s="140">
        <f t="shared" si="3"/>
        <v>28</v>
      </c>
      <c r="F17" s="279">
        <f t="shared" si="4"/>
        <v>28.809199999999997</v>
      </c>
      <c r="G17" s="293"/>
      <c r="H17" s="335" t="s">
        <v>228</v>
      </c>
      <c r="I17" s="271">
        <v>0.30930000000000002</v>
      </c>
      <c r="J17" s="271"/>
      <c r="L17" s="272"/>
    </row>
    <row r="18" spans="1:12" x14ac:dyDescent="0.25">
      <c r="A18" s="275">
        <v>43840</v>
      </c>
      <c r="B18" s="277">
        <v>63</v>
      </c>
      <c r="C18" s="277">
        <v>35</v>
      </c>
      <c r="D18" s="140">
        <f t="shared" si="2"/>
        <v>49</v>
      </c>
      <c r="E18" s="140">
        <f t="shared" si="3"/>
        <v>16</v>
      </c>
      <c r="F18" s="279">
        <f t="shared" si="4"/>
        <v>16.462399999999999</v>
      </c>
      <c r="G18" s="293"/>
      <c r="H18" s="335" t="s">
        <v>229</v>
      </c>
      <c r="I18" s="271">
        <v>0.1114</v>
      </c>
      <c r="J18" s="271"/>
      <c r="L18" s="272"/>
    </row>
    <row r="19" spans="1:12" x14ac:dyDescent="0.25">
      <c r="A19" s="275">
        <v>43841</v>
      </c>
      <c r="B19" s="277">
        <v>35</v>
      </c>
      <c r="C19" s="277">
        <v>18</v>
      </c>
      <c r="D19" s="140">
        <f t="shared" si="2"/>
        <v>26.5</v>
      </c>
      <c r="E19" s="140">
        <f t="shared" si="3"/>
        <v>38.5</v>
      </c>
      <c r="F19" s="279">
        <f t="shared" si="4"/>
        <v>39.612649999999995</v>
      </c>
      <c r="G19" s="293"/>
      <c r="H19" s="335" t="s">
        <v>230</v>
      </c>
      <c r="I19" s="271">
        <v>4.2599999999999999E-2</v>
      </c>
      <c r="J19" s="271"/>
      <c r="L19" s="272"/>
    </row>
    <row r="20" spans="1:12" x14ac:dyDescent="0.25">
      <c r="A20" s="275">
        <v>43842</v>
      </c>
      <c r="B20" s="277">
        <v>20</v>
      </c>
      <c r="C20" s="277">
        <v>16</v>
      </c>
      <c r="D20" s="140">
        <f t="shared" si="2"/>
        <v>18</v>
      </c>
      <c r="E20" s="140">
        <f t="shared" si="3"/>
        <v>47</v>
      </c>
      <c r="F20" s="279">
        <f t="shared" si="4"/>
        <v>48.3583</v>
      </c>
      <c r="G20" s="293"/>
      <c r="H20" s="335" t="s">
        <v>231</v>
      </c>
      <c r="I20" s="271">
        <v>2.8799999999999999E-2</v>
      </c>
      <c r="J20" s="271"/>
      <c r="L20" s="272"/>
    </row>
    <row r="21" spans="1:12" x14ac:dyDescent="0.25">
      <c r="A21" s="275">
        <v>43843</v>
      </c>
      <c r="B21" s="277">
        <v>27</v>
      </c>
      <c r="C21" s="277">
        <v>19</v>
      </c>
      <c r="D21" s="140">
        <f t="shared" si="2"/>
        <v>23</v>
      </c>
      <c r="E21" s="140">
        <f t="shared" si="3"/>
        <v>42</v>
      </c>
      <c r="F21" s="279">
        <f t="shared" si="4"/>
        <v>43.213799999999999</v>
      </c>
      <c r="G21" s="293"/>
      <c r="H21" s="268"/>
      <c r="I21" s="268"/>
    </row>
    <row r="22" spans="1:12" x14ac:dyDescent="0.25">
      <c r="A22" s="275">
        <v>43844</v>
      </c>
      <c r="B22" s="277">
        <v>36</v>
      </c>
      <c r="C22" s="277">
        <v>19</v>
      </c>
      <c r="D22" s="140">
        <f t="shared" si="2"/>
        <v>27.5</v>
      </c>
      <c r="E22" s="140">
        <f t="shared" si="3"/>
        <v>37.5</v>
      </c>
      <c r="F22" s="279">
        <f t="shared" si="4"/>
        <v>38.583749999999995</v>
      </c>
      <c r="G22" s="293"/>
      <c r="H22" s="268"/>
      <c r="I22" s="268"/>
    </row>
    <row r="23" spans="1:12" x14ac:dyDescent="0.25">
      <c r="A23" s="275">
        <v>43845</v>
      </c>
      <c r="B23" s="277">
        <v>43</v>
      </c>
      <c r="C23" s="277">
        <v>35</v>
      </c>
      <c r="D23" s="140">
        <f t="shared" si="2"/>
        <v>39</v>
      </c>
      <c r="E23" s="140">
        <f t="shared" si="3"/>
        <v>26</v>
      </c>
      <c r="F23" s="279">
        <f t="shared" si="4"/>
        <v>26.751399999999997</v>
      </c>
      <c r="G23" s="293"/>
      <c r="H23" s="268"/>
      <c r="I23" s="268"/>
    </row>
    <row r="24" spans="1:12" x14ac:dyDescent="0.25">
      <c r="A24" s="275">
        <v>43846</v>
      </c>
      <c r="B24" s="277">
        <v>41</v>
      </c>
      <c r="C24" s="277">
        <v>9</v>
      </c>
      <c r="D24" s="140">
        <f t="shared" si="2"/>
        <v>25</v>
      </c>
      <c r="E24" s="140">
        <f t="shared" si="3"/>
        <v>40</v>
      </c>
      <c r="F24" s="279">
        <f t="shared" si="4"/>
        <v>41.155999999999999</v>
      </c>
      <c r="G24" s="293"/>
      <c r="H24" s="268"/>
      <c r="I24" s="268"/>
    </row>
    <row r="25" spans="1:12" x14ac:dyDescent="0.25">
      <c r="A25" s="275">
        <v>43847</v>
      </c>
      <c r="B25" s="277">
        <v>23</v>
      </c>
      <c r="C25" s="277">
        <v>9</v>
      </c>
      <c r="D25" s="140">
        <f t="shared" si="2"/>
        <v>16</v>
      </c>
      <c r="E25" s="140">
        <f t="shared" si="3"/>
        <v>49</v>
      </c>
      <c r="F25" s="279">
        <f t="shared" si="4"/>
        <v>50.416099999999993</v>
      </c>
      <c r="G25" s="293"/>
      <c r="H25" s="268"/>
      <c r="I25" s="268"/>
    </row>
    <row r="26" spans="1:12" x14ac:dyDescent="0.25">
      <c r="A26" s="275">
        <v>43848</v>
      </c>
      <c r="B26" s="277">
        <v>34</v>
      </c>
      <c r="C26" s="277">
        <v>23</v>
      </c>
      <c r="D26" s="140">
        <f t="shared" si="2"/>
        <v>28.5</v>
      </c>
      <c r="E26" s="140">
        <f t="shared" si="3"/>
        <v>36.5</v>
      </c>
      <c r="F26" s="279">
        <f t="shared" si="4"/>
        <v>37.554849999999995</v>
      </c>
      <c r="G26" s="293"/>
      <c r="H26" s="268"/>
      <c r="I26" s="268"/>
    </row>
    <row r="27" spans="1:12" x14ac:dyDescent="0.25">
      <c r="A27" s="275">
        <v>43849</v>
      </c>
      <c r="B27" s="277">
        <v>25</v>
      </c>
      <c r="C27" s="277">
        <v>5</v>
      </c>
      <c r="D27" s="140">
        <f t="shared" si="2"/>
        <v>15</v>
      </c>
      <c r="E27" s="140">
        <f t="shared" si="3"/>
        <v>50</v>
      </c>
      <c r="F27" s="279">
        <f t="shared" si="4"/>
        <v>51.444999999999993</v>
      </c>
      <c r="G27" s="293"/>
      <c r="H27" s="268"/>
      <c r="I27" s="268"/>
    </row>
    <row r="28" spans="1:12" x14ac:dyDescent="0.25">
      <c r="A28" s="275">
        <v>43850</v>
      </c>
      <c r="B28" s="277">
        <v>16</v>
      </c>
      <c r="C28" s="277">
        <v>5</v>
      </c>
      <c r="D28" s="140">
        <f t="shared" si="2"/>
        <v>10.5</v>
      </c>
      <c r="E28" s="140">
        <f t="shared" si="3"/>
        <v>54.5</v>
      </c>
      <c r="F28" s="279">
        <f t="shared" si="4"/>
        <v>56.075049999999997</v>
      </c>
      <c r="G28" s="293"/>
      <c r="H28" s="268"/>
      <c r="I28" s="268"/>
    </row>
    <row r="29" spans="1:12" x14ac:dyDescent="0.25">
      <c r="A29" s="275">
        <v>43851</v>
      </c>
      <c r="B29" s="277">
        <v>14</v>
      </c>
      <c r="C29" s="277">
        <v>6</v>
      </c>
      <c r="D29" s="140">
        <f t="shared" si="2"/>
        <v>10</v>
      </c>
      <c r="E29" s="140">
        <f t="shared" si="3"/>
        <v>55</v>
      </c>
      <c r="F29" s="279">
        <f t="shared" si="4"/>
        <v>56.589499999999994</v>
      </c>
      <c r="G29" s="293"/>
      <c r="H29" s="268"/>
      <c r="I29" s="268"/>
    </row>
    <row r="30" spans="1:12" x14ac:dyDescent="0.25">
      <c r="A30" s="275">
        <v>43852</v>
      </c>
      <c r="B30" s="277">
        <v>30</v>
      </c>
      <c r="C30" s="277">
        <v>10</v>
      </c>
      <c r="D30" s="140">
        <f t="shared" si="2"/>
        <v>20</v>
      </c>
      <c r="E30" s="140">
        <f t="shared" si="3"/>
        <v>45</v>
      </c>
      <c r="F30" s="279">
        <f t="shared" si="4"/>
        <v>46.3005</v>
      </c>
      <c r="G30" s="293"/>
      <c r="H30" s="268"/>
      <c r="I30" s="268"/>
    </row>
    <row r="31" spans="1:12" x14ac:dyDescent="0.25">
      <c r="A31" s="275">
        <v>43853</v>
      </c>
      <c r="B31" s="277">
        <v>32</v>
      </c>
      <c r="C31" s="277">
        <v>29</v>
      </c>
      <c r="D31" s="140">
        <f t="shared" si="2"/>
        <v>30.5</v>
      </c>
      <c r="E31" s="140">
        <f t="shared" si="3"/>
        <v>34.5</v>
      </c>
      <c r="F31" s="279">
        <f t="shared" si="4"/>
        <v>35.497049999999994</v>
      </c>
      <c r="G31" s="293"/>
      <c r="H31" s="268"/>
      <c r="I31" s="268"/>
    </row>
    <row r="32" spans="1:12" x14ac:dyDescent="0.25">
      <c r="A32" s="275">
        <v>43854</v>
      </c>
      <c r="B32" s="277">
        <v>33</v>
      </c>
      <c r="C32" s="277">
        <v>30</v>
      </c>
      <c r="D32" s="140">
        <f t="shared" si="2"/>
        <v>31.5</v>
      </c>
      <c r="E32" s="140">
        <f t="shared" si="3"/>
        <v>33.5</v>
      </c>
      <c r="F32" s="279">
        <f t="shared" si="4"/>
        <v>34.468149999999994</v>
      </c>
      <c r="G32" s="293"/>
      <c r="H32" s="268"/>
      <c r="I32" s="268"/>
    </row>
    <row r="33" spans="1:9" x14ac:dyDescent="0.25">
      <c r="A33" s="275">
        <v>43855</v>
      </c>
      <c r="B33" s="277">
        <v>32</v>
      </c>
      <c r="C33" s="277">
        <v>29</v>
      </c>
      <c r="D33" s="140">
        <f t="shared" si="2"/>
        <v>30.5</v>
      </c>
      <c r="E33" s="140">
        <f t="shared" si="3"/>
        <v>34.5</v>
      </c>
      <c r="F33" s="279">
        <f t="shared" si="4"/>
        <v>35.497049999999994</v>
      </c>
      <c r="G33" s="293"/>
      <c r="H33" s="268"/>
      <c r="I33" s="268"/>
    </row>
    <row r="34" spans="1:9" x14ac:dyDescent="0.25">
      <c r="A34" s="275">
        <v>43856</v>
      </c>
      <c r="B34" s="277">
        <v>33</v>
      </c>
      <c r="C34" s="277">
        <v>16</v>
      </c>
      <c r="D34" s="140">
        <f t="shared" si="2"/>
        <v>24.5</v>
      </c>
      <c r="E34" s="140">
        <f t="shared" si="3"/>
        <v>40.5</v>
      </c>
      <c r="F34" s="279">
        <f t="shared" si="4"/>
        <v>41.670449999999995</v>
      </c>
      <c r="G34" s="293"/>
      <c r="H34" s="268"/>
      <c r="I34" s="268"/>
    </row>
    <row r="35" spans="1:9" x14ac:dyDescent="0.25">
      <c r="A35" s="275">
        <v>43857</v>
      </c>
      <c r="B35" s="277">
        <v>31</v>
      </c>
      <c r="C35" s="277">
        <v>21</v>
      </c>
      <c r="D35" s="140">
        <f t="shared" si="2"/>
        <v>26</v>
      </c>
      <c r="E35" s="140">
        <f t="shared" si="3"/>
        <v>39</v>
      </c>
      <c r="F35" s="279">
        <f t="shared" si="4"/>
        <v>40.127099999999999</v>
      </c>
      <c r="G35" s="293"/>
      <c r="H35" s="268"/>
      <c r="I35" s="268"/>
    </row>
    <row r="36" spans="1:9" x14ac:dyDescent="0.25">
      <c r="A36" s="275">
        <v>43858</v>
      </c>
      <c r="B36" s="277">
        <v>36</v>
      </c>
      <c r="C36" s="277">
        <v>27</v>
      </c>
      <c r="D36" s="140">
        <f t="shared" si="2"/>
        <v>31.5</v>
      </c>
      <c r="E36" s="140">
        <f t="shared" si="3"/>
        <v>33.5</v>
      </c>
      <c r="F36" s="279">
        <f t="shared" si="4"/>
        <v>34.468149999999994</v>
      </c>
      <c r="G36" s="293"/>
      <c r="H36" s="268"/>
      <c r="I36" s="268"/>
    </row>
    <row r="37" spans="1:9" x14ac:dyDescent="0.25">
      <c r="A37" s="275">
        <v>43859</v>
      </c>
      <c r="B37" s="277">
        <v>29</v>
      </c>
      <c r="C37" s="277">
        <v>23</v>
      </c>
      <c r="D37" s="140">
        <f t="shared" si="2"/>
        <v>26</v>
      </c>
      <c r="E37" s="140">
        <f t="shared" si="3"/>
        <v>39</v>
      </c>
      <c r="F37" s="279">
        <f t="shared" si="4"/>
        <v>40.127099999999999</v>
      </c>
      <c r="G37" s="293"/>
      <c r="H37" s="268"/>
      <c r="I37" s="268"/>
    </row>
    <row r="38" spans="1:9" x14ac:dyDescent="0.25">
      <c r="A38" s="275">
        <v>43860</v>
      </c>
      <c r="B38" s="277">
        <v>29</v>
      </c>
      <c r="C38" s="277">
        <v>22</v>
      </c>
      <c r="D38" s="140">
        <f t="shared" si="2"/>
        <v>25.5</v>
      </c>
      <c r="E38" s="140">
        <f t="shared" si="3"/>
        <v>39.5</v>
      </c>
      <c r="F38" s="279">
        <f t="shared" si="4"/>
        <v>40.641549999999995</v>
      </c>
      <c r="G38" s="293"/>
      <c r="H38" s="268"/>
      <c r="I38" s="268"/>
    </row>
    <row r="39" spans="1:9" x14ac:dyDescent="0.25">
      <c r="A39" s="275">
        <v>43861</v>
      </c>
      <c r="B39" s="277">
        <v>32</v>
      </c>
      <c r="C39" s="277">
        <v>25</v>
      </c>
      <c r="D39" s="140">
        <f t="shared" si="2"/>
        <v>28.5</v>
      </c>
      <c r="E39" s="140">
        <f t="shared" si="3"/>
        <v>36.5</v>
      </c>
      <c r="F39" s="279">
        <f t="shared" si="4"/>
        <v>37.554849999999995</v>
      </c>
      <c r="G39" s="293"/>
      <c r="H39" s="268"/>
      <c r="I39" s="268"/>
    </row>
    <row r="40" spans="1:9" x14ac:dyDescent="0.25">
      <c r="A40" s="275">
        <v>43862</v>
      </c>
      <c r="B40" s="277">
        <v>38</v>
      </c>
      <c r="C40" s="277">
        <v>28</v>
      </c>
      <c r="D40" s="140">
        <f t="shared" si="2"/>
        <v>33</v>
      </c>
      <c r="E40" s="140">
        <f t="shared" si="3"/>
        <v>32</v>
      </c>
      <c r="F40" s="279">
        <f t="shared" si="4"/>
        <v>33.273600000000002</v>
      </c>
      <c r="G40" s="293"/>
      <c r="H40" s="268"/>
      <c r="I40" s="268"/>
    </row>
    <row r="41" spans="1:9" x14ac:dyDescent="0.25">
      <c r="A41" s="275">
        <v>43863</v>
      </c>
      <c r="B41" s="277">
        <v>44</v>
      </c>
      <c r="C41" s="277">
        <v>32</v>
      </c>
      <c r="D41" s="140">
        <f t="shared" si="2"/>
        <v>38</v>
      </c>
      <c r="E41" s="140">
        <f t="shared" si="3"/>
        <v>27</v>
      </c>
      <c r="F41" s="279">
        <f t="shared" si="4"/>
        <v>28.0746</v>
      </c>
      <c r="G41" s="293"/>
      <c r="H41" s="268"/>
      <c r="I41" s="268"/>
    </row>
    <row r="42" spans="1:9" x14ac:dyDescent="0.25">
      <c r="A42" s="275">
        <v>43864</v>
      </c>
      <c r="B42" s="277">
        <v>59</v>
      </c>
      <c r="C42" s="277">
        <v>32</v>
      </c>
      <c r="D42" s="140">
        <f t="shared" si="2"/>
        <v>45.5</v>
      </c>
      <c r="E42" s="140">
        <f t="shared" si="3"/>
        <v>19.5</v>
      </c>
      <c r="F42" s="279">
        <f t="shared" si="4"/>
        <v>20.2761</v>
      </c>
      <c r="G42" s="293"/>
      <c r="H42" s="268"/>
      <c r="I42" s="268"/>
    </row>
    <row r="43" spans="1:9" x14ac:dyDescent="0.25">
      <c r="A43" s="275">
        <v>43865</v>
      </c>
      <c r="B43" s="277">
        <v>47</v>
      </c>
      <c r="C43" s="277">
        <v>29</v>
      </c>
      <c r="D43" s="140">
        <f t="shared" si="2"/>
        <v>38</v>
      </c>
      <c r="E43" s="140">
        <f t="shared" si="3"/>
        <v>27</v>
      </c>
      <c r="F43" s="279">
        <f t="shared" si="4"/>
        <v>28.0746</v>
      </c>
      <c r="G43" s="293"/>
      <c r="H43" s="268"/>
      <c r="I43" s="268"/>
    </row>
    <row r="44" spans="1:9" x14ac:dyDescent="0.25">
      <c r="A44" s="275">
        <v>43866</v>
      </c>
      <c r="B44" s="277">
        <v>31</v>
      </c>
      <c r="C44" s="277">
        <v>25</v>
      </c>
      <c r="D44" s="140">
        <f t="shared" si="2"/>
        <v>28</v>
      </c>
      <c r="E44" s="140">
        <f t="shared" si="3"/>
        <v>37</v>
      </c>
      <c r="F44" s="279">
        <f t="shared" si="4"/>
        <v>38.4726</v>
      </c>
      <c r="G44" s="293"/>
      <c r="H44" s="268"/>
      <c r="I44" s="268"/>
    </row>
    <row r="45" spans="1:9" x14ac:dyDescent="0.25">
      <c r="A45" s="275">
        <v>43867</v>
      </c>
      <c r="B45" s="277">
        <v>26</v>
      </c>
      <c r="C45" s="277">
        <v>17</v>
      </c>
      <c r="D45" s="140">
        <f t="shared" si="2"/>
        <v>21.5</v>
      </c>
      <c r="E45" s="140">
        <f t="shared" si="3"/>
        <v>43.5</v>
      </c>
      <c r="F45" s="279">
        <f t="shared" si="4"/>
        <v>45.231300000000005</v>
      </c>
      <c r="G45" s="293"/>
      <c r="H45" s="268"/>
      <c r="I45" s="268"/>
    </row>
    <row r="46" spans="1:9" x14ac:dyDescent="0.25">
      <c r="A46" s="275">
        <v>43868</v>
      </c>
      <c r="B46" s="277">
        <v>34</v>
      </c>
      <c r="C46" s="277">
        <v>17</v>
      </c>
      <c r="D46" s="140">
        <f t="shared" si="2"/>
        <v>25.5</v>
      </c>
      <c r="E46" s="140">
        <f t="shared" si="3"/>
        <v>39.5</v>
      </c>
      <c r="F46" s="279">
        <f t="shared" si="4"/>
        <v>41.072099999999999</v>
      </c>
      <c r="G46" s="293"/>
      <c r="H46" s="268"/>
      <c r="I46" s="268"/>
    </row>
    <row r="47" spans="1:9" x14ac:dyDescent="0.25">
      <c r="A47" s="275">
        <v>43869</v>
      </c>
      <c r="B47" s="277">
        <v>33</v>
      </c>
      <c r="C47" s="277">
        <v>21</v>
      </c>
      <c r="D47" s="140">
        <f t="shared" si="2"/>
        <v>27</v>
      </c>
      <c r="E47" s="140">
        <f t="shared" si="3"/>
        <v>38</v>
      </c>
      <c r="F47" s="279">
        <f t="shared" si="4"/>
        <v>39.5124</v>
      </c>
      <c r="G47" s="293"/>
      <c r="H47" s="268"/>
      <c r="I47" s="268"/>
    </row>
    <row r="48" spans="1:9" x14ac:dyDescent="0.25">
      <c r="A48" s="275">
        <v>43870</v>
      </c>
      <c r="B48" s="277">
        <v>39</v>
      </c>
      <c r="C48" s="277">
        <v>22</v>
      </c>
      <c r="D48" s="140">
        <f t="shared" si="2"/>
        <v>30.5</v>
      </c>
      <c r="E48" s="140">
        <f t="shared" si="3"/>
        <v>34.5</v>
      </c>
      <c r="F48" s="279">
        <f t="shared" si="4"/>
        <v>35.873100000000001</v>
      </c>
      <c r="G48" s="293"/>
      <c r="H48" s="268"/>
      <c r="I48" s="268"/>
    </row>
    <row r="49" spans="1:9" x14ac:dyDescent="0.25">
      <c r="A49" s="275">
        <v>43871</v>
      </c>
      <c r="B49" s="277">
        <v>51</v>
      </c>
      <c r="C49" s="277">
        <v>23</v>
      </c>
      <c r="D49" s="140">
        <f t="shared" si="2"/>
        <v>37</v>
      </c>
      <c r="E49" s="140">
        <f t="shared" si="3"/>
        <v>28</v>
      </c>
      <c r="F49" s="279">
        <f t="shared" si="4"/>
        <v>29.114400000000003</v>
      </c>
      <c r="G49" s="293"/>
      <c r="H49" s="268"/>
      <c r="I49" s="268"/>
    </row>
    <row r="50" spans="1:9" x14ac:dyDescent="0.25">
      <c r="A50" s="275">
        <v>43872</v>
      </c>
      <c r="B50" s="277">
        <v>41</v>
      </c>
      <c r="C50" s="277">
        <v>23</v>
      </c>
      <c r="D50" s="140">
        <f t="shared" si="2"/>
        <v>32</v>
      </c>
      <c r="E50" s="140">
        <f t="shared" si="3"/>
        <v>33</v>
      </c>
      <c r="F50" s="279">
        <f t="shared" si="4"/>
        <v>34.313400000000001</v>
      </c>
      <c r="G50" s="293"/>
      <c r="H50" s="268"/>
      <c r="I50" s="268"/>
    </row>
    <row r="51" spans="1:9" x14ac:dyDescent="0.25">
      <c r="A51" s="275">
        <v>43873</v>
      </c>
      <c r="B51" s="277">
        <v>41</v>
      </c>
      <c r="C51" s="277">
        <v>28</v>
      </c>
      <c r="D51" s="140">
        <f t="shared" si="2"/>
        <v>34.5</v>
      </c>
      <c r="E51" s="140">
        <f t="shared" si="3"/>
        <v>30.5</v>
      </c>
      <c r="F51" s="279">
        <f t="shared" si="4"/>
        <v>31.713900000000002</v>
      </c>
      <c r="G51" s="293"/>
      <c r="H51" s="268"/>
      <c r="I51" s="268"/>
    </row>
    <row r="52" spans="1:9" x14ac:dyDescent="0.25">
      <c r="A52" s="275">
        <v>43874</v>
      </c>
      <c r="B52" s="277">
        <v>32</v>
      </c>
      <c r="C52" s="277">
        <v>-1</v>
      </c>
      <c r="D52" s="140">
        <f t="shared" si="2"/>
        <v>15.5</v>
      </c>
      <c r="E52" s="140">
        <f t="shared" si="3"/>
        <v>49.5</v>
      </c>
      <c r="F52" s="279">
        <f t="shared" si="4"/>
        <v>51.470100000000002</v>
      </c>
      <c r="G52" s="293"/>
      <c r="H52" s="268"/>
      <c r="I52" s="268"/>
    </row>
    <row r="53" spans="1:9" x14ac:dyDescent="0.25">
      <c r="A53" s="275">
        <v>43875</v>
      </c>
      <c r="B53" s="277">
        <v>9</v>
      </c>
      <c r="C53" s="277">
        <v>-5</v>
      </c>
      <c r="D53" s="140">
        <f t="shared" si="2"/>
        <v>2</v>
      </c>
      <c r="E53" s="140">
        <f t="shared" si="3"/>
        <v>63</v>
      </c>
      <c r="F53" s="279">
        <f t="shared" si="4"/>
        <v>65.507400000000004</v>
      </c>
      <c r="G53" s="293"/>
      <c r="H53" s="268"/>
      <c r="I53" s="268"/>
    </row>
    <row r="54" spans="1:9" x14ac:dyDescent="0.25">
      <c r="A54" s="275">
        <v>43876</v>
      </c>
      <c r="B54" s="277">
        <v>30</v>
      </c>
      <c r="C54" s="277">
        <v>-5</v>
      </c>
      <c r="D54" s="140">
        <f t="shared" si="2"/>
        <v>12.5</v>
      </c>
      <c r="E54" s="140">
        <f t="shared" si="3"/>
        <v>52.5</v>
      </c>
      <c r="F54" s="279">
        <f t="shared" si="4"/>
        <v>54.589500000000001</v>
      </c>
      <c r="G54" s="293"/>
      <c r="H54" s="268"/>
      <c r="I54" s="268"/>
    </row>
    <row r="55" spans="1:9" x14ac:dyDescent="0.25">
      <c r="A55" s="275">
        <v>43877</v>
      </c>
      <c r="B55" s="277">
        <v>43</v>
      </c>
      <c r="C55" s="277">
        <v>22</v>
      </c>
      <c r="D55" s="140">
        <f t="shared" si="2"/>
        <v>32.5</v>
      </c>
      <c r="E55" s="140">
        <f t="shared" si="3"/>
        <v>32.5</v>
      </c>
      <c r="F55" s="279">
        <f t="shared" si="4"/>
        <v>33.793500000000002</v>
      </c>
      <c r="G55" s="293"/>
      <c r="H55" s="268"/>
      <c r="I55" s="268"/>
    </row>
    <row r="56" spans="1:9" x14ac:dyDescent="0.25">
      <c r="A56" s="275">
        <v>43878</v>
      </c>
      <c r="B56" s="277">
        <v>47</v>
      </c>
      <c r="C56" s="277">
        <v>24</v>
      </c>
      <c r="D56" s="140">
        <f t="shared" si="2"/>
        <v>35.5</v>
      </c>
      <c r="E56" s="140">
        <f t="shared" si="3"/>
        <v>29.5</v>
      </c>
      <c r="F56" s="279">
        <f t="shared" si="4"/>
        <v>30.674100000000003</v>
      </c>
      <c r="G56" s="293"/>
      <c r="H56" s="268"/>
      <c r="I56" s="268"/>
    </row>
    <row r="57" spans="1:9" x14ac:dyDescent="0.25">
      <c r="A57" s="275">
        <v>43879</v>
      </c>
      <c r="B57" s="277">
        <v>54</v>
      </c>
      <c r="C57" s="277">
        <v>27</v>
      </c>
      <c r="D57" s="140">
        <f t="shared" si="2"/>
        <v>40.5</v>
      </c>
      <c r="E57" s="140">
        <f t="shared" si="3"/>
        <v>24.5</v>
      </c>
      <c r="F57" s="279">
        <f t="shared" si="4"/>
        <v>25.475100000000001</v>
      </c>
      <c r="G57" s="293"/>
      <c r="H57" s="268"/>
      <c r="I57" s="268"/>
    </row>
    <row r="58" spans="1:9" x14ac:dyDescent="0.25">
      <c r="A58" s="275">
        <v>43880</v>
      </c>
      <c r="B58" s="277">
        <v>41</v>
      </c>
      <c r="C58" s="277">
        <v>22</v>
      </c>
      <c r="D58" s="140">
        <f t="shared" si="2"/>
        <v>31.5</v>
      </c>
      <c r="E58" s="140">
        <f t="shared" si="3"/>
        <v>33.5</v>
      </c>
      <c r="F58" s="279">
        <f t="shared" si="4"/>
        <v>34.833300000000001</v>
      </c>
      <c r="G58" s="293"/>
      <c r="H58" s="268"/>
      <c r="I58" s="268"/>
    </row>
    <row r="59" spans="1:9" x14ac:dyDescent="0.25">
      <c r="A59" s="275">
        <v>43881</v>
      </c>
      <c r="B59" s="277">
        <v>35</v>
      </c>
      <c r="C59" s="277">
        <v>15</v>
      </c>
      <c r="D59" s="140">
        <f t="shared" si="2"/>
        <v>25</v>
      </c>
      <c r="E59" s="140">
        <f t="shared" si="3"/>
        <v>40</v>
      </c>
      <c r="F59" s="279">
        <f t="shared" si="4"/>
        <v>41.591999999999999</v>
      </c>
      <c r="G59" s="293"/>
      <c r="H59" s="268"/>
      <c r="I59" s="268"/>
    </row>
    <row r="60" spans="1:9" x14ac:dyDescent="0.25">
      <c r="A60" s="275">
        <v>43882</v>
      </c>
      <c r="B60" s="277">
        <v>27</v>
      </c>
      <c r="C60" s="277">
        <v>13</v>
      </c>
      <c r="D60" s="140">
        <f t="shared" si="2"/>
        <v>20</v>
      </c>
      <c r="E60" s="140">
        <f t="shared" si="3"/>
        <v>45</v>
      </c>
      <c r="F60" s="279">
        <f t="shared" si="4"/>
        <v>46.791000000000004</v>
      </c>
      <c r="G60" s="293"/>
      <c r="H60" s="268"/>
      <c r="I60" s="268"/>
    </row>
    <row r="61" spans="1:9" x14ac:dyDescent="0.25">
      <c r="A61" s="275">
        <v>43883</v>
      </c>
      <c r="B61" s="277">
        <v>41</v>
      </c>
      <c r="C61" s="277">
        <v>16</v>
      </c>
      <c r="D61" s="140">
        <f t="shared" si="2"/>
        <v>28.5</v>
      </c>
      <c r="E61" s="140">
        <f t="shared" si="3"/>
        <v>36.5</v>
      </c>
      <c r="F61" s="279">
        <f t="shared" si="4"/>
        <v>37.9527</v>
      </c>
      <c r="G61" s="293"/>
      <c r="H61" s="268"/>
      <c r="I61" s="268"/>
    </row>
    <row r="62" spans="1:9" x14ac:dyDescent="0.25">
      <c r="A62" s="275">
        <v>43884</v>
      </c>
      <c r="B62" s="277">
        <v>52</v>
      </c>
      <c r="C62" s="277">
        <v>29</v>
      </c>
      <c r="D62" s="140">
        <f t="shared" si="2"/>
        <v>40.5</v>
      </c>
      <c r="E62" s="140">
        <f t="shared" si="3"/>
        <v>24.5</v>
      </c>
      <c r="F62" s="279">
        <f t="shared" si="4"/>
        <v>25.475100000000001</v>
      </c>
      <c r="G62" s="293"/>
      <c r="H62" s="268"/>
      <c r="I62" s="268"/>
    </row>
    <row r="63" spans="1:9" x14ac:dyDescent="0.25">
      <c r="A63" s="275">
        <v>43885</v>
      </c>
      <c r="B63" s="277">
        <v>61</v>
      </c>
      <c r="C63" s="277">
        <v>35</v>
      </c>
      <c r="D63" s="140">
        <f t="shared" si="2"/>
        <v>48</v>
      </c>
      <c r="E63" s="140">
        <f t="shared" si="3"/>
        <v>17</v>
      </c>
      <c r="F63" s="279">
        <f t="shared" si="4"/>
        <v>17.676600000000001</v>
      </c>
      <c r="G63" s="293"/>
      <c r="H63" s="268"/>
      <c r="I63" s="268"/>
    </row>
    <row r="64" spans="1:9" x14ac:dyDescent="0.25">
      <c r="A64" s="275">
        <v>43886</v>
      </c>
      <c r="B64" s="277">
        <v>41</v>
      </c>
      <c r="C64" s="277">
        <v>33</v>
      </c>
      <c r="D64" s="140">
        <f t="shared" si="2"/>
        <v>37</v>
      </c>
      <c r="E64" s="140">
        <f t="shared" si="3"/>
        <v>28</v>
      </c>
      <c r="F64" s="279">
        <f t="shared" si="4"/>
        <v>29.114400000000003</v>
      </c>
      <c r="G64" s="293"/>
      <c r="H64" s="268"/>
      <c r="I64" s="268"/>
    </row>
    <row r="65" spans="1:9" x14ac:dyDescent="0.25">
      <c r="A65" s="275">
        <v>43887</v>
      </c>
      <c r="B65" s="277">
        <v>42</v>
      </c>
      <c r="C65" s="277">
        <v>27</v>
      </c>
      <c r="D65" s="140">
        <f t="shared" si="2"/>
        <v>34.5</v>
      </c>
      <c r="E65" s="140">
        <f t="shared" si="3"/>
        <v>30.5</v>
      </c>
      <c r="F65" s="279">
        <f t="shared" si="4"/>
        <v>31.713900000000002</v>
      </c>
      <c r="G65" s="293"/>
      <c r="H65" s="268"/>
      <c r="I65" s="268"/>
    </row>
    <row r="66" spans="1:9" x14ac:dyDescent="0.25">
      <c r="A66" s="275">
        <v>43888</v>
      </c>
      <c r="B66" s="277">
        <v>37</v>
      </c>
      <c r="C66" s="277">
        <v>22</v>
      </c>
      <c r="D66" s="140">
        <f t="shared" si="2"/>
        <v>29.5</v>
      </c>
      <c r="E66" s="140">
        <f t="shared" si="3"/>
        <v>35.5</v>
      </c>
      <c r="F66" s="279">
        <f t="shared" si="4"/>
        <v>36.9129</v>
      </c>
      <c r="G66" s="293"/>
      <c r="H66" s="268"/>
      <c r="I66" s="268"/>
    </row>
    <row r="67" spans="1:9" x14ac:dyDescent="0.25">
      <c r="A67" s="275">
        <v>43889</v>
      </c>
      <c r="B67" s="277">
        <v>41</v>
      </c>
      <c r="C67" s="277">
        <v>24</v>
      </c>
      <c r="D67" s="140">
        <f t="shared" si="2"/>
        <v>32.5</v>
      </c>
      <c r="E67" s="140">
        <f t="shared" si="3"/>
        <v>32.5</v>
      </c>
      <c r="F67" s="279">
        <f t="shared" si="4"/>
        <v>33.793500000000002</v>
      </c>
      <c r="G67" s="293"/>
      <c r="H67" s="268"/>
      <c r="I67" s="268"/>
    </row>
    <row r="68" spans="1:9" x14ac:dyDescent="0.25">
      <c r="A68" s="275">
        <v>43890</v>
      </c>
      <c r="B68" s="277">
        <v>49</v>
      </c>
      <c r="C68" s="277">
        <v>23</v>
      </c>
      <c r="D68" s="140">
        <f t="shared" si="2"/>
        <v>36</v>
      </c>
      <c r="E68" s="140">
        <f t="shared" si="3"/>
        <v>29</v>
      </c>
      <c r="F68" s="279">
        <f t="shared" si="4"/>
        <v>30.154200000000003</v>
      </c>
      <c r="G68" s="293"/>
      <c r="H68" s="268"/>
      <c r="I68" s="268"/>
    </row>
    <row r="69" spans="1:9" x14ac:dyDescent="0.25">
      <c r="A69" s="275">
        <v>43891</v>
      </c>
      <c r="B69" s="277">
        <v>55</v>
      </c>
      <c r="C69" s="277">
        <v>26</v>
      </c>
      <c r="D69" s="140">
        <f t="shared" si="2"/>
        <v>40.5</v>
      </c>
      <c r="E69" s="140">
        <f t="shared" si="3"/>
        <v>24.5</v>
      </c>
      <c r="F69" s="279">
        <f t="shared" si="4"/>
        <v>26.229700000000001</v>
      </c>
      <c r="G69" s="293"/>
      <c r="H69" s="268"/>
      <c r="I69" s="268"/>
    </row>
    <row r="70" spans="1:9" x14ac:dyDescent="0.25">
      <c r="A70" s="275">
        <v>43892</v>
      </c>
      <c r="B70" s="277">
        <v>66</v>
      </c>
      <c r="C70" s="277">
        <v>31</v>
      </c>
      <c r="D70" s="140">
        <f t="shared" si="2"/>
        <v>48.5</v>
      </c>
      <c r="E70" s="140">
        <f t="shared" si="3"/>
        <v>16.5</v>
      </c>
      <c r="F70" s="279">
        <f t="shared" si="4"/>
        <v>17.664899999999999</v>
      </c>
      <c r="G70" s="293"/>
      <c r="H70" s="268"/>
      <c r="I70" s="268"/>
    </row>
    <row r="71" spans="1:9" x14ac:dyDescent="0.25">
      <c r="A71" s="275">
        <v>43893</v>
      </c>
      <c r="B71" s="277">
        <v>50</v>
      </c>
      <c r="C71" s="277">
        <v>32</v>
      </c>
      <c r="D71" s="140">
        <f t="shared" si="2"/>
        <v>41</v>
      </c>
      <c r="E71" s="140">
        <f t="shared" si="3"/>
        <v>24</v>
      </c>
      <c r="F71" s="279">
        <f t="shared" si="4"/>
        <v>25.694400000000002</v>
      </c>
      <c r="G71" s="293"/>
      <c r="H71" s="268"/>
      <c r="I71" s="268"/>
    </row>
    <row r="72" spans="1:9" x14ac:dyDescent="0.25">
      <c r="A72" s="275">
        <v>43894</v>
      </c>
      <c r="B72" s="277">
        <v>59</v>
      </c>
      <c r="C72" s="277">
        <v>37</v>
      </c>
      <c r="D72" s="140">
        <f t="shared" si="2"/>
        <v>48</v>
      </c>
      <c r="E72" s="140">
        <f t="shared" si="3"/>
        <v>17</v>
      </c>
      <c r="F72" s="279">
        <f t="shared" si="4"/>
        <v>18.200199999999999</v>
      </c>
      <c r="G72" s="293"/>
      <c r="H72" s="268"/>
      <c r="I72" s="268"/>
    </row>
    <row r="73" spans="1:9" x14ac:dyDescent="0.25">
      <c r="A73" s="275">
        <v>43895</v>
      </c>
      <c r="B73" s="277">
        <v>58</v>
      </c>
      <c r="C73" s="277">
        <v>36</v>
      </c>
      <c r="D73" s="140">
        <f t="shared" si="2"/>
        <v>47</v>
      </c>
      <c r="E73" s="140">
        <f t="shared" si="3"/>
        <v>18</v>
      </c>
      <c r="F73" s="279">
        <f t="shared" si="4"/>
        <v>19.270800000000001</v>
      </c>
      <c r="G73" s="293"/>
      <c r="H73" s="268"/>
      <c r="I73" s="268"/>
    </row>
    <row r="74" spans="1:9" x14ac:dyDescent="0.25">
      <c r="A74" s="275">
        <v>43896</v>
      </c>
      <c r="B74" s="277">
        <v>51</v>
      </c>
      <c r="C74" s="277">
        <v>26</v>
      </c>
      <c r="D74" s="140">
        <f t="shared" ref="D74:D137" si="5">(B74+C74)/2</f>
        <v>38.5</v>
      </c>
      <c r="E74" s="140">
        <f t="shared" ref="E74:E137" si="6">IF(65-D74&gt;0,65-D74,0)</f>
        <v>26.5</v>
      </c>
      <c r="F74" s="279">
        <f t="shared" ref="F74:F137" si="7">E74*(1+VLOOKUP(TEXT(A74,"MMM"),$H$9:$I$20,2,FALSE))</f>
        <v>28.370899999999999</v>
      </c>
      <c r="G74" s="293"/>
      <c r="H74" s="268"/>
      <c r="I74" s="268"/>
    </row>
    <row r="75" spans="1:9" x14ac:dyDescent="0.25">
      <c r="A75" s="275">
        <v>43897</v>
      </c>
      <c r="B75" s="277">
        <v>52</v>
      </c>
      <c r="C75" s="277">
        <v>30</v>
      </c>
      <c r="D75" s="140">
        <f t="shared" si="5"/>
        <v>41</v>
      </c>
      <c r="E75" s="140">
        <f t="shared" si="6"/>
        <v>24</v>
      </c>
      <c r="F75" s="279">
        <f t="shared" si="7"/>
        <v>25.694400000000002</v>
      </c>
      <c r="G75" s="293"/>
      <c r="H75" s="268"/>
      <c r="I75" s="268"/>
    </row>
    <row r="76" spans="1:9" x14ac:dyDescent="0.25">
      <c r="A76" s="275">
        <v>43898</v>
      </c>
      <c r="B76" s="277">
        <v>66</v>
      </c>
      <c r="C76" s="277">
        <v>34</v>
      </c>
      <c r="D76" s="140">
        <f t="shared" si="5"/>
        <v>50</v>
      </c>
      <c r="E76" s="140">
        <f t="shared" si="6"/>
        <v>15</v>
      </c>
      <c r="F76" s="279">
        <f t="shared" si="7"/>
        <v>16.059000000000001</v>
      </c>
      <c r="G76" s="293"/>
      <c r="H76" s="268"/>
      <c r="I76" s="268"/>
    </row>
    <row r="77" spans="1:9" x14ac:dyDescent="0.25">
      <c r="A77" s="275">
        <v>43899</v>
      </c>
      <c r="B77" s="277">
        <v>71</v>
      </c>
      <c r="C77" s="277">
        <v>46</v>
      </c>
      <c r="D77" s="140">
        <f t="shared" si="5"/>
        <v>58.5</v>
      </c>
      <c r="E77" s="140">
        <f t="shared" si="6"/>
        <v>6.5</v>
      </c>
      <c r="F77" s="279">
        <f t="shared" si="7"/>
        <v>6.9588999999999999</v>
      </c>
      <c r="G77" s="293"/>
      <c r="H77" s="268"/>
      <c r="I77" s="268"/>
    </row>
    <row r="78" spans="1:9" x14ac:dyDescent="0.25">
      <c r="A78" s="275">
        <v>43900</v>
      </c>
      <c r="B78" s="277">
        <v>54</v>
      </c>
      <c r="C78" s="277">
        <v>32</v>
      </c>
      <c r="D78" s="140">
        <f t="shared" si="5"/>
        <v>43</v>
      </c>
      <c r="E78" s="140">
        <f t="shared" si="6"/>
        <v>22</v>
      </c>
      <c r="F78" s="279">
        <f t="shared" si="7"/>
        <v>23.5532</v>
      </c>
      <c r="G78" s="293"/>
      <c r="H78" s="268"/>
      <c r="I78" s="268"/>
    </row>
    <row r="79" spans="1:9" x14ac:dyDescent="0.25">
      <c r="A79" s="275">
        <v>43901</v>
      </c>
      <c r="B79" s="277">
        <v>43</v>
      </c>
      <c r="C79" s="277">
        <v>32</v>
      </c>
      <c r="D79" s="140">
        <f t="shared" si="5"/>
        <v>37.5</v>
      </c>
      <c r="E79" s="140">
        <f t="shared" si="6"/>
        <v>27.5</v>
      </c>
      <c r="F79" s="279">
        <f t="shared" si="7"/>
        <v>29.441500000000001</v>
      </c>
      <c r="G79" s="293"/>
      <c r="H79" s="268"/>
      <c r="I79" s="268"/>
    </row>
    <row r="80" spans="1:9" x14ac:dyDescent="0.25">
      <c r="A80" s="275">
        <v>43902</v>
      </c>
      <c r="B80" s="277">
        <v>62</v>
      </c>
      <c r="C80" s="277">
        <v>34</v>
      </c>
      <c r="D80" s="140">
        <f t="shared" si="5"/>
        <v>48</v>
      </c>
      <c r="E80" s="140">
        <f t="shared" si="6"/>
        <v>17</v>
      </c>
      <c r="F80" s="279">
        <f t="shared" si="7"/>
        <v>18.200199999999999</v>
      </c>
      <c r="G80" s="293"/>
      <c r="H80" s="268"/>
      <c r="I80" s="268"/>
    </row>
    <row r="81" spans="1:9" x14ac:dyDescent="0.25">
      <c r="A81" s="275">
        <v>43903</v>
      </c>
      <c r="B81" s="277">
        <v>63</v>
      </c>
      <c r="C81" s="277">
        <v>33</v>
      </c>
      <c r="D81" s="140">
        <f t="shared" si="5"/>
        <v>48</v>
      </c>
      <c r="E81" s="140">
        <f t="shared" si="6"/>
        <v>17</v>
      </c>
      <c r="F81" s="279">
        <f t="shared" si="7"/>
        <v>18.200199999999999</v>
      </c>
      <c r="G81" s="293"/>
      <c r="H81" s="268"/>
      <c r="I81" s="268"/>
    </row>
    <row r="82" spans="1:9" x14ac:dyDescent="0.25">
      <c r="A82" s="275">
        <v>43904</v>
      </c>
      <c r="B82" s="277">
        <v>45</v>
      </c>
      <c r="C82" s="277">
        <v>32</v>
      </c>
      <c r="D82" s="140">
        <f t="shared" si="5"/>
        <v>38.5</v>
      </c>
      <c r="E82" s="140">
        <f t="shared" si="6"/>
        <v>26.5</v>
      </c>
      <c r="F82" s="279">
        <f t="shared" si="7"/>
        <v>28.370899999999999</v>
      </c>
      <c r="G82" s="293"/>
      <c r="H82" s="268"/>
      <c r="I82" s="268"/>
    </row>
    <row r="83" spans="1:9" x14ac:dyDescent="0.25">
      <c r="A83" s="275">
        <v>43905</v>
      </c>
      <c r="B83" s="277">
        <v>36</v>
      </c>
      <c r="C83" s="277">
        <v>32</v>
      </c>
      <c r="D83" s="140">
        <f t="shared" si="5"/>
        <v>34</v>
      </c>
      <c r="E83" s="140">
        <f t="shared" si="6"/>
        <v>31</v>
      </c>
      <c r="F83" s="279">
        <f t="shared" si="7"/>
        <v>33.188600000000001</v>
      </c>
      <c r="G83" s="293"/>
      <c r="H83" s="268"/>
      <c r="I83" s="268"/>
    </row>
    <row r="84" spans="1:9" x14ac:dyDescent="0.25">
      <c r="A84" s="275">
        <v>43906</v>
      </c>
      <c r="B84" s="277">
        <v>37</v>
      </c>
      <c r="C84" s="277">
        <v>32</v>
      </c>
      <c r="D84" s="140">
        <f t="shared" si="5"/>
        <v>34.5</v>
      </c>
      <c r="E84" s="140">
        <f t="shared" si="6"/>
        <v>30.5</v>
      </c>
      <c r="F84" s="279">
        <f t="shared" si="7"/>
        <v>32.653300000000002</v>
      </c>
      <c r="G84" s="293"/>
      <c r="H84" s="268"/>
      <c r="I84" s="268"/>
    </row>
    <row r="85" spans="1:9" x14ac:dyDescent="0.25">
      <c r="A85" s="275">
        <v>43907</v>
      </c>
      <c r="B85" s="277">
        <v>43</v>
      </c>
      <c r="C85" s="277">
        <v>34</v>
      </c>
      <c r="D85" s="140">
        <f t="shared" si="5"/>
        <v>38.5</v>
      </c>
      <c r="E85" s="140">
        <f t="shared" si="6"/>
        <v>26.5</v>
      </c>
      <c r="F85" s="279">
        <f t="shared" si="7"/>
        <v>28.370899999999999</v>
      </c>
      <c r="G85" s="293"/>
      <c r="H85" s="268"/>
      <c r="I85" s="268"/>
    </row>
    <row r="86" spans="1:9" x14ac:dyDescent="0.25">
      <c r="A86" s="275">
        <v>43908</v>
      </c>
      <c r="B86" s="277">
        <v>47</v>
      </c>
      <c r="C86" s="277">
        <v>40</v>
      </c>
      <c r="D86" s="140">
        <f t="shared" si="5"/>
        <v>43.5</v>
      </c>
      <c r="E86" s="140">
        <f t="shared" si="6"/>
        <v>21.5</v>
      </c>
      <c r="F86" s="279">
        <f t="shared" si="7"/>
        <v>23.017900000000001</v>
      </c>
      <c r="G86" s="293"/>
      <c r="H86" s="268"/>
      <c r="I86" s="268"/>
    </row>
    <row r="87" spans="1:9" x14ac:dyDescent="0.25">
      <c r="A87" s="275">
        <v>43909</v>
      </c>
      <c r="B87" s="277">
        <v>59</v>
      </c>
      <c r="C87" s="277">
        <v>44</v>
      </c>
      <c r="D87" s="140">
        <f t="shared" si="5"/>
        <v>51.5</v>
      </c>
      <c r="E87" s="140">
        <f t="shared" si="6"/>
        <v>13.5</v>
      </c>
      <c r="F87" s="279">
        <f t="shared" si="7"/>
        <v>14.453099999999999</v>
      </c>
      <c r="G87" s="293"/>
      <c r="H87" s="268"/>
      <c r="I87" s="268"/>
    </row>
    <row r="88" spans="1:9" x14ac:dyDescent="0.25">
      <c r="A88" s="275">
        <v>43910</v>
      </c>
      <c r="B88" s="277">
        <v>70</v>
      </c>
      <c r="C88" s="277">
        <v>33</v>
      </c>
      <c r="D88" s="140">
        <f t="shared" si="5"/>
        <v>51.5</v>
      </c>
      <c r="E88" s="140">
        <f t="shared" si="6"/>
        <v>13.5</v>
      </c>
      <c r="F88" s="279">
        <f t="shared" si="7"/>
        <v>14.453099999999999</v>
      </c>
      <c r="G88" s="293"/>
      <c r="H88" s="268"/>
      <c r="I88" s="268"/>
    </row>
    <row r="89" spans="1:9" x14ac:dyDescent="0.25">
      <c r="A89" s="275">
        <v>43911</v>
      </c>
      <c r="B89" s="277">
        <v>40</v>
      </c>
      <c r="C89" s="277">
        <v>26</v>
      </c>
      <c r="D89" s="140">
        <f t="shared" si="5"/>
        <v>33</v>
      </c>
      <c r="E89" s="140">
        <f t="shared" si="6"/>
        <v>32</v>
      </c>
      <c r="F89" s="279">
        <f t="shared" si="7"/>
        <v>34.2592</v>
      </c>
      <c r="G89" s="293"/>
      <c r="H89" s="268"/>
      <c r="I89" s="268"/>
    </row>
    <row r="90" spans="1:9" x14ac:dyDescent="0.25">
      <c r="A90" s="275">
        <v>43912</v>
      </c>
      <c r="B90" s="277">
        <v>45</v>
      </c>
      <c r="C90" s="277">
        <v>26</v>
      </c>
      <c r="D90" s="140">
        <f t="shared" si="5"/>
        <v>35.5</v>
      </c>
      <c r="E90" s="140">
        <f t="shared" si="6"/>
        <v>29.5</v>
      </c>
      <c r="F90" s="279">
        <f t="shared" si="7"/>
        <v>31.582699999999999</v>
      </c>
      <c r="G90" s="293"/>
      <c r="H90" s="268"/>
      <c r="I90" s="268"/>
    </row>
    <row r="91" spans="1:9" x14ac:dyDescent="0.25">
      <c r="A91" s="275">
        <v>43913</v>
      </c>
      <c r="B91" s="277">
        <v>37</v>
      </c>
      <c r="C91" s="277">
        <v>32</v>
      </c>
      <c r="D91" s="140">
        <f t="shared" si="5"/>
        <v>34.5</v>
      </c>
      <c r="E91" s="140">
        <f t="shared" si="6"/>
        <v>30.5</v>
      </c>
      <c r="F91" s="279">
        <f t="shared" si="7"/>
        <v>32.653300000000002</v>
      </c>
      <c r="G91" s="293"/>
      <c r="H91" s="268"/>
      <c r="I91" s="268"/>
    </row>
    <row r="92" spans="1:9" x14ac:dyDescent="0.25">
      <c r="A92" s="275">
        <v>43914</v>
      </c>
      <c r="B92" s="277">
        <v>49</v>
      </c>
      <c r="C92" s="277">
        <v>36</v>
      </c>
      <c r="D92" s="140">
        <f t="shared" si="5"/>
        <v>42.5</v>
      </c>
      <c r="E92" s="140">
        <f t="shared" si="6"/>
        <v>22.5</v>
      </c>
      <c r="F92" s="279">
        <f t="shared" si="7"/>
        <v>24.0885</v>
      </c>
      <c r="G92" s="293"/>
      <c r="H92" s="268"/>
      <c r="I92" s="268"/>
    </row>
    <row r="93" spans="1:9" x14ac:dyDescent="0.25">
      <c r="A93" s="275">
        <v>43915</v>
      </c>
      <c r="B93" s="277">
        <v>54</v>
      </c>
      <c r="C93" s="277">
        <v>38</v>
      </c>
      <c r="D93" s="140">
        <f t="shared" si="5"/>
        <v>46</v>
      </c>
      <c r="E93" s="140">
        <f t="shared" si="6"/>
        <v>19</v>
      </c>
      <c r="F93" s="279">
        <f t="shared" si="7"/>
        <v>20.3414</v>
      </c>
      <c r="G93" s="293"/>
      <c r="H93" s="268"/>
      <c r="I93" s="268"/>
    </row>
    <row r="94" spans="1:9" x14ac:dyDescent="0.25">
      <c r="A94" s="275">
        <v>43916</v>
      </c>
      <c r="B94" s="277">
        <v>63</v>
      </c>
      <c r="C94" s="277">
        <v>42</v>
      </c>
      <c r="D94" s="140">
        <f t="shared" si="5"/>
        <v>52.5</v>
      </c>
      <c r="E94" s="140">
        <f t="shared" si="6"/>
        <v>12.5</v>
      </c>
      <c r="F94" s="279">
        <f t="shared" si="7"/>
        <v>13.3825</v>
      </c>
      <c r="G94" s="293"/>
      <c r="H94" s="268"/>
      <c r="I94" s="268"/>
    </row>
    <row r="95" spans="1:9" x14ac:dyDescent="0.25">
      <c r="A95" s="275">
        <v>43917</v>
      </c>
      <c r="B95" s="277">
        <v>57</v>
      </c>
      <c r="C95" s="277">
        <v>49</v>
      </c>
      <c r="D95" s="140">
        <f t="shared" si="5"/>
        <v>53</v>
      </c>
      <c r="E95" s="140">
        <f t="shared" si="6"/>
        <v>12</v>
      </c>
      <c r="F95" s="279">
        <f t="shared" si="7"/>
        <v>12.847200000000001</v>
      </c>
      <c r="G95" s="293"/>
      <c r="H95" s="268"/>
      <c r="I95" s="268"/>
    </row>
    <row r="96" spans="1:9" x14ac:dyDescent="0.25">
      <c r="A96" s="275">
        <v>43918</v>
      </c>
      <c r="B96" s="277">
        <v>56</v>
      </c>
      <c r="C96" s="277">
        <v>49</v>
      </c>
      <c r="D96" s="140">
        <f t="shared" si="5"/>
        <v>52.5</v>
      </c>
      <c r="E96" s="140">
        <f t="shared" si="6"/>
        <v>12.5</v>
      </c>
      <c r="F96" s="279">
        <f t="shared" si="7"/>
        <v>13.3825</v>
      </c>
      <c r="G96" s="293"/>
      <c r="H96" s="268"/>
      <c r="I96" s="268"/>
    </row>
    <row r="97" spans="1:9" x14ac:dyDescent="0.25">
      <c r="A97" s="275">
        <v>43919</v>
      </c>
      <c r="B97" s="277">
        <v>76</v>
      </c>
      <c r="C97" s="277">
        <v>44</v>
      </c>
      <c r="D97" s="140">
        <f t="shared" si="5"/>
        <v>60</v>
      </c>
      <c r="E97" s="140">
        <f t="shared" si="6"/>
        <v>5</v>
      </c>
      <c r="F97" s="279">
        <f t="shared" si="7"/>
        <v>5.3529999999999998</v>
      </c>
      <c r="G97" s="293"/>
      <c r="H97" s="268"/>
      <c r="I97" s="268"/>
    </row>
    <row r="98" spans="1:9" x14ac:dyDescent="0.25">
      <c r="A98" s="275">
        <v>43920</v>
      </c>
      <c r="B98" s="277">
        <v>65</v>
      </c>
      <c r="C98" s="277">
        <v>36</v>
      </c>
      <c r="D98" s="140">
        <f t="shared" si="5"/>
        <v>50.5</v>
      </c>
      <c r="E98" s="140">
        <f t="shared" si="6"/>
        <v>14.5</v>
      </c>
      <c r="F98" s="279">
        <f t="shared" si="7"/>
        <v>15.5237</v>
      </c>
      <c r="G98" s="293"/>
      <c r="H98" s="268"/>
      <c r="I98" s="268"/>
    </row>
    <row r="99" spans="1:9" x14ac:dyDescent="0.25">
      <c r="A99" s="275">
        <v>43921</v>
      </c>
      <c r="B99" s="277">
        <v>67</v>
      </c>
      <c r="C99" s="277">
        <v>37</v>
      </c>
      <c r="D99" s="140">
        <f t="shared" si="5"/>
        <v>52</v>
      </c>
      <c r="E99" s="140">
        <f t="shared" si="6"/>
        <v>13</v>
      </c>
      <c r="F99" s="279">
        <f t="shared" si="7"/>
        <v>13.9178</v>
      </c>
      <c r="G99" s="293"/>
      <c r="H99" s="268"/>
      <c r="I99" s="268"/>
    </row>
    <row r="100" spans="1:9" x14ac:dyDescent="0.25">
      <c r="A100" s="275">
        <v>43922</v>
      </c>
      <c r="B100" s="277">
        <v>66</v>
      </c>
      <c r="C100" s="277">
        <v>41</v>
      </c>
      <c r="D100" s="140">
        <f t="shared" si="5"/>
        <v>53.5</v>
      </c>
      <c r="E100" s="140">
        <f t="shared" si="6"/>
        <v>11.5</v>
      </c>
      <c r="F100" s="279">
        <f t="shared" si="7"/>
        <v>12.793750000000001</v>
      </c>
      <c r="G100" s="293"/>
      <c r="H100" s="268"/>
      <c r="I100" s="268"/>
    </row>
    <row r="101" spans="1:9" x14ac:dyDescent="0.25">
      <c r="A101" s="275">
        <v>43923</v>
      </c>
      <c r="B101" s="277">
        <v>69</v>
      </c>
      <c r="C101" s="277">
        <v>41</v>
      </c>
      <c r="D101" s="140">
        <f t="shared" si="5"/>
        <v>55</v>
      </c>
      <c r="E101" s="140">
        <f t="shared" si="6"/>
        <v>10</v>
      </c>
      <c r="F101" s="279">
        <f t="shared" si="7"/>
        <v>11.125</v>
      </c>
      <c r="G101" s="293"/>
      <c r="H101" s="268"/>
      <c r="I101" s="268"/>
    </row>
    <row r="102" spans="1:9" x14ac:dyDescent="0.25">
      <c r="A102" s="275">
        <v>43924</v>
      </c>
      <c r="B102" s="277">
        <v>70</v>
      </c>
      <c r="C102" s="277">
        <v>35</v>
      </c>
      <c r="D102" s="140">
        <f t="shared" si="5"/>
        <v>52.5</v>
      </c>
      <c r="E102" s="140">
        <f t="shared" si="6"/>
        <v>12.5</v>
      </c>
      <c r="F102" s="279">
        <f t="shared" si="7"/>
        <v>13.90625</v>
      </c>
      <c r="G102" s="293"/>
      <c r="H102" s="268"/>
      <c r="I102" s="268"/>
    </row>
    <row r="103" spans="1:9" x14ac:dyDescent="0.25">
      <c r="A103" s="275">
        <v>43925</v>
      </c>
      <c r="B103" s="277">
        <v>35</v>
      </c>
      <c r="C103" s="277">
        <v>29</v>
      </c>
      <c r="D103" s="140">
        <f t="shared" si="5"/>
        <v>32</v>
      </c>
      <c r="E103" s="140">
        <f t="shared" si="6"/>
        <v>33</v>
      </c>
      <c r="F103" s="279">
        <f t="shared" si="7"/>
        <v>36.712499999999999</v>
      </c>
      <c r="G103" s="293"/>
      <c r="H103" s="268"/>
      <c r="I103" s="268"/>
    </row>
    <row r="104" spans="1:9" x14ac:dyDescent="0.25">
      <c r="A104" s="275">
        <v>43926</v>
      </c>
      <c r="B104" s="277">
        <v>45</v>
      </c>
      <c r="C104" s="277">
        <v>29</v>
      </c>
      <c r="D104" s="140">
        <f t="shared" si="5"/>
        <v>37</v>
      </c>
      <c r="E104" s="140">
        <f t="shared" si="6"/>
        <v>28</v>
      </c>
      <c r="F104" s="279">
        <f t="shared" si="7"/>
        <v>31.150000000000002</v>
      </c>
      <c r="G104" s="293"/>
      <c r="H104" s="268"/>
      <c r="I104" s="268"/>
    </row>
    <row r="105" spans="1:9" x14ac:dyDescent="0.25">
      <c r="A105" s="275">
        <v>43927</v>
      </c>
      <c r="B105" s="277">
        <v>54</v>
      </c>
      <c r="C105" s="277">
        <v>35</v>
      </c>
      <c r="D105" s="140">
        <f t="shared" si="5"/>
        <v>44.5</v>
      </c>
      <c r="E105" s="140">
        <f t="shared" si="6"/>
        <v>20.5</v>
      </c>
      <c r="F105" s="279">
        <f t="shared" si="7"/>
        <v>22.806250000000002</v>
      </c>
      <c r="G105" s="293"/>
      <c r="H105" s="268"/>
      <c r="I105" s="268"/>
    </row>
    <row r="106" spans="1:9" x14ac:dyDescent="0.25">
      <c r="A106" s="275">
        <v>43928</v>
      </c>
      <c r="B106" s="277">
        <v>64</v>
      </c>
      <c r="C106" s="277">
        <v>51</v>
      </c>
      <c r="D106" s="140">
        <f t="shared" si="5"/>
        <v>57.5</v>
      </c>
      <c r="E106" s="140">
        <f t="shared" si="6"/>
        <v>7.5</v>
      </c>
      <c r="F106" s="279">
        <f t="shared" si="7"/>
        <v>8.34375</v>
      </c>
      <c r="G106" s="293"/>
      <c r="H106" s="268"/>
      <c r="I106" s="268"/>
    </row>
    <row r="107" spans="1:9" x14ac:dyDescent="0.25">
      <c r="A107" s="275">
        <v>43929</v>
      </c>
      <c r="B107" s="277">
        <v>80</v>
      </c>
      <c r="C107" s="277">
        <v>51</v>
      </c>
      <c r="D107" s="140">
        <f t="shared" si="5"/>
        <v>65.5</v>
      </c>
      <c r="E107" s="140">
        <f t="shared" si="6"/>
        <v>0</v>
      </c>
      <c r="F107" s="279">
        <f t="shared" si="7"/>
        <v>0</v>
      </c>
      <c r="G107" s="293"/>
      <c r="H107" s="268"/>
      <c r="I107" s="268"/>
    </row>
    <row r="108" spans="1:9" x14ac:dyDescent="0.25">
      <c r="A108" s="275">
        <v>43930</v>
      </c>
      <c r="B108" s="277">
        <v>87</v>
      </c>
      <c r="C108" s="277">
        <v>39</v>
      </c>
      <c r="D108" s="140">
        <f t="shared" si="5"/>
        <v>63</v>
      </c>
      <c r="E108" s="140">
        <f t="shared" si="6"/>
        <v>2</v>
      </c>
      <c r="F108" s="279">
        <f t="shared" si="7"/>
        <v>2.2250000000000001</v>
      </c>
      <c r="G108" s="293"/>
      <c r="H108" s="268"/>
      <c r="I108" s="268"/>
    </row>
    <row r="109" spans="1:9" x14ac:dyDescent="0.25">
      <c r="A109" s="275">
        <v>43931</v>
      </c>
      <c r="B109" s="277">
        <v>57</v>
      </c>
      <c r="C109" s="277">
        <v>27</v>
      </c>
      <c r="D109" s="140">
        <f t="shared" si="5"/>
        <v>42</v>
      </c>
      <c r="E109" s="140">
        <f t="shared" si="6"/>
        <v>23</v>
      </c>
      <c r="F109" s="279">
        <f t="shared" si="7"/>
        <v>25.587500000000002</v>
      </c>
      <c r="G109" s="293"/>
      <c r="H109" s="268"/>
      <c r="I109" s="268"/>
    </row>
    <row r="110" spans="1:9" x14ac:dyDescent="0.25">
      <c r="A110" s="275">
        <v>43932</v>
      </c>
      <c r="B110" s="277">
        <v>55</v>
      </c>
      <c r="C110" s="277">
        <v>30</v>
      </c>
      <c r="D110" s="140">
        <f t="shared" si="5"/>
        <v>42.5</v>
      </c>
      <c r="E110" s="140">
        <f t="shared" si="6"/>
        <v>22.5</v>
      </c>
      <c r="F110" s="279">
        <f t="shared" si="7"/>
        <v>25.03125</v>
      </c>
      <c r="G110" s="293"/>
      <c r="H110" s="268"/>
      <c r="I110" s="268"/>
    </row>
    <row r="111" spans="1:9" x14ac:dyDescent="0.25">
      <c r="A111" s="275">
        <v>43933</v>
      </c>
      <c r="B111" s="277">
        <v>66</v>
      </c>
      <c r="C111" s="277">
        <v>45</v>
      </c>
      <c r="D111" s="140">
        <f t="shared" si="5"/>
        <v>55.5</v>
      </c>
      <c r="E111" s="140">
        <f t="shared" si="6"/>
        <v>9.5</v>
      </c>
      <c r="F111" s="279">
        <f t="shared" si="7"/>
        <v>10.56875</v>
      </c>
      <c r="G111" s="293"/>
      <c r="H111" s="268"/>
      <c r="I111" s="268"/>
    </row>
    <row r="112" spans="1:9" x14ac:dyDescent="0.25">
      <c r="A112" s="275">
        <v>43934</v>
      </c>
      <c r="B112" s="277">
        <v>66</v>
      </c>
      <c r="C112" s="277">
        <v>28</v>
      </c>
      <c r="D112" s="140">
        <f t="shared" si="5"/>
        <v>47</v>
      </c>
      <c r="E112" s="140">
        <f t="shared" si="6"/>
        <v>18</v>
      </c>
      <c r="F112" s="279">
        <f t="shared" si="7"/>
        <v>20.025000000000002</v>
      </c>
      <c r="G112" s="293"/>
      <c r="H112" s="268"/>
      <c r="I112" s="268"/>
    </row>
    <row r="113" spans="1:9" x14ac:dyDescent="0.25">
      <c r="A113" s="275">
        <v>43935</v>
      </c>
      <c r="B113" s="277">
        <v>43</v>
      </c>
      <c r="C113" s="277">
        <v>28</v>
      </c>
      <c r="D113" s="140">
        <f t="shared" si="5"/>
        <v>35.5</v>
      </c>
      <c r="E113" s="140">
        <f t="shared" si="6"/>
        <v>29.5</v>
      </c>
      <c r="F113" s="279">
        <f t="shared" si="7"/>
        <v>32.818750000000001</v>
      </c>
      <c r="G113" s="293"/>
      <c r="H113" s="268"/>
      <c r="I113" s="268"/>
    </row>
    <row r="114" spans="1:9" x14ac:dyDescent="0.25">
      <c r="A114" s="275">
        <v>43936</v>
      </c>
      <c r="B114" s="277">
        <v>48</v>
      </c>
      <c r="C114" s="277">
        <v>29</v>
      </c>
      <c r="D114" s="140">
        <f t="shared" si="5"/>
        <v>38.5</v>
      </c>
      <c r="E114" s="140">
        <f t="shared" si="6"/>
        <v>26.5</v>
      </c>
      <c r="F114" s="279">
        <f t="shared" si="7"/>
        <v>29.481250000000003</v>
      </c>
      <c r="G114" s="293"/>
      <c r="H114" s="268"/>
      <c r="I114" s="268"/>
    </row>
    <row r="115" spans="1:9" x14ac:dyDescent="0.25">
      <c r="A115" s="275">
        <v>43937</v>
      </c>
      <c r="B115" s="277">
        <v>50</v>
      </c>
      <c r="C115" s="277">
        <v>30</v>
      </c>
      <c r="D115" s="140">
        <f t="shared" si="5"/>
        <v>40</v>
      </c>
      <c r="E115" s="140">
        <f t="shared" si="6"/>
        <v>25</v>
      </c>
      <c r="F115" s="279">
        <f t="shared" si="7"/>
        <v>27.8125</v>
      </c>
      <c r="G115" s="293"/>
      <c r="H115" s="268"/>
      <c r="I115" s="268"/>
    </row>
    <row r="116" spans="1:9" x14ac:dyDescent="0.25">
      <c r="A116" s="275">
        <v>43938</v>
      </c>
      <c r="B116" s="277">
        <v>39</v>
      </c>
      <c r="C116" s="277">
        <v>32</v>
      </c>
      <c r="D116" s="140">
        <f t="shared" si="5"/>
        <v>35.5</v>
      </c>
      <c r="E116" s="140">
        <f t="shared" si="6"/>
        <v>29.5</v>
      </c>
      <c r="F116" s="279">
        <f t="shared" si="7"/>
        <v>32.818750000000001</v>
      </c>
      <c r="G116" s="293"/>
      <c r="H116" s="268"/>
      <c r="I116" s="268"/>
    </row>
    <row r="117" spans="1:9" x14ac:dyDescent="0.25">
      <c r="A117" s="275">
        <v>43939</v>
      </c>
      <c r="B117" s="277">
        <v>45</v>
      </c>
      <c r="C117" s="277">
        <v>32</v>
      </c>
      <c r="D117" s="140">
        <f t="shared" si="5"/>
        <v>38.5</v>
      </c>
      <c r="E117" s="140">
        <f t="shared" si="6"/>
        <v>26.5</v>
      </c>
      <c r="F117" s="279">
        <f t="shared" si="7"/>
        <v>29.481250000000003</v>
      </c>
      <c r="G117" s="293"/>
      <c r="H117" s="268"/>
      <c r="I117" s="268"/>
    </row>
    <row r="118" spans="1:9" x14ac:dyDescent="0.25">
      <c r="A118" s="275">
        <v>43940</v>
      </c>
      <c r="B118" s="277">
        <v>61</v>
      </c>
      <c r="C118" s="277">
        <v>34</v>
      </c>
      <c r="D118" s="140">
        <f t="shared" si="5"/>
        <v>47.5</v>
      </c>
      <c r="E118" s="140">
        <f t="shared" si="6"/>
        <v>17.5</v>
      </c>
      <c r="F118" s="279">
        <f t="shared" si="7"/>
        <v>19.46875</v>
      </c>
      <c r="G118" s="293"/>
      <c r="H118" s="268"/>
      <c r="I118" s="268"/>
    </row>
    <row r="119" spans="1:9" x14ac:dyDescent="0.25">
      <c r="A119" s="275">
        <v>43941</v>
      </c>
      <c r="B119" s="277">
        <v>65</v>
      </c>
      <c r="C119" s="277">
        <v>40</v>
      </c>
      <c r="D119" s="140">
        <f t="shared" si="5"/>
        <v>52.5</v>
      </c>
      <c r="E119" s="140">
        <f t="shared" si="6"/>
        <v>12.5</v>
      </c>
      <c r="F119" s="279">
        <f t="shared" si="7"/>
        <v>13.90625</v>
      </c>
      <c r="G119" s="293"/>
      <c r="H119" s="268"/>
      <c r="I119" s="268"/>
    </row>
    <row r="120" spans="1:9" x14ac:dyDescent="0.25">
      <c r="A120" s="275">
        <v>43942</v>
      </c>
      <c r="B120" s="277">
        <v>68</v>
      </c>
      <c r="C120" s="277">
        <v>42</v>
      </c>
      <c r="D120" s="140">
        <f t="shared" si="5"/>
        <v>55</v>
      </c>
      <c r="E120" s="140">
        <f t="shared" si="6"/>
        <v>10</v>
      </c>
      <c r="F120" s="279">
        <f t="shared" si="7"/>
        <v>11.125</v>
      </c>
      <c r="G120" s="293"/>
      <c r="H120" s="268"/>
      <c r="I120" s="268"/>
    </row>
    <row r="121" spans="1:9" x14ac:dyDescent="0.25">
      <c r="A121" s="275">
        <v>43943</v>
      </c>
      <c r="B121" s="277">
        <v>67</v>
      </c>
      <c r="C121" s="277">
        <v>45</v>
      </c>
      <c r="D121" s="140">
        <f t="shared" si="5"/>
        <v>56</v>
      </c>
      <c r="E121" s="140">
        <f t="shared" si="6"/>
        <v>9</v>
      </c>
      <c r="F121" s="279">
        <f t="shared" si="7"/>
        <v>10.012500000000001</v>
      </c>
      <c r="G121" s="293"/>
      <c r="H121" s="268"/>
      <c r="I121" s="268"/>
    </row>
    <row r="122" spans="1:9" x14ac:dyDescent="0.25">
      <c r="A122" s="275">
        <v>43944</v>
      </c>
      <c r="B122" s="277">
        <v>71</v>
      </c>
      <c r="C122" s="277">
        <v>50</v>
      </c>
      <c r="D122" s="140">
        <f t="shared" si="5"/>
        <v>60.5</v>
      </c>
      <c r="E122" s="140">
        <f t="shared" si="6"/>
        <v>4.5</v>
      </c>
      <c r="F122" s="279">
        <f t="shared" si="7"/>
        <v>5.0062500000000005</v>
      </c>
      <c r="G122" s="293"/>
      <c r="H122" s="268"/>
      <c r="I122" s="268"/>
    </row>
    <row r="123" spans="1:9" x14ac:dyDescent="0.25">
      <c r="A123" s="275">
        <v>43945</v>
      </c>
      <c r="B123" s="277">
        <v>72</v>
      </c>
      <c r="C123" s="277">
        <v>53</v>
      </c>
      <c r="D123" s="140">
        <f t="shared" si="5"/>
        <v>62.5</v>
      </c>
      <c r="E123" s="140">
        <f t="shared" si="6"/>
        <v>2.5</v>
      </c>
      <c r="F123" s="279">
        <f t="shared" si="7"/>
        <v>2.78125</v>
      </c>
      <c r="G123" s="293"/>
      <c r="H123" s="268"/>
      <c r="I123" s="268"/>
    </row>
    <row r="124" spans="1:9" x14ac:dyDescent="0.25">
      <c r="A124" s="275">
        <v>43946</v>
      </c>
      <c r="B124" s="277">
        <v>66</v>
      </c>
      <c r="C124" s="277">
        <v>48</v>
      </c>
      <c r="D124" s="140">
        <f t="shared" si="5"/>
        <v>57</v>
      </c>
      <c r="E124" s="140">
        <f t="shared" si="6"/>
        <v>8</v>
      </c>
      <c r="F124" s="279">
        <f t="shared" si="7"/>
        <v>8.9</v>
      </c>
      <c r="G124" s="293"/>
      <c r="H124" s="268"/>
      <c r="I124" s="268"/>
    </row>
    <row r="125" spans="1:9" x14ac:dyDescent="0.25">
      <c r="A125" s="275">
        <v>43947</v>
      </c>
      <c r="B125" s="277">
        <v>65</v>
      </c>
      <c r="C125" s="277">
        <v>43</v>
      </c>
      <c r="D125" s="140">
        <f t="shared" si="5"/>
        <v>54</v>
      </c>
      <c r="E125" s="140">
        <f t="shared" si="6"/>
        <v>11</v>
      </c>
      <c r="F125" s="279">
        <f t="shared" si="7"/>
        <v>12.237500000000001</v>
      </c>
      <c r="G125" s="293"/>
      <c r="H125" s="268"/>
      <c r="I125" s="268"/>
    </row>
    <row r="126" spans="1:9" x14ac:dyDescent="0.25">
      <c r="A126" s="275">
        <v>43948</v>
      </c>
      <c r="B126" s="277">
        <v>70</v>
      </c>
      <c r="C126" s="277">
        <v>51</v>
      </c>
      <c r="D126" s="140">
        <f t="shared" si="5"/>
        <v>60.5</v>
      </c>
      <c r="E126" s="140">
        <f t="shared" si="6"/>
        <v>4.5</v>
      </c>
      <c r="F126" s="279">
        <f t="shared" si="7"/>
        <v>5.0062500000000005</v>
      </c>
      <c r="G126" s="293"/>
      <c r="H126" s="268"/>
      <c r="I126" s="268"/>
    </row>
    <row r="127" spans="1:9" x14ac:dyDescent="0.25">
      <c r="A127" s="275">
        <v>43949</v>
      </c>
      <c r="B127" s="277">
        <v>76</v>
      </c>
      <c r="C127" s="277">
        <v>53</v>
      </c>
      <c r="D127" s="140">
        <f t="shared" si="5"/>
        <v>64.5</v>
      </c>
      <c r="E127" s="140">
        <f t="shared" si="6"/>
        <v>0.5</v>
      </c>
      <c r="F127" s="279">
        <f t="shared" si="7"/>
        <v>0.55625000000000002</v>
      </c>
      <c r="G127" s="293"/>
      <c r="H127" s="268"/>
      <c r="I127" s="268"/>
    </row>
    <row r="128" spans="1:9" x14ac:dyDescent="0.25">
      <c r="A128" s="275">
        <v>43950</v>
      </c>
      <c r="B128" s="277">
        <v>76</v>
      </c>
      <c r="C128" s="277">
        <v>50</v>
      </c>
      <c r="D128" s="140">
        <f t="shared" si="5"/>
        <v>63</v>
      </c>
      <c r="E128" s="140">
        <f t="shared" si="6"/>
        <v>2</v>
      </c>
      <c r="F128" s="279">
        <f t="shared" si="7"/>
        <v>2.2250000000000001</v>
      </c>
      <c r="G128" s="293"/>
      <c r="H128" s="268"/>
      <c r="I128" s="268"/>
    </row>
    <row r="129" spans="1:9" x14ac:dyDescent="0.25">
      <c r="A129" s="275">
        <v>43951</v>
      </c>
      <c r="B129" s="277">
        <v>67</v>
      </c>
      <c r="C129" s="277">
        <v>46</v>
      </c>
      <c r="D129" s="140">
        <f t="shared" si="5"/>
        <v>56.5</v>
      </c>
      <c r="E129" s="140">
        <f t="shared" si="6"/>
        <v>8.5</v>
      </c>
      <c r="F129" s="279">
        <f t="shared" si="7"/>
        <v>9.4562500000000007</v>
      </c>
      <c r="G129" s="293"/>
      <c r="H129" s="268"/>
      <c r="I129" s="268"/>
    </row>
    <row r="130" spans="1:9" x14ac:dyDescent="0.25">
      <c r="A130" s="275">
        <v>43952</v>
      </c>
      <c r="B130" s="277">
        <v>73</v>
      </c>
      <c r="C130" s="277">
        <v>47</v>
      </c>
      <c r="D130" s="140">
        <f t="shared" si="5"/>
        <v>60</v>
      </c>
      <c r="E130" s="140">
        <f t="shared" si="6"/>
        <v>5</v>
      </c>
      <c r="F130" s="279">
        <f t="shared" si="7"/>
        <v>6.4414999999999996</v>
      </c>
      <c r="G130" s="293"/>
      <c r="H130" s="268"/>
      <c r="I130" s="268"/>
    </row>
    <row r="131" spans="1:9" x14ac:dyDescent="0.25">
      <c r="A131" s="275">
        <v>43953</v>
      </c>
      <c r="B131" s="277">
        <v>79</v>
      </c>
      <c r="C131" s="277">
        <v>47</v>
      </c>
      <c r="D131" s="140">
        <f t="shared" si="5"/>
        <v>63</v>
      </c>
      <c r="E131" s="140">
        <f t="shared" si="6"/>
        <v>2</v>
      </c>
      <c r="F131" s="279">
        <f t="shared" si="7"/>
        <v>2.5766</v>
      </c>
      <c r="G131" s="293"/>
      <c r="H131" s="268"/>
      <c r="I131" s="268"/>
    </row>
    <row r="132" spans="1:9" x14ac:dyDescent="0.25">
      <c r="A132" s="275">
        <v>43954</v>
      </c>
      <c r="B132" s="277">
        <v>81</v>
      </c>
      <c r="C132" s="277">
        <v>59</v>
      </c>
      <c r="D132" s="140">
        <f t="shared" si="5"/>
        <v>70</v>
      </c>
      <c r="E132" s="140">
        <f t="shared" si="6"/>
        <v>0</v>
      </c>
      <c r="F132" s="279">
        <f t="shared" si="7"/>
        <v>0</v>
      </c>
      <c r="G132" s="293"/>
      <c r="H132" s="268"/>
      <c r="I132" s="268"/>
    </row>
    <row r="133" spans="1:9" x14ac:dyDescent="0.25">
      <c r="A133" s="275">
        <v>43955</v>
      </c>
      <c r="B133" s="277">
        <v>74</v>
      </c>
      <c r="C133" s="277">
        <v>50</v>
      </c>
      <c r="D133" s="140">
        <f t="shared" si="5"/>
        <v>62</v>
      </c>
      <c r="E133" s="140">
        <f t="shared" si="6"/>
        <v>3</v>
      </c>
      <c r="F133" s="279">
        <f t="shared" si="7"/>
        <v>3.8649</v>
      </c>
      <c r="G133" s="293"/>
      <c r="H133" s="268"/>
      <c r="I133" s="268"/>
    </row>
    <row r="134" spans="1:9" x14ac:dyDescent="0.25">
      <c r="A134" s="275">
        <v>43956</v>
      </c>
      <c r="B134" s="277">
        <v>61</v>
      </c>
      <c r="C134" s="277">
        <v>48</v>
      </c>
      <c r="D134" s="140">
        <f t="shared" si="5"/>
        <v>54.5</v>
      </c>
      <c r="E134" s="140">
        <f t="shared" si="6"/>
        <v>10.5</v>
      </c>
      <c r="F134" s="279">
        <f t="shared" si="7"/>
        <v>13.527150000000001</v>
      </c>
      <c r="G134" s="293"/>
      <c r="H134" s="268"/>
      <c r="I134" s="268"/>
    </row>
    <row r="135" spans="1:9" x14ac:dyDescent="0.25">
      <c r="A135" s="275">
        <v>43957</v>
      </c>
      <c r="B135" s="277">
        <v>67</v>
      </c>
      <c r="C135" s="277">
        <v>42</v>
      </c>
      <c r="D135" s="140">
        <f t="shared" si="5"/>
        <v>54.5</v>
      </c>
      <c r="E135" s="140">
        <f t="shared" si="6"/>
        <v>10.5</v>
      </c>
      <c r="F135" s="279">
        <f t="shared" si="7"/>
        <v>13.527150000000001</v>
      </c>
      <c r="G135" s="293"/>
      <c r="H135" s="268"/>
      <c r="I135" s="268"/>
    </row>
    <row r="136" spans="1:9" x14ac:dyDescent="0.25">
      <c r="A136" s="275">
        <v>43958</v>
      </c>
      <c r="B136" s="277">
        <v>58</v>
      </c>
      <c r="C136" s="277">
        <v>41</v>
      </c>
      <c r="D136" s="140">
        <f t="shared" si="5"/>
        <v>49.5</v>
      </c>
      <c r="E136" s="140">
        <f t="shared" si="6"/>
        <v>15.5</v>
      </c>
      <c r="F136" s="279">
        <f t="shared" si="7"/>
        <v>19.96865</v>
      </c>
      <c r="G136" s="293"/>
      <c r="H136" s="268"/>
      <c r="I136" s="268"/>
    </row>
    <row r="137" spans="1:9" x14ac:dyDescent="0.25">
      <c r="A137" s="275">
        <v>43959</v>
      </c>
      <c r="B137" s="277">
        <v>66</v>
      </c>
      <c r="C137" s="277">
        <v>46</v>
      </c>
      <c r="D137" s="140">
        <f t="shared" si="5"/>
        <v>56</v>
      </c>
      <c r="E137" s="140">
        <f t="shared" si="6"/>
        <v>9</v>
      </c>
      <c r="F137" s="279">
        <f t="shared" si="7"/>
        <v>11.5947</v>
      </c>
      <c r="G137" s="293"/>
      <c r="H137" s="268"/>
      <c r="I137" s="268"/>
    </row>
    <row r="138" spans="1:9" x14ac:dyDescent="0.25">
      <c r="A138" s="275">
        <v>43960</v>
      </c>
      <c r="B138" s="277">
        <v>57</v>
      </c>
      <c r="C138" s="277">
        <v>36</v>
      </c>
      <c r="D138" s="140">
        <f t="shared" ref="D138:D201" si="8">(B138+C138)/2</f>
        <v>46.5</v>
      </c>
      <c r="E138" s="140">
        <f t="shared" ref="E138:E201" si="9">IF(65-D138&gt;0,65-D138,0)</f>
        <v>18.5</v>
      </c>
      <c r="F138" s="279">
        <f t="shared" ref="F138:F201" si="10">E138*(1+VLOOKUP(TEXT(A138,"MMM"),$H$9:$I$20,2,FALSE))</f>
        <v>23.833549999999999</v>
      </c>
      <c r="G138" s="293"/>
      <c r="H138" s="268"/>
      <c r="I138" s="268"/>
    </row>
    <row r="139" spans="1:9" x14ac:dyDescent="0.25">
      <c r="A139" s="275">
        <v>43961</v>
      </c>
      <c r="B139" s="277">
        <v>65</v>
      </c>
      <c r="C139" s="277">
        <v>40</v>
      </c>
      <c r="D139" s="140">
        <f t="shared" si="8"/>
        <v>52.5</v>
      </c>
      <c r="E139" s="140">
        <f t="shared" si="9"/>
        <v>12.5</v>
      </c>
      <c r="F139" s="279">
        <f t="shared" si="10"/>
        <v>16.103750000000002</v>
      </c>
      <c r="G139" s="293"/>
      <c r="H139" s="268"/>
      <c r="I139" s="268"/>
    </row>
    <row r="140" spans="1:9" x14ac:dyDescent="0.25">
      <c r="A140" s="275">
        <v>43962</v>
      </c>
      <c r="B140" s="277">
        <v>59</v>
      </c>
      <c r="C140" s="277">
        <v>37</v>
      </c>
      <c r="D140" s="140">
        <f t="shared" si="8"/>
        <v>48</v>
      </c>
      <c r="E140" s="140">
        <f t="shared" si="9"/>
        <v>17</v>
      </c>
      <c r="F140" s="279">
        <f t="shared" si="10"/>
        <v>21.9011</v>
      </c>
      <c r="G140" s="293"/>
      <c r="H140" s="268"/>
      <c r="I140" s="268"/>
    </row>
    <row r="141" spans="1:9" x14ac:dyDescent="0.25">
      <c r="A141" s="275">
        <v>43963</v>
      </c>
      <c r="B141" s="277">
        <v>56</v>
      </c>
      <c r="C141" s="277">
        <v>42</v>
      </c>
      <c r="D141" s="140">
        <f t="shared" si="8"/>
        <v>49</v>
      </c>
      <c r="E141" s="140">
        <f t="shared" si="9"/>
        <v>16</v>
      </c>
      <c r="F141" s="279">
        <f t="shared" si="10"/>
        <v>20.6128</v>
      </c>
      <c r="G141" s="293"/>
      <c r="H141" s="268"/>
      <c r="I141" s="268"/>
    </row>
    <row r="142" spans="1:9" x14ac:dyDescent="0.25">
      <c r="A142" s="275">
        <v>43964</v>
      </c>
      <c r="B142" s="277">
        <v>56</v>
      </c>
      <c r="C142" s="277">
        <v>45</v>
      </c>
      <c r="D142" s="140">
        <f t="shared" si="8"/>
        <v>50.5</v>
      </c>
      <c r="E142" s="140">
        <f t="shared" si="9"/>
        <v>14.5</v>
      </c>
      <c r="F142" s="279">
        <f t="shared" si="10"/>
        <v>18.680350000000001</v>
      </c>
      <c r="G142" s="293"/>
      <c r="H142" s="268"/>
      <c r="I142" s="268"/>
    </row>
    <row r="143" spans="1:9" x14ac:dyDescent="0.25">
      <c r="A143" s="275">
        <v>43965</v>
      </c>
      <c r="B143" s="277">
        <v>63</v>
      </c>
      <c r="C143" s="277">
        <v>49</v>
      </c>
      <c r="D143" s="140">
        <f t="shared" si="8"/>
        <v>56</v>
      </c>
      <c r="E143" s="140">
        <f t="shared" si="9"/>
        <v>9</v>
      </c>
      <c r="F143" s="279">
        <f t="shared" si="10"/>
        <v>11.5947</v>
      </c>
      <c r="G143" s="293"/>
      <c r="H143" s="268"/>
      <c r="I143" s="268"/>
    </row>
    <row r="144" spans="1:9" x14ac:dyDescent="0.25">
      <c r="A144" s="275">
        <v>43966</v>
      </c>
      <c r="B144" s="277">
        <v>80</v>
      </c>
      <c r="C144" s="277">
        <v>61</v>
      </c>
      <c r="D144" s="140">
        <f t="shared" si="8"/>
        <v>70.5</v>
      </c>
      <c r="E144" s="140">
        <f t="shared" si="9"/>
        <v>0</v>
      </c>
      <c r="F144" s="279">
        <f t="shared" si="10"/>
        <v>0</v>
      </c>
      <c r="G144" s="293"/>
      <c r="H144" s="268"/>
      <c r="I144" s="268"/>
    </row>
    <row r="145" spans="1:9" x14ac:dyDescent="0.25">
      <c r="A145" s="275">
        <v>43967</v>
      </c>
      <c r="B145" s="277">
        <v>73</v>
      </c>
      <c r="C145" s="277">
        <v>59</v>
      </c>
      <c r="D145" s="140">
        <f t="shared" si="8"/>
        <v>66</v>
      </c>
      <c r="E145" s="140">
        <f t="shared" si="9"/>
        <v>0</v>
      </c>
      <c r="F145" s="279">
        <f t="shared" si="10"/>
        <v>0</v>
      </c>
      <c r="G145" s="293"/>
      <c r="H145" s="268"/>
      <c r="I145" s="268"/>
    </row>
    <row r="146" spans="1:9" x14ac:dyDescent="0.25">
      <c r="A146" s="275">
        <v>43968</v>
      </c>
      <c r="B146" s="277">
        <v>74</v>
      </c>
      <c r="C146" s="277">
        <v>56</v>
      </c>
      <c r="D146" s="140">
        <f t="shared" si="8"/>
        <v>65</v>
      </c>
      <c r="E146" s="140">
        <f t="shared" si="9"/>
        <v>0</v>
      </c>
      <c r="F146" s="279">
        <f t="shared" si="10"/>
        <v>0</v>
      </c>
      <c r="G146" s="293"/>
      <c r="H146" s="268"/>
      <c r="I146" s="268"/>
    </row>
    <row r="147" spans="1:9" x14ac:dyDescent="0.25">
      <c r="A147" s="275">
        <v>43969</v>
      </c>
      <c r="B147" s="277">
        <v>68</v>
      </c>
      <c r="C147" s="277">
        <v>54</v>
      </c>
      <c r="D147" s="140">
        <f t="shared" si="8"/>
        <v>61</v>
      </c>
      <c r="E147" s="140">
        <f t="shared" si="9"/>
        <v>4</v>
      </c>
      <c r="F147" s="279">
        <f t="shared" si="10"/>
        <v>5.1532</v>
      </c>
      <c r="G147" s="293"/>
      <c r="H147" s="268"/>
      <c r="I147" s="268"/>
    </row>
    <row r="148" spans="1:9" x14ac:dyDescent="0.25">
      <c r="A148" s="275">
        <v>43970</v>
      </c>
      <c r="B148" s="277">
        <v>60</v>
      </c>
      <c r="C148" s="277">
        <v>54</v>
      </c>
      <c r="D148" s="140">
        <f t="shared" si="8"/>
        <v>57</v>
      </c>
      <c r="E148" s="140">
        <f t="shared" si="9"/>
        <v>8</v>
      </c>
      <c r="F148" s="279">
        <f t="shared" si="10"/>
        <v>10.3064</v>
      </c>
      <c r="G148" s="293"/>
      <c r="H148" s="268"/>
      <c r="I148" s="268"/>
    </row>
    <row r="149" spans="1:9" x14ac:dyDescent="0.25">
      <c r="A149" s="275">
        <v>43971</v>
      </c>
      <c r="B149" s="277">
        <v>65</v>
      </c>
      <c r="C149" s="277">
        <v>54</v>
      </c>
      <c r="D149" s="140">
        <f t="shared" si="8"/>
        <v>59.5</v>
      </c>
      <c r="E149" s="140">
        <f t="shared" si="9"/>
        <v>5.5</v>
      </c>
      <c r="F149" s="279">
        <f t="shared" si="10"/>
        <v>7.0856500000000002</v>
      </c>
      <c r="G149" s="293"/>
      <c r="H149" s="268"/>
      <c r="I149" s="268"/>
    </row>
    <row r="150" spans="1:9" x14ac:dyDescent="0.25">
      <c r="A150" s="275">
        <v>43972</v>
      </c>
      <c r="B150" s="277">
        <v>67</v>
      </c>
      <c r="C150" s="277">
        <v>57</v>
      </c>
      <c r="D150" s="140">
        <f t="shared" si="8"/>
        <v>62</v>
      </c>
      <c r="E150" s="140">
        <f t="shared" si="9"/>
        <v>3</v>
      </c>
      <c r="F150" s="279">
        <f t="shared" si="10"/>
        <v>3.8649</v>
      </c>
      <c r="G150" s="293"/>
      <c r="H150" s="268"/>
      <c r="I150" s="268"/>
    </row>
    <row r="151" spans="1:9" x14ac:dyDescent="0.25">
      <c r="A151" s="275">
        <v>43973</v>
      </c>
      <c r="B151" s="277">
        <v>67</v>
      </c>
      <c r="C151" s="277">
        <v>57</v>
      </c>
      <c r="D151" s="140">
        <f t="shared" si="8"/>
        <v>62</v>
      </c>
      <c r="E151" s="140">
        <f t="shared" si="9"/>
        <v>3</v>
      </c>
      <c r="F151" s="279">
        <f t="shared" si="10"/>
        <v>3.8649</v>
      </c>
      <c r="G151" s="293"/>
      <c r="H151" s="268"/>
      <c r="I151" s="268"/>
    </row>
    <row r="152" spans="1:9" x14ac:dyDescent="0.25">
      <c r="A152" s="275">
        <v>43974</v>
      </c>
      <c r="B152" s="277">
        <v>72</v>
      </c>
      <c r="C152" s="277">
        <v>59</v>
      </c>
      <c r="D152" s="140">
        <f t="shared" si="8"/>
        <v>65.5</v>
      </c>
      <c r="E152" s="140">
        <f t="shared" si="9"/>
        <v>0</v>
      </c>
      <c r="F152" s="279">
        <f t="shared" si="10"/>
        <v>0</v>
      </c>
      <c r="G152" s="293"/>
      <c r="H152" s="268"/>
      <c r="I152" s="268"/>
    </row>
    <row r="153" spans="1:9" x14ac:dyDescent="0.25">
      <c r="A153" s="275">
        <v>43975</v>
      </c>
      <c r="B153" s="277">
        <v>83</v>
      </c>
      <c r="C153" s="277">
        <v>64</v>
      </c>
      <c r="D153" s="140">
        <f t="shared" si="8"/>
        <v>73.5</v>
      </c>
      <c r="E153" s="140">
        <f t="shared" si="9"/>
        <v>0</v>
      </c>
      <c r="F153" s="279">
        <f t="shared" si="10"/>
        <v>0</v>
      </c>
      <c r="G153" s="293"/>
      <c r="H153" s="268"/>
      <c r="I153" s="268"/>
    </row>
    <row r="154" spans="1:9" x14ac:dyDescent="0.25">
      <c r="A154" s="275">
        <v>43976</v>
      </c>
      <c r="B154" s="277">
        <v>86</v>
      </c>
      <c r="C154" s="277">
        <v>64</v>
      </c>
      <c r="D154" s="140">
        <f t="shared" si="8"/>
        <v>75</v>
      </c>
      <c r="E154" s="140">
        <f t="shared" si="9"/>
        <v>0</v>
      </c>
      <c r="F154" s="279">
        <f t="shared" si="10"/>
        <v>0</v>
      </c>
      <c r="G154" s="293"/>
      <c r="H154" s="268"/>
      <c r="I154" s="268"/>
    </row>
    <row r="155" spans="1:9" x14ac:dyDescent="0.25">
      <c r="A155" s="275">
        <v>43977</v>
      </c>
      <c r="B155" s="277">
        <v>80</v>
      </c>
      <c r="C155" s="277">
        <v>64</v>
      </c>
      <c r="D155" s="140">
        <f t="shared" si="8"/>
        <v>72</v>
      </c>
      <c r="E155" s="140">
        <f t="shared" si="9"/>
        <v>0</v>
      </c>
      <c r="F155" s="279">
        <f t="shared" si="10"/>
        <v>0</v>
      </c>
      <c r="G155" s="293"/>
      <c r="H155" s="268"/>
      <c r="I155" s="268"/>
    </row>
    <row r="156" spans="1:9" x14ac:dyDescent="0.25">
      <c r="A156" s="275">
        <v>43978</v>
      </c>
      <c r="B156" s="277">
        <v>78</v>
      </c>
      <c r="C156" s="277">
        <v>62</v>
      </c>
      <c r="D156" s="140">
        <f t="shared" si="8"/>
        <v>70</v>
      </c>
      <c r="E156" s="140">
        <f t="shared" si="9"/>
        <v>0</v>
      </c>
      <c r="F156" s="279">
        <f t="shared" si="10"/>
        <v>0</v>
      </c>
      <c r="G156" s="293"/>
      <c r="H156" s="268"/>
      <c r="I156" s="268"/>
    </row>
    <row r="157" spans="1:9" x14ac:dyDescent="0.25">
      <c r="A157" s="275">
        <v>43979</v>
      </c>
      <c r="B157" s="277">
        <v>78</v>
      </c>
      <c r="C157" s="277">
        <v>62</v>
      </c>
      <c r="D157" s="140">
        <f t="shared" si="8"/>
        <v>70</v>
      </c>
      <c r="E157" s="140">
        <f t="shared" si="9"/>
        <v>0</v>
      </c>
      <c r="F157" s="279">
        <f t="shared" si="10"/>
        <v>0</v>
      </c>
      <c r="G157" s="293"/>
      <c r="H157" s="268"/>
      <c r="I157" s="268"/>
    </row>
    <row r="158" spans="1:9" x14ac:dyDescent="0.25">
      <c r="A158" s="275">
        <v>43980</v>
      </c>
      <c r="B158" s="277">
        <v>68</v>
      </c>
      <c r="C158" s="277">
        <v>56</v>
      </c>
      <c r="D158" s="140">
        <f t="shared" si="8"/>
        <v>62</v>
      </c>
      <c r="E158" s="140">
        <f t="shared" si="9"/>
        <v>3</v>
      </c>
      <c r="F158" s="279">
        <f t="shared" si="10"/>
        <v>3.8649</v>
      </c>
      <c r="G158" s="293"/>
      <c r="H158" s="268"/>
      <c r="I158" s="268"/>
    </row>
    <row r="159" spans="1:9" x14ac:dyDescent="0.25">
      <c r="A159" s="275">
        <v>43981</v>
      </c>
      <c r="B159" s="277">
        <v>76</v>
      </c>
      <c r="C159" s="277">
        <v>55</v>
      </c>
      <c r="D159" s="140">
        <f t="shared" si="8"/>
        <v>65.5</v>
      </c>
      <c r="E159" s="140">
        <f t="shared" si="9"/>
        <v>0</v>
      </c>
      <c r="F159" s="279">
        <f t="shared" si="10"/>
        <v>0</v>
      </c>
      <c r="G159" s="293"/>
      <c r="H159" s="268"/>
      <c r="I159" s="268"/>
    </row>
    <row r="160" spans="1:9" x14ac:dyDescent="0.25">
      <c r="A160" s="275">
        <v>43982</v>
      </c>
      <c r="B160" s="277">
        <v>73</v>
      </c>
      <c r="C160" s="277">
        <v>57</v>
      </c>
      <c r="D160" s="140">
        <f t="shared" si="8"/>
        <v>65</v>
      </c>
      <c r="E160" s="140">
        <f t="shared" si="9"/>
        <v>0</v>
      </c>
      <c r="F160" s="279">
        <f t="shared" si="10"/>
        <v>0</v>
      </c>
      <c r="G160" s="293"/>
      <c r="H160" s="268"/>
      <c r="I160" s="268"/>
    </row>
    <row r="161" spans="1:9" x14ac:dyDescent="0.25">
      <c r="A161" s="275">
        <v>43983</v>
      </c>
      <c r="B161" s="277">
        <v>77</v>
      </c>
      <c r="C161" s="277">
        <v>61</v>
      </c>
      <c r="D161" s="140">
        <f t="shared" si="8"/>
        <v>69</v>
      </c>
      <c r="E161" s="140">
        <f t="shared" si="9"/>
        <v>0</v>
      </c>
      <c r="F161" s="279">
        <f t="shared" si="10"/>
        <v>0</v>
      </c>
      <c r="G161" s="293"/>
      <c r="H161" s="268"/>
      <c r="I161" s="268"/>
    </row>
    <row r="162" spans="1:9" x14ac:dyDescent="0.25">
      <c r="A162" s="275">
        <v>43984</v>
      </c>
      <c r="B162" s="277">
        <v>85</v>
      </c>
      <c r="C162" s="277">
        <v>64</v>
      </c>
      <c r="D162" s="140">
        <f t="shared" si="8"/>
        <v>74.5</v>
      </c>
      <c r="E162" s="140">
        <f t="shared" si="9"/>
        <v>0</v>
      </c>
      <c r="F162" s="279">
        <f t="shared" si="10"/>
        <v>0</v>
      </c>
      <c r="G162" s="293"/>
      <c r="H162" s="268"/>
      <c r="I162" s="268"/>
    </row>
    <row r="163" spans="1:9" x14ac:dyDescent="0.25">
      <c r="A163" s="275">
        <v>43985</v>
      </c>
      <c r="B163" s="277">
        <v>88</v>
      </c>
      <c r="C163" s="277">
        <v>70</v>
      </c>
      <c r="D163" s="140">
        <f t="shared" si="8"/>
        <v>79</v>
      </c>
      <c r="E163" s="140">
        <f t="shared" si="9"/>
        <v>0</v>
      </c>
      <c r="F163" s="279">
        <f t="shared" si="10"/>
        <v>0</v>
      </c>
      <c r="G163" s="293"/>
      <c r="H163" s="268"/>
      <c r="I163" s="268"/>
    </row>
    <row r="164" spans="1:9" x14ac:dyDescent="0.25">
      <c r="A164" s="275">
        <v>43986</v>
      </c>
      <c r="B164" s="277">
        <v>91</v>
      </c>
      <c r="C164" s="277">
        <v>65</v>
      </c>
      <c r="D164" s="140">
        <f t="shared" si="8"/>
        <v>78</v>
      </c>
      <c r="E164" s="140">
        <f t="shared" si="9"/>
        <v>0</v>
      </c>
      <c r="F164" s="279">
        <f t="shared" si="10"/>
        <v>0</v>
      </c>
      <c r="G164" s="293"/>
      <c r="H164" s="268"/>
      <c r="I164" s="268"/>
    </row>
    <row r="165" spans="1:9" x14ac:dyDescent="0.25">
      <c r="A165" s="275">
        <v>43987</v>
      </c>
      <c r="B165" s="277">
        <v>85</v>
      </c>
      <c r="C165" s="277">
        <v>66</v>
      </c>
      <c r="D165" s="140">
        <f t="shared" si="8"/>
        <v>75.5</v>
      </c>
      <c r="E165" s="140">
        <f t="shared" si="9"/>
        <v>0</v>
      </c>
      <c r="F165" s="279">
        <f t="shared" si="10"/>
        <v>0</v>
      </c>
      <c r="G165" s="293"/>
      <c r="H165" s="268"/>
      <c r="I165" s="268"/>
    </row>
    <row r="166" spans="1:9" x14ac:dyDescent="0.25">
      <c r="A166" s="275">
        <v>43988</v>
      </c>
      <c r="B166" s="277">
        <v>88</v>
      </c>
      <c r="C166" s="277">
        <v>67</v>
      </c>
      <c r="D166" s="140">
        <f t="shared" si="8"/>
        <v>77.5</v>
      </c>
      <c r="E166" s="140">
        <f t="shared" si="9"/>
        <v>0</v>
      </c>
      <c r="F166" s="279">
        <f t="shared" si="10"/>
        <v>0</v>
      </c>
      <c r="G166" s="293"/>
      <c r="H166" s="268"/>
      <c r="I166" s="268"/>
    </row>
    <row r="167" spans="1:9" x14ac:dyDescent="0.25">
      <c r="A167" s="275">
        <v>43989</v>
      </c>
      <c r="B167" s="277">
        <v>90</v>
      </c>
      <c r="C167" s="277">
        <v>72</v>
      </c>
      <c r="D167" s="140">
        <f t="shared" si="8"/>
        <v>81</v>
      </c>
      <c r="E167" s="140">
        <f t="shared" si="9"/>
        <v>0</v>
      </c>
      <c r="F167" s="279">
        <f t="shared" si="10"/>
        <v>0</v>
      </c>
      <c r="G167" s="293"/>
      <c r="H167" s="268"/>
      <c r="I167" s="268"/>
    </row>
    <row r="168" spans="1:9" x14ac:dyDescent="0.25">
      <c r="A168" s="275">
        <v>43990</v>
      </c>
      <c r="B168" s="277">
        <v>91</v>
      </c>
      <c r="C168" s="277">
        <v>72</v>
      </c>
      <c r="D168" s="140">
        <f t="shared" si="8"/>
        <v>81.5</v>
      </c>
      <c r="E168" s="140">
        <f t="shared" si="9"/>
        <v>0</v>
      </c>
      <c r="F168" s="279">
        <f t="shared" si="10"/>
        <v>0</v>
      </c>
      <c r="G168" s="293"/>
      <c r="H168" s="268"/>
      <c r="I168" s="268"/>
    </row>
    <row r="169" spans="1:9" x14ac:dyDescent="0.25">
      <c r="A169" s="275">
        <v>43991</v>
      </c>
      <c r="B169" s="277">
        <v>89</v>
      </c>
      <c r="C169" s="277">
        <v>71</v>
      </c>
      <c r="D169" s="140">
        <f t="shared" si="8"/>
        <v>80</v>
      </c>
      <c r="E169" s="140">
        <f t="shared" si="9"/>
        <v>0</v>
      </c>
      <c r="F169" s="279">
        <f t="shared" si="10"/>
        <v>0</v>
      </c>
      <c r="G169" s="293"/>
      <c r="H169" s="268"/>
      <c r="I169" s="268"/>
    </row>
    <row r="170" spans="1:9" x14ac:dyDescent="0.25">
      <c r="A170" s="275">
        <v>43992</v>
      </c>
      <c r="B170" s="277">
        <v>85</v>
      </c>
      <c r="C170" s="277">
        <v>60</v>
      </c>
      <c r="D170" s="140">
        <f t="shared" si="8"/>
        <v>72.5</v>
      </c>
      <c r="E170" s="140">
        <f t="shared" si="9"/>
        <v>0</v>
      </c>
      <c r="F170" s="279">
        <f t="shared" si="10"/>
        <v>0</v>
      </c>
      <c r="G170" s="293"/>
      <c r="H170" s="268"/>
      <c r="I170" s="268"/>
    </row>
    <row r="171" spans="1:9" x14ac:dyDescent="0.25">
      <c r="A171" s="275">
        <v>43993</v>
      </c>
      <c r="B171" s="277">
        <v>75</v>
      </c>
      <c r="C171" s="277">
        <v>56</v>
      </c>
      <c r="D171" s="140">
        <f t="shared" si="8"/>
        <v>65.5</v>
      </c>
      <c r="E171" s="140">
        <f t="shared" si="9"/>
        <v>0</v>
      </c>
      <c r="F171" s="279">
        <f t="shared" si="10"/>
        <v>0</v>
      </c>
      <c r="G171" s="293"/>
      <c r="H171" s="268"/>
      <c r="I171" s="268"/>
    </row>
    <row r="172" spans="1:9" x14ac:dyDescent="0.25">
      <c r="A172" s="275">
        <v>43994</v>
      </c>
      <c r="B172" s="277">
        <v>87</v>
      </c>
      <c r="C172" s="277">
        <v>60</v>
      </c>
      <c r="D172" s="140">
        <f t="shared" si="8"/>
        <v>73.5</v>
      </c>
      <c r="E172" s="140">
        <f t="shared" si="9"/>
        <v>0</v>
      </c>
      <c r="F172" s="279">
        <f t="shared" si="10"/>
        <v>0</v>
      </c>
      <c r="G172" s="293"/>
      <c r="H172" s="268"/>
      <c r="I172" s="268"/>
    </row>
    <row r="173" spans="1:9" x14ac:dyDescent="0.25">
      <c r="A173" s="275">
        <v>43995</v>
      </c>
      <c r="B173" s="277">
        <v>90</v>
      </c>
      <c r="C173" s="277">
        <v>63</v>
      </c>
      <c r="D173" s="140">
        <f t="shared" si="8"/>
        <v>76.5</v>
      </c>
      <c r="E173" s="140">
        <f t="shared" si="9"/>
        <v>0</v>
      </c>
      <c r="F173" s="279">
        <f t="shared" si="10"/>
        <v>0</v>
      </c>
      <c r="G173" s="293"/>
      <c r="H173" s="268"/>
      <c r="I173" s="268"/>
    </row>
    <row r="174" spans="1:9" x14ac:dyDescent="0.25">
      <c r="A174" s="275">
        <v>43996</v>
      </c>
      <c r="B174" s="277">
        <v>88</v>
      </c>
      <c r="C174" s="277">
        <v>65</v>
      </c>
      <c r="D174" s="140">
        <f t="shared" si="8"/>
        <v>76.5</v>
      </c>
      <c r="E174" s="140">
        <f t="shared" si="9"/>
        <v>0</v>
      </c>
      <c r="F174" s="279">
        <f t="shared" si="10"/>
        <v>0</v>
      </c>
      <c r="G174" s="293"/>
      <c r="H174" s="268"/>
      <c r="I174" s="268"/>
    </row>
    <row r="175" spans="1:9" x14ac:dyDescent="0.25">
      <c r="A175" s="275">
        <v>43997</v>
      </c>
      <c r="B175" s="277">
        <v>85</v>
      </c>
      <c r="C175" s="277">
        <v>67</v>
      </c>
      <c r="D175" s="140">
        <f t="shared" si="8"/>
        <v>76</v>
      </c>
      <c r="E175" s="140">
        <f t="shared" si="9"/>
        <v>0</v>
      </c>
      <c r="F175" s="279">
        <f t="shared" si="10"/>
        <v>0</v>
      </c>
      <c r="G175" s="293"/>
      <c r="H175" s="268"/>
      <c r="I175" s="268"/>
    </row>
    <row r="176" spans="1:9" x14ac:dyDescent="0.25">
      <c r="A176" s="275">
        <v>43998</v>
      </c>
      <c r="B176" s="277">
        <v>88</v>
      </c>
      <c r="C176" s="277">
        <v>66</v>
      </c>
      <c r="D176" s="140">
        <f t="shared" si="8"/>
        <v>77</v>
      </c>
      <c r="E176" s="140">
        <f t="shared" si="9"/>
        <v>0</v>
      </c>
      <c r="F176" s="279">
        <f t="shared" si="10"/>
        <v>0</v>
      </c>
      <c r="G176" s="293"/>
      <c r="H176" s="268"/>
      <c r="I176" s="268"/>
    </row>
    <row r="177" spans="1:9" x14ac:dyDescent="0.25">
      <c r="A177" s="275">
        <v>43999</v>
      </c>
      <c r="B177" s="277">
        <v>85</v>
      </c>
      <c r="C177" s="277">
        <v>63</v>
      </c>
      <c r="D177" s="140">
        <f t="shared" si="8"/>
        <v>74</v>
      </c>
      <c r="E177" s="140">
        <f t="shared" si="9"/>
        <v>0</v>
      </c>
      <c r="F177" s="279">
        <f t="shared" si="10"/>
        <v>0</v>
      </c>
      <c r="G177" s="293"/>
      <c r="H177" s="268"/>
      <c r="I177" s="268"/>
    </row>
    <row r="178" spans="1:9" x14ac:dyDescent="0.25">
      <c r="A178" s="275">
        <v>44000</v>
      </c>
      <c r="B178" s="277">
        <v>85</v>
      </c>
      <c r="C178" s="277">
        <v>67</v>
      </c>
      <c r="D178" s="140">
        <f t="shared" si="8"/>
        <v>76</v>
      </c>
      <c r="E178" s="140">
        <f t="shared" si="9"/>
        <v>0</v>
      </c>
      <c r="F178" s="279">
        <f t="shared" si="10"/>
        <v>0</v>
      </c>
      <c r="G178" s="293"/>
      <c r="H178" s="268"/>
      <c r="I178" s="268"/>
    </row>
    <row r="179" spans="1:9" x14ac:dyDescent="0.25">
      <c r="A179" s="275">
        <v>44001</v>
      </c>
      <c r="B179" s="277">
        <v>87</v>
      </c>
      <c r="C179" s="277">
        <v>69</v>
      </c>
      <c r="D179" s="140">
        <f t="shared" si="8"/>
        <v>78</v>
      </c>
      <c r="E179" s="140">
        <f t="shared" si="9"/>
        <v>0</v>
      </c>
      <c r="F179" s="279">
        <f t="shared" si="10"/>
        <v>0</v>
      </c>
      <c r="G179" s="293"/>
      <c r="H179" s="268"/>
      <c r="I179" s="268"/>
    </row>
    <row r="180" spans="1:9" x14ac:dyDescent="0.25">
      <c r="A180" s="275">
        <v>44002</v>
      </c>
      <c r="B180" s="277">
        <v>80</v>
      </c>
      <c r="C180" s="277">
        <v>67</v>
      </c>
      <c r="D180" s="140">
        <f t="shared" si="8"/>
        <v>73.5</v>
      </c>
      <c r="E180" s="140">
        <f t="shared" si="9"/>
        <v>0</v>
      </c>
      <c r="F180" s="279">
        <f t="shared" si="10"/>
        <v>0</v>
      </c>
      <c r="G180" s="293"/>
      <c r="H180" s="268"/>
      <c r="I180" s="268"/>
    </row>
    <row r="181" spans="1:9" x14ac:dyDescent="0.25">
      <c r="A181" s="275">
        <v>44003</v>
      </c>
      <c r="B181" s="277">
        <v>85</v>
      </c>
      <c r="C181" s="277">
        <v>68</v>
      </c>
      <c r="D181" s="140">
        <f t="shared" si="8"/>
        <v>76.5</v>
      </c>
      <c r="E181" s="140">
        <f t="shared" si="9"/>
        <v>0</v>
      </c>
      <c r="F181" s="279">
        <f t="shared" si="10"/>
        <v>0</v>
      </c>
      <c r="G181" s="293"/>
      <c r="H181" s="268"/>
      <c r="I181" s="268"/>
    </row>
    <row r="182" spans="1:9" x14ac:dyDescent="0.25">
      <c r="A182" s="275">
        <v>44004</v>
      </c>
      <c r="B182" s="277">
        <v>87</v>
      </c>
      <c r="C182" s="277">
        <v>72</v>
      </c>
      <c r="D182" s="140">
        <f t="shared" si="8"/>
        <v>79.5</v>
      </c>
      <c r="E182" s="140">
        <f t="shared" si="9"/>
        <v>0</v>
      </c>
      <c r="F182" s="279">
        <f t="shared" si="10"/>
        <v>0</v>
      </c>
      <c r="G182" s="293"/>
      <c r="H182" s="268"/>
      <c r="I182" s="268"/>
    </row>
    <row r="183" spans="1:9" x14ac:dyDescent="0.25">
      <c r="A183" s="275">
        <v>44005</v>
      </c>
      <c r="B183" s="277">
        <v>82</v>
      </c>
      <c r="C183" s="277">
        <v>60</v>
      </c>
      <c r="D183" s="140">
        <f t="shared" si="8"/>
        <v>71</v>
      </c>
      <c r="E183" s="140">
        <f t="shared" si="9"/>
        <v>0</v>
      </c>
      <c r="F183" s="279">
        <f t="shared" si="10"/>
        <v>0</v>
      </c>
      <c r="G183" s="293"/>
      <c r="H183" s="268"/>
      <c r="I183" s="268"/>
    </row>
    <row r="184" spans="1:9" x14ac:dyDescent="0.25">
      <c r="A184" s="275">
        <v>44006</v>
      </c>
      <c r="B184" s="277">
        <v>80</v>
      </c>
      <c r="C184" s="277">
        <v>58</v>
      </c>
      <c r="D184" s="140">
        <f t="shared" si="8"/>
        <v>69</v>
      </c>
      <c r="E184" s="140">
        <f t="shared" si="9"/>
        <v>0</v>
      </c>
      <c r="F184" s="279">
        <f t="shared" si="10"/>
        <v>0</v>
      </c>
      <c r="G184" s="293"/>
      <c r="H184" s="268"/>
      <c r="I184" s="268"/>
    </row>
    <row r="185" spans="1:9" x14ac:dyDescent="0.25">
      <c r="A185" s="275">
        <v>44007</v>
      </c>
      <c r="B185" s="277">
        <v>84</v>
      </c>
      <c r="C185" s="277">
        <v>59</v>
      </c>
      <c r="D185" s="140">
        <f t="shared" si="8"/>
        <v>71.5</v>
      </c>
      <c r="E185" s="140">
        <f t="shared" si="9"/>
        <v>0</v>
      </c>
      <c r="F185" s="279">
        <f t="shared" si="10"/>
        <v>0</v>
      </c>
      <c r="G185" s="293"/>
      <c r="H185" s="268"/>
      <c r="I185" s="268"/>
    </row>
    <row r="186" spans="1:9" x14ac:dyDescent="0.25">
      <c r="A186" s="275">
        <v>44008</v>
      </c>
      <c r="B186" s="277">
        <v>89</v>
      </c>
      <c r="C186" s="277">
        <v>66</v>
      </c>
      <c r="D186" s="140">
        <f t="shared" si="8"/>
        <v>77.5</v>
      </c>
      <c r="E186" s="140">
        <f t="shared" si="9"/>
        <v>0</v>
      </c>
      <c r="F186" s="279">
        <f t="shared" si="10"/>
        <v>0</v>
      </c>
      <c r="G186" s="293"/>
      <c r="H186" s="268"/>
      <c r="I186" s="268"/>
    </row>
    <row r="187" spans="1:9" x14ac:dyDescent="0.25">
      <c r="A187" s="275">
        <v>44009</v>
      </c>
      <c r="B187" s="277">
        <v>91</v>
      </c>
      <c r="C187" s="277">
        <v>69</v>
      </c>
      <c r="D187" s="140">
        <f t="shared" si="8"/>
        <v>80</v>
      </c>
      <c r="E187" s="140">
        <f t="shared" si="9"/>
        <v>0</v>
      </c>
      <c r="F187" s="279">
        <f t="shared" si="10"/>
        <v>0</v>
      </c>
      <c r="G187" s="293"/>
      <c r="H187" s="268"/>
      <c r="I187" s="268"/>
    </row>
    <row r="188" spans="1:9" x14ac:dyDescent="0.25">
      <c r="A188" s="275">
        <v>44010</v>
      </c>
      <c r="B188" s="277">
        <v>83</v>
      </c>
      <c r="C188" s="277">
        <v>66</v>
      </c>
      <c r="D188" s="140">
        <f t="shared" si="8"/>
        <v>74.5</v>
      </c>
      <c r="E188" s="140">
        <f t="shared" si="9"/>
        <v>0</v>
      </c>
      <c r="F188" s="279">
        <f t="shared" si="10"/>
        <v>0</v>
      </c>
      <c r="G188" s="293"/>
      <c r="H188" s="268"/>
      <c r="I188" s="268"/>
    </row>
    <row r="189" spans="1:9" x14ac:dyDescent="0.25">
      <c r="A189" s="275">
        <v>44011</v>
      </c>
      <c r="B189" s="277">
        <v>84</v>
      </c>
      <c r="C189" s="277">
        <v>67</v>
      </c>
      <c r="D189" s="140">
        <f t="shared" si="8"/>
        <v>75.5</v>
      </c>
      <c r="E189" s="140">
        <f t="shared" si="9"/>
        <v>0</v>
      </c>
      <c r="F189" s="279">
        <f t="shared" si="10"/>
        <v>0</v>
      </c>
      <c r="G189" s="293"/>
      <c r="H189" s="268"/>
      <c r="I189" s="268"/>
    </row>
    <row r="190" spans="1:9" x14ac:dyDescent="0.25">
      <c r="A190" s="275">
        <v>44012</v>
      </c>
      <c r="B190" s="277">
        <v>86</v>
      </c>
      <c r="C190" s="277">
        <v>74</v>
      </c>
      <c r="D190" s="140">
        <f t="shared" si="8"/>
        <v>80</v>
      </c>
      <c r="E190" s="140">
        <f t="shared" si="9"/>
        <v>0</v>
      </c>
      <c r="F190" s="279">
        <f t="shared" si="10"/>
        <v>0</v>
      </c>
      <c r="G190" s="293"/>
      <c r="H190" s="268"/>
      <c r="I190" s="268"/>
    </row>
    <row r="191" spans="1:9" x14ac:dyDescent="0.25">
      <c r="A191" s="275">
        <v>44013</v>
      </c>
      <c r="B191" s="277">
        <v>86</v>
      </c>
      <c r="C191" s="277">
        <v>67</v>
      </c>
      <c r="D191" s="140">
        <f t="shared" si="8"/>
        <v>76.5</v>
      </c>
      <c r="E191" s="140">
        <f t="shared" si="9"/>
        <v>0</v>
      </c>
      <c r="F191" s="279">
        <f t="shared" si="10"/>
        <v>0</v>
      </c>
      <c r="G191" s="293"/>
      <c r="H191" s="268"/>
      <c r="I191" s="268"/>
    </row>
    <row r="192" spans="1:9" x14ac:dyDescent="0.25">
      <c r="A192" s="275">
        <v>44014</v>
      </c>
      <c r="B192" s="277">
        <v>86</v>
      </c>
      <c r="C192" s="277">
        <v>67</v>
      </c>
      <c r="D192" s="140">
        <f t="shared" si="8"/>
        <v>76.5</v>
      </c>
      <c r="E192" s="140">
        <f t="shared" si="9"/>
        <v>0</v>
      </c>
      <c r="F192" s="279">
        <f t="shared" si="10"/>
        <v>0</v>
      </c>
      <c r="G192" s="293"/>
      <c r="H192" s="268"/>
      <c r="I192" s="268"/>
    </row>
    <row r="193" spans="1:9" x14ac:dyDescent="0.25">
      <c r="A193" s="275">
        <v>44015</v>
      </c>
      <c r="B193" s="277">
        <v>88</v>
      </c>
      <c r="C193" s="277">
        <v>72</v>
      </c>
      <c r="D193" s="140">
        <f t="shared" si="8"/>
        <v>80</v>
      </c>
      <c r="E193" s="140">
        <f t="shared" si="9"/>
        <v>0</v>
      </c>
      <c r="F193" s="279">
        <f t="shared" si="10"/>
        <v>0</v>
      </c>
      <c r="G193" s="293"/>
      <c r="H193" s="268"/>
      <c r="I193" s="268"/>
    </row>
    <row r="194" spans="1:9" x14ac:dyDescent="0.25">
      <c r="A194" s="275">
        <v>44016</v>
      </c>
      <c r="B194" s="277">
        <v>89</v>
      </c>
      <c r="C194" s="277">
        <v>73</v>
      </c>
      <c r="D194" s="140">
        <f t="shared" si="8"/>
        <v>81</v>
      </c>
      <c r="E194" s="140">
        <f t="shared" si="9"/>
        <v>0</v>
      </c>
      <c r="F194" s="279">
        <f t="shared" si="10"/>
        <v>0</v>
      </c>
      <c r="G194" s="293"/>
      <c r="H194" s="268"/>
      <c r="I194" s="268"/>
    </row>
    <row r="195" spans="1:9" x14ac:dyDescent="0.25">
      <c r="A195" s="275">
        <v>44017</v>
      </c>
      <c r="B195" s="277">
        <v>89</v>
      </c>
      <c r="C195" s="277">
        <v>70</v>
      </c>
      <c r="D195" s="140">
        <f t="shared" si="8"/>
        <v>79.5</v>
      </c>
      <c r="E195" s="140">
        <f t="shared" si="9"/>
        <v>0</v>
      </c>
      <c r="F195" s="279">
        <f t="shared" si="10"/>
        <v>0</v>
      </c>
      <c r="G195" s="293"/>
      <c r="H195" s="268"/>
      <c r="I195" s="268"/>
    </row>
    <row r="196" spans="1:9" x14ac:dyDescent="0.25">
      <c r="A196" s="275">
        <v>44018</v>
      </c>
      <c r="B196" s="277">
        <v>91</v>
      </c>
      <c r="C196" s="277">
        <v>71</v>
      </c>
      <c r="D196" s="140">
        <f t="shared" si="8"/>
        <v>81</v>
      </c>
      <c r="E196" s="140">
        <f t="shared" si="9"/>
        <v>0</v>
      </c>
      <c r="F196" s="279">
        <f t="shared" si="10"/>
        <v>0</v>
      </c>
      <c r="G196" s="293"/>
      <c r="H196" s="268"/>
      <c r="I196" s="268"/>
    </row>
    <row r="197" spans="1:9" x14ac:dyDescent="0.25">
      <c r="A197" s="275">
        <v>44019</v>
      </c>
      <c r="B197" s="277">
        <v>91</v>
      </c>
      <c r="C197" s="277">
        <v>72</v>
      </c>
      <c r="D197" s="140">
        <f t="shared" si="8"/>
        <v>81.5</v>
      </c>
      <c r="E197" s="140">
        <f t="shared" si="9"/>
        <v>0</v>
      </c>
      <c r="F197" s="279">
        <f t="shared" si="10"/>
        <v>0</v>
      </c>
      <c r="G197" s="293"/>
      <c r="H197" s="268"/>
      <c r="I197" s="268"/>
    </row>
    <row r="198" spans="1:9" x14ac:dyDescent="0.25">
      <c r="A198" s="275">
        <v>44020</v>
      </c>
      <c r="B198" s="277">
        <v>93</v>
      </c>
      <c r="C198" s="277">
        <v>73</v>
      </c>
      <c r="D198" s="140">
        <f t="shared" si="8"/>
        <v>83</v>
      </c>
      <c r="E198" s="140">
        <f t="shared" si="9"/>
        <v>0</v>
      </c>
      <c r="F198" s="279">
        <f t="shared" si="10"/>
        <v>0</v>
      </c>
      <c r="G198" s="293"/>
      <c r="H198" s="268"/>
      <c r="I198" s="268"/>
    </row>
    <row r="199" spans="1:9" x14ac:dyDescent="0.25">
      <c r="A199" s="275">
        <v>44021</v>
      </c>
      <c r="B199" s="277">
        <v>93</v>
      </c>
      <c r="C199" s="277">
        <v>74</v>
      </c>
      <c r="D199" s="140">
        <f t="shared" si="8"/>
        <v>83.5</v>
      </c>
      <c r="E199" s="140">
        <f t="shared" si="9"/>
        <v>0</v>
      </c>
      <c r="F199" s="279">
        <f t="shared" si="10"/>
        <v>0</v>
      </c>
      <c r="G199" s="293"/>
      <c r="H199" s="268"/>
      <c r="I199" s="268"/>
    </row>
    <row r="200" spans="1:9" x14ac:dyDescent="0.25">
      <c r="A200" s="275">
        <v>44022</v>
      </c>
      <c r="B200" s="277">
        <v>89</v>
      </c>
      <c r="C200" s="277">
        <v>65</v>
      </c>
      <c r="D200" s="140">
        <f t="shared" si="8"/>
        <v>77</v>
      </c>
      <c r="E200" s="140">
        <f t="shared" si="9"/>
        <v>0</v>
      </c>
      <c r="F200" s="279">
        <f t="shared" si="10"/>
        <v>0</v>
      </c>
      <c r="G200" s="293"/>
      <c r="H200" s="268"/>
      <c r="I200" s="268"/>
    </row>
    <row r="201" spans="1:9" x14ac:dyDescent="0.25">
      <c r="A201" s="275">
        <v>44023</v>
      </c>
      <c r="B201" s="277">
        <v>93</v>
      </c>
      <c r="C201" s="277">
        <v>68</v>
      </c>
      <c r="D201" s="140">
        <f t="shared" si="8"/>
        <v>80.5</v>
      </c>
      <c r="E201" s="140">
        <f t="shared" si="9"/>
        <v>0</v>
      </c>
      <c r="F201" s="279">
        <f t="shared" si="10"/>
        <v>0</v>
      </c>
      <c r="G201" s="293"/>
      <c r="H201" s="268"/>
      <c r="I201" s="268"/>
    </row>
    <row r="202" spans="1:9" x14ac:dyDescent="0.25">
      <c r="A202" s="275">
        <v>44024</v>
      </c>
      <c r="B202" s="277">
        <v>94</v>
      </c>
      <c r="C202" s="277">
        <v>67</v>
      </c>
      <c r="D202" s="140">
        <f t="shared" ref="D202:D265" si="11">(B202+C202)/2</f>
        <v>80.5</v>
      </c>
      <c r="E202" s="140">
        <f t="shared" ref="E202:E265" si="12">IF(65-D202&gt;0,65-D202,0)</f>
        <v>0</v>
      </c>
      <c r="F202" s="279">
        <f t="shared" ref="F202:F265" si="13">E202*(1+VLOOKUP(TEXT(A202,"MMM"),$H$9:$I$20,2,FALSE))</f>
        <v>0</v>
      </c>
      <c r="G202" s="293"/>
      <c r="H202" s="268"/>
      <c r="I202" s="268"/>
    </row>
    <row r="203" spans="1:9" x14ac:dyDescent="0.25">
      <c r="A203" s="275">
        <v>44025</v>
      </c>
      <c r="B203" s="277">
        <v>88</v>
      </c>
      <c r="C203" s="277">
        <v>65</v>
      </c>
      <c r="D203" s="140">
        <f t="shared" si="11"/>
        <v>76.5</v>
      </c>
      <c r="E203" s="140">
        <f t="shared" si="12"/>
        <v>0</v>
      </c>
      <c r="F203" s="279">
        <f t="shared" si="13"/>
        <v>0</v>
      </c>
      <c r="G203" s="293"/>
      <c r="H203" s="268"/>
      <c r="I203" s="268"/>
    </row>
    <row r="204" spans="1:9" x14ac:dyDescent="0.25">
      <c r="A204" s="275">
        <v>44026</v>
      </c>
      <c r="B204" s="277">
        <v>89</v>
      </c>
      <c r="C204" s="277">
        <v>69</v>
      </c>
      <c r="D204" s="140">
        <f t="shared" si="11"/>
        <v>79</v>
      </c>
      <c r="E204" s="140">
        <f t="shared" si="12"/>
        <v>0</v>
      </c>
      <c r="F204" s="279">
        <f t="shared" si="13"/>
        <v>0</v>
      </c>
      <c r="G204" s="293"/>
      <c r="H204" s="268"/>
      <c r="I204" s="268"/>
    </row>
    <row r="205" spans="1:9" x14ac:dyDescent="0.25">
      <c r="A205" s="275">
        <v>44027</v>
      </c>
      <c r="B205" s="277">
        <v>89</v>
      </c>
      <c r="C205" s="277">
        <v>68</v>
      </c>
      <c r="D205" s="140">
        <f t="shared" si="11"/>
        <v>78.5</v>
      </c>
      <c r="E205" s="140">
        <f t="shared" si="12"/>
        <v>0</v>
      </c>
      <c r="F205" s="279">
        <f t="shared" si="13"/>
        <v>0</v>
      </c>
      <c r="G205" s="293"/>
      <c r="H205" s="268"/>
      <c r="I205" s="268"/>
    </row>
    <row r="206" spans="1:9" x14ac:dyDescent="0.25">
      <c r="A206" s="275">
        <v>44028</v>
      </c>
      <c r="B206" s="277">
        <v>78</v>
      </c>
      <c r="C206" s="277">
        <v>65</v>
      </c>
      <c r="D206" s="140">
        <f t="shared" si="11"/>
        <v>71.5</v>
      </c>
      <c r="E206" s="140">
        <f t="shared" si="12"/>
        <v>0</v>
      </c>
      <c r="F206" s="279">
        <f t="shared" si="13"/>
        <v>0</v>
      </c>
      <c r="G206" s="293"/>
      <c r="H206" s="268"/>
      <c r="I206" s="268"/>
    </row>
    <row r="207" spans="1:9" x14ac:dyDescent="0.25">
      <c r="A207" s="275">
        <v>44029</v>
      </c>
      <c r="B207" s="277">
        <v>85</v>
      </c>
      <c r="C207" s="277">
        <v>67</v>
      </c>
      <c r="D207" s="140">
        <f t="shared" si="11"/>
        <v>76</v>
      </c>
      <c r="E207" s="140">
        <f t="shared" si="12"/>
        <v>0</v>
      </c>
      <c r="F207" s="279">
        <f t="shared" si="13"/>
        <v>0</v>
      </c>
      <c r="G207" s="293"/>
      <c r="H207" s="268"/>
      <c r="I207" s="268"/>
    </row>
    <row r="208" spans="1:9" x14ac:dyDescent="0.25">
      <c r="A208" s="275">
        <v>44030</v>
      </c>
      <c r="B208" s="277">
        <v>92</v>
      </c>
      <c r="C208" s="277">
        <v>72</v>
      </c>
      <c r="D208" s="140">
        <f t="shared" si="11"/>
        <v>82</v>
      </c>
      <c r="E208" s="140">
        <f t="shared" si="12"/>
        <v>0</v>
      </c>
      <c r="F208" s="279">
        <f t="shared" si="13"/>
        <v>0</v>
      </c>
      <c r="G208" s="293"/>
      <c r="H208" s="268"/>
      <c r="I208" s="268"/>
    </row>
    <row r="209" spans="1:9" x14ac:dyDescent="0.25">
      <c r="A209" s="275">
        <v>44031</v>
      </c>
      <c r="B209" s="277">
        <v>92</v>
      </c>
      <c r="C209" s="277">
        <v>77</v>
      </c>
      <c r="D209" s="140">
        <f t="shared" si="11"/>
        <v>84.5</v>
      </c>
      <c r="E209" s="140">
        <f t="shared" si="12"/>
        <v>0</v>
      </c>
      <c r="F209" s="279">
        <f t="shared" si="13"/>
        <v>0</v>
      </c>
      <c r="G209" s="293"/>
      <c r="H209" s="268"/>
      <c r="I209" s="268"/>
    </row>
    <row r="210" spans="1:9" x14ac:dyDescent="0.25">
      <c r="A210" s="275">
        <v>44032</v>
      </c>
      <c r="B210" s="277">
        <v>86</v>
      </c>
      <c r="C210" s="277">
        <v>68</v>
      </c>
      <c r="D210" s="140">
        <f t="shared" si="11"/>
        <v>77</v>
      </c>
      <c r="E210" s="140">
        <f t="shared" si="12"/>
        <v>0</v>
      </c>
      <c r="F210" s="279">
        <f t="shared" si="13"/>
        <v>0</v>
      </c>
      <c r="G210" s="293"/>
      <c r="H210" s="268"/>
      <c r="I210" s="268"/>
    </row>
    <row r="211" spans="1:9" x14ac:dyDescent="0.25">
      <c r="A211" s="275">
        <v>44033</v>
      </c>
      <c r="B211" s="277">
        <v>84</v>
      </c>
      <c r="C211" s="277">
        <v>69</v>
      </c>
      <c r="D211" s="140">
        <f t="shared" si="11"/>
        <v>76.5</v>
      </c>
      <c r="E211" s="140">
        <f t="shared" si="12"/>
        <v>0</v>
      </c>
      <c r="F211" s="279">
        <f t="shared" si="13"/>
        <v>0</v>
      </c>
      <c r="G211" s="293"/>
      <c r="H211" s="268"/>
      <c r="I211" s="268"/>
    </row>
    <row r="212" spans="1:9" x14ac:dyDescent="0.25">
      <c r="A212" s="275">
        <v>44034</v>
      </c>
      <c r="B212" s="277">
        <v>82</v>
      </c>
      <c r="C212" s="277">
        <v>68</v>
      </c>
      <c r="D212" s="140">
        <f t="shared" si="11"/>
        <v>75</v>
      </c>
      <c r="E212" s="140">
        <f t="shared" si="12"/>
        <v>0</v>
      </c>
      <c r="F212" s="279">
        <f t="shared" si="13"/>
        <v>0</v>
      </c>
      <c r="G212" s="293"/>
      <c r="H212" s="268"/>
      <c r="I212" s="268"/>
    </row>
    <row r="213" spans="1:9" x14ac:dyDescent="0.25">
      <c r="A213" s="275">
        <v>44035</v>
      </c>
      <c r="B213" s="277">
        <v>89</v>
      </c>
      <c r="C213" s="277">
        <v>62</v>
      </c>
      <c r="D213" s="140">
        <f t="shared" si="11"/>
        <v>75.5</v>
      </c>
      <c r="E213" s="140">
        <f t="shared" si="12"/>
        <v>0</v>
      </c>
      <c r="F213" s="279">
        <f t="shared" si="13"/>
        <v>0</v>
      </c>
      <c r="G213" s="293"/>
      <c r="H213" s="268"/>
      <c r="I213" s="268"/>
    </row>
    <row r="214" spans="1:9" x14ac:dyDescent="0.25">
      <c r="A214" s="275">
        <v>44036</v>
      </c>
      <c r="B214" s="277">
        <v>89</v>
      </c>
      <c r="C214" s="277">
        <v>71</v>
      </c>
      <c r="D214" s="140">
        <f t="shared" si="11"/>
        <v>80</v>
      </c>
      <c r="E214" s="140">
        <f t="shared" si="12"/>
        <v>0</v>
      </c>
      <c r="F214" s="279">
        <f t="shared" si="13"/>
        <v>0</v>
      </c>
      <c r="G214" s="293"/>
      <c r="H214" s="268"/>
      <c r="I214" s="268"/>
    </row>
    <row r="215" spans="1:9" x14ac:dyDescent="0.25">
      <c r="A215" s="275">
        <v>44037</v>
      </c>
      <c r="B215" s="277">
        <v>91</v>
      </c>
      <c r="C215" s="277">
        <v>74</v>
      </c>
      <c r="D215" s="140">
        <f t="shared" si="11"/>
        <v>82.5</v>
      </c>
      <c r="E215" s="140">
        <f t="shared" si="12"/>
        <v>0</v>
      </c>
      <c r="F215" s="279">
        <f t="shared" si="13"/>
        <v>0</v>
      </c>
      <c r="G215" s="293"/>
      <c r="H215" s="268"/>
      <c r="I215" s="268"/>
    </row>
    <row r="216" spans="1:9" x14ac:dyDescent="0.25">
      <c r="A216" s="275">
        <v>44038</v>
      </c>
      <c r="B216" s="277">
        <v>91</v>
      </c>
      <c r="C216" s="277">
        <v>76</v>
      </c>
      <c r="D216" s="140">
        <f t="shared" si="11"/>
        <v>83.5</v>
      </c>
      <c r="E216" s="140">
        <f t="shared" si="12"/>
        <v>0</v>
      </c>
      <c r="F216" s="279">
        <f t="shared" si="13"/>
        <v>0</v>
      </c>
      <c r="G216" s="293"/>
      <c r="H216" s="268"/>
      <c r="I216" s="268"/>
    </row>
    <row r="217" spans="1:9" x14ac:dyDescent="0.25">
      <c r="A217" s="275">
        <v>44039</v>
      </c>
      <c r="B217" s="277">
        <v>93</v>
      </c>
      <c r="C217" s="277">
        <v>71</v>
      </c>
      <c r="D217" s="140">
        <f t="shared" si="11"/>
        <v>82</v>
      </c>
      <c r="E217" s="140">
        <f t="shared" si="12"/>
        <v>0</v>
      </c>
      <c r="F217" s="279">
        <f t="shared" si="13"/>
        <v>0</v>
      </c>
      <c r="G217" s="293"/>
      <c r="H217" s="268"/>
      <c r="I217" s="268"/>
    </row>
    <row r="218" spans="1:9" x14ac:dyDescent="0.25">
      <c r="A218" s="275">
        <v>44040</v>
      </c>
      <c r="B218" s="277">
        <v>83</v>
      </c>
      <c r="C218" s="277">
        <v>64</v>
      </c>
      <c r="D218" s="140">
        <f t="shared" si="11"/>
        <v>73.5</v>
      </c>
      <c r="E218" s="140">
        <f t="shared" si="12"/>
        <v>0</v>
      </c>
      <c r="F218" s="279">
        <f t="shared" si="13"/>
        <v>0</v>
      </c>
      <c r="G218" s="293"/>
      <c r="H218" s="268"/>
      <c r="I218" s="268"/>
    </row>
    <row r="219" spans="1:9" x14ac:dyDescent="0.25">
      <c r="A219" s="275">
        <v>44041</v>
      </c>
      <c r="B219" s="277">
        <v>87</v>
      </c>
      <c r="C219" s="277">
        <v>68</v>
      </c>
      <c r="D219" s="140">
        <f t="shared" si="11"/>
        <v>77.5</v>
      </c>
      <c r="E219" s="140">
        <f t="shared" si="12"/>
        <v>0</v>
      </c>
      <c r="F219" s="279">
        <f t="shared" si="13"/>
        <v>0</v>
      </c>
      <c r="G219" s="293"/>
      <c r="H219" s="268"/>
      <c r="I219" s="268"/>
    </row>
    <row r="220" spans="1:9" x14ac:dyDescent="0.25">
      <c r="A220" s="275">
        <v>44042</v>
      </c>
      <c r="B220" s="277">
        <v>80</v>
      </c>
      <c r="C220" s="277">
        <v>70</v>
      </c>
      <c r="D220" s="140">
        <f t="shared" si="11"/>
        <v>75</v>
      </c>
      <c r="E220" s="140">
        <f t="shared" si="12"/>
        <v>0</v>
      </c>
      <c r="F220" s="279">
        <f t="shared" si="13"/>
        <v>0</v>
      </c>
      <c r="G220" s="293"/>
      <c r="H220" s="268"/>
      <c r="I220" s="268"/>
    </row>
    <row r="221" spans="1:9" x14ac:dyDescent="0.25">
      <c r="A221" s="275">
        <v>44043</v>
      </c>
      <c r="B221" s="277">
        <v>80</v>
      </c>
      <c r="C221" s="277">
        <v>66</v>
      </c>
      <c r="D221" s="140">
        <f t="shared" si="11"/>
        <v>73</v>
      </c>
      <c r="E221" s="140">
        <f t="shared" si="12"/>
        <v>0</v>
      </c>
      <c r="F221" s="279">
        <f t="shared" si="13"/>
        <v>0</v>
      </c>
      <c r="G221" s="293"/>
      <c r="H221" s="268"/>
      <c r="I221" s="268"/>
    </row>
    <row r="222" spans="1:9" x14ac:dyDescent="0.25">
      <c r="A222" s="275">
        <v>44044</v>
      </c>
      <c r="B222" s="277">
        <v>78</v>
      </c>
      <c r="C222" s="277">
        <v>61</v>
      </c>
      <c r="D222" s="140">
        <f t="shared" si="11"/>
        <v>69.5</v>
      </c>
      <c r="E222" s="140">
        <f t="shared" si="12"/>
        <v>0</v>
      </c>
      <c r="F222" s="279">
        <f t="shared" si="13"/>
        <v>0</v>
      </c>
      <c r="G222" s="293"/>
      <c r="H222" s="268"/>
      <c r="I222" s="268"/>
    </row>
    <row r="223" spans="1:9" x14ac:dyDescent="0.25">
      <c r="A223" s="275">
        <v>44045</v>
      </c>
      <c r="B223" s="277">
        <v>83</v>
      </c>
      <c r="C223" s="277">
        <v>62</v>
      </c>
      <c r="D223" s="140">
        <f t="shared" si="11"/>
        <v>72.5</v>
      </c>
      <c r="E223" s="140">
        <f t="shared" si="12"/>
        <v>0</v>
      </c>
      <c r="F223" s="279">
        <f t="shared" si="13"/>
        <v>0</v>
      </c>
      <c r="G223" s="293"/>
      <c r="H223" s="268"/>
      <c r="I223" s="268"/>
    </row>
    <row r="224" spans="1:9" x14ac:dyDescent="0.25">
      <c r="A224" s="275">
        <v>44046</v>
      </c>
      <c r="B224" s="277">
        <v>82</v>
      </c>
      <c r="C224" s="277">
        <v>59</v>
      </c>
      <c r="D224" s="140">
        <f t="shared" si="11"/>
        <v>70.5</v>
      </c>
      <c r="E224" s="140">
        <f t="shared" si="12"/>
        <v>0</v>
      </c>
      <c r="F224" s="279">
        <f t="shared" si="13"/>
        <v>0</v>
      </c>
      <c r="G224" s="293"/>
      <c r="H224" s="268"/>
      <c r="I224" s="268"/>
    </row>
    <row r="225" spans="1:9" x14ac:dyDescent="0.25">
      <c r="A225" s="275">
        <v>44047</v>
      </c>
      <c r="B225" s="277">
        <v>74</v>
      </c>
      <c r="C225" s="277">
        <v>53</v>
      </c>
      <c r="D225" s="140">
        <f t="shared" si="11"/>
        <v>63.5</v>
      </c>
      <c r="E225" s="140">
        <f t="shared" si="12"/>
        <v>1.5</v>
      </c>
      <c r="F225" s="279">
        <f t="shared" si="13"/>
        <v>3.1137000000000001</v>
      </c>
      <c r="G225" s="293"/>
      <c r="H225" s="268"/>
      <c r="I225" s="268"/>
    </row>
    <row r="226" spans="1:9" x14ac:dyDescent="0.25">
      <c r="A226" s="275">
        <v>44048</v>
      </c>
      <c r="B226" s="277">
        <v>74</v>
      </c>
      <c r="C226" s="277">
        <v>54</v>
      </c>
      <c r="D226" s="140">
        <f t="shared" si="11"/>
        <v>64</v>
      </c>
      <c r="E226" s="140">
        <f t="shared" si="12"/>
        <v>1</v>
      </c>
      <c r="F226" s="279">
        <f t="shared" si="13"/>
        <v>2.0758000000000001</v>
      </c>
      <c r="G226" s="293"/>
      <c r="H226" s="268"/>
      <c r="I226" s="268"/>
    </row>
    <row r="227" spans="1:9" x14ac:dyDescent="0.25">
      <c r="A227" s="275">
        <v>44049</v>
      </c>
      <c r="B227" s="277">
        <v>77</v>
      </c>
      <c r="C227" s="277">
        <v>56</v>
      </c>
      <c r="D227" s="140">
        <f t="shared" si="11"/>
        <v>66.5</v>
      </c>
      <c r="E227" s="140">
        <f t="shared" si="12"/>
        <v>0</v>
      </c>
      <c r="F227" s="279">
        <f t="shared" si="13"/>
        <v>0</v>
      </c>
      <c r="G227" s="293"/>
      <c r="H227" s="268"/>
      <c r="I227" s="268"/>
    </row>
    <row r="228" spans="1:9" x14ac:dyDescent="0.25">
      <c r="A228" s="275">
        <v>44050</v>
      </c>
      <c r="B228" s="277">
        <v>82</v>
      </c>
      <c r="C228" s="277">
        <v>64</v>
      </c>
      <c r="D228" s="140">
        <f t="shared" si="11"/>
        <v>73</v>
      </c>
      <c r="E228" s="140">
        <f t="shared" si="12"/>
        <v>0</v>
      </c>
      <c r="F228" s="279">
        <f t="shared" si="13"/>
        <v>0</v>
      </c>
      <c r="G228" s="293"/>
      <c r="H228" s="268"/>
      <c r="I228" s="268"/>
    </row>
    <row r="229" spans="1:9" x14ac:dyDescent="0.25">
      <c r="A229" s="275">
        <v>44051</v>
      </c>
      <c r="B229" s="277">
        <v>88</v>
      </c>
      <c r="C229" s="277">
        <v>66</v>
      </c>
      <c r="D229" s="140">
        <f t="shared" si="11"/>
        <v>77</v>
      </c>
      <c r="E229" s="140">
        <f t="shared" si="12"/>
        <v>0</v>
      </c>
      <c r="F229" s="279">
        <f t="shared" si="13"/>
        <v>0</v>
      </c>
      <c r="G229" s="293"/>
      <c r="H229" s="268"/>
      <c r="I229" s="268"/>
    </row>
    <row r="230" spans="1:9" x14ac:dyDescent="0.25">
      <c r="A230" s="275">
        <v>44052</v>
      </c>
      <c r="B230" s="277">
        <v>85</v>
      </c>
      <c r="C230" s="277">
        <v>75</v>
      </c>
      <c r="D230" s="140">
        <f t="shared" si="11"/>
        <v>80</v>
      </c>
      <c r="E230" s="140">
        <f t="shared" si="12"/>
        <v>0</v>
      </c>
      <c r="F230" s="279">
        <f t="shared" si="13"/>
        <v>0</v>
      </c>
      <c r="G230" s="293"/>
      <c r="H230" s="268"/>
      <c r="I230" s="268"/>
    </row>
    <row r="231" spans="1:9" x14ac:dyDescent="0.25">
      <c r="A231" s="275">
        <v>44053</v>
      </c>
      <c r="B231" s="277">
        <v>85</v>
      </c>
      <c r="C231" s="277">
        <v>71</v>
      </c>
      <c r="D231" s="140">
        <f t="shared" si="11"/>
        <v>78</v>
      </c>
      <c r="E231" s="140">
        <f t="shared" si="12"/>
        <v>0</v>
      </c>
      <c r="F231" s="279">
        <f t="shared" si="13"/>
        <v>0</v>
      </c>
      <c r="G231" s="293"/>
      <c r="H231" s="268"/>
      <c r="I231" s="268"/>
    </row>
    <row r="232" spans="1:9" x14ac:dyDescent="0.25">
      <c r="A232" s="275">
        <v>44054</v>
      </c>
      <c r="B232" s="277">
        <v>87</v>
      </c>
      <c r="C232" s="277">
        <v>65</v>
      </c>
      <c r="D232" s="140">
        <f t="shared" si="11"/>
        <v>76</v>
      </c>
      <c r="E232" s="140">
        <f t="shared" si="12"/>
        <v>0</v>
      </c>
      <c r="F232" s="279">
        <f t="shared" si="13"/>
        <v>0</v>
      </c>
      <c r="G232" s="293"/>
      <c r="H232" s="268"/>
      <c r="I232" s="268"/>
    </row>
    <row r="233" spans="1:9" x14ac:dyDescent="0.25">
      <c r="A233" s="275">
        <v>44055</v>
      </c>
      <c r="B233" s="277">
        <v>82</v>
      </c>
      <c r="C233" s="277">
        <v>66</v>
      </c>
      <c r="D233" s="140">
        <f t="shared" si="11"/>
        <v>74</v>
      </c>
      <c r="E233" s="140">
        <f t="shared" si="12"/>
        <v>0</v>
      </c>
      <c r="F233" s="279">
        <f t="shared" si="13"/>
        <v>0</v>
      </c>
      <c r="G233" s="293"/>
      <c r="H233" s="268"/>
      <c r="I233" s="268"/>
    </row>
    <row r="234" spans="1:9" x14ac:dyDescent="0.25">
      <c r="A234" s="275">
        <v>44056</v>
      </c>
      <c r="B234" s="277">
        <v>87</v>
      </c>
      <c r="C234" s="277">
        <v>70</v>
      </c>
      <c r="D234" s="140">
        <f t="shared" si="11"/>
        <v>78.5</v>
      </c>
      <c r="E234" s="140">
        <f t="shared" si="12"/>
        <v>0</v>
      </c>
      <c r="F234" s="279">
        <f t="shared" si="13"/>
        <v>0</v>
      </c>
      <c r="G234" s="293"/>
      <c r="H234" s="268"/>
      <c r="I234" s="268"/>
    </row>
    <row r="235" spans="1:9" x14ac:dyDescent="0.25">
      <c r="A235" s="275">
        <v>44057</v>
      </c>
      <c r="B235" s="277">
        <v>88</v>
      </c>
      <c r="C235" s="277">
        <v>70</v>
      </c>
      <c r="D235" s="140">
        <f t="shared" si="11"/>
        <v>79</v>
      </c>
      <c r="E235" s="140">
        <f t="shared" si="12"/>
        <v>0</v>
      </c>
      <c r="F235" s="279">
        <f t="shared" si="13"/>
        <v>0</v>
      </c>
      <c r="G235" s="293"/>
      <c r="H235" s="268"/>
      <c r="I235" s="268"/>
    </row>
    <row r="236" spans="1:9" x14ac:dyDescent="0.25">
      <c r="A236" s="275">
        <v>44058</v>
      </c>
      <c r="B236" s="277">
        <v>88</v>
      </c>
      <c r="C236" s="277">
        <v>67</v>
      </c>
      <c r="D236" s="140">
        <f t="shared" si="11"/>
        <v>77.5</v>
      </c>
      <c r="E236" s="140">
        <f t="shared" si="12"/>
        <v>0</v>
      </c>
      <c r="F236" s="279">
        <f t="shared" si="13"/>
        <v>0</v>
      </c>
      <c r="G236" s="293"/>
      <c r="H236" s="268"/>
      <c r="I236" s="268"/>
    </row>
    <row r="237" spans="1:9" x14ac:dyDescent="0.25">
      <c r="A237" s="275">
        <v>44059</v>
      </c>
      <c r="B237" s="277">
        <v>84</v>
      </c>
      <c r="C237" s="277">
        <v>59</v>
      </c>
      <c r="D237" s="140">
        <f t="shared" si="11"/>
        <v>71.5</v>
      </c>
      <c r="E237" s="140">
        <f t="shared" si="12"/>
        <v>0</v>
      </c>
      <c r="F237" s="279">
        <f t="shared" si="13"/>
        <v>0</v>
      </c>
      <c r="G237" s="293"/>
      <c r="H237" s="268"/>
      <c r="I237" s="268"/>
    </row>
    <row r="238" spans="1:9" x14ac:dyDescent="0.25">
      <c r="A238" s="275">
        <v>44060</v>
      </c>
      <c r="B238" s="277">
        <v>84</v>
      </c>
      <c r="C238" s="277">
        <v>63</v>
      </c>
      <c r="D238" s="140">
        <f t="shared" si="11"/>
        <v>73.5</v>
      </c>
      <c r="E238" s="140">
        <f t="shared" si="12"/>
        <v>0</v>
      </c>
      <c r="F238" s="279">
        <f t="shared" si="13"/>
        <v>0</v>
      </c>
      <c r="G238" s="293"/>
      <c r="H238" s="268"/>
      <c r="I238" s="268"/>
    </row>
    <row r="239" spans="1:9" x14ac:dyDescent="0.25">
      <c r="A239" s="275">
        <v>44061</v>
      </c>
      <c r="B239" s="277">
        <v>83</v>
      </c>
      <c r="C239" s="277">
        <v>58</v>
      </c>
      <c r="D239" s="140">
        <f t="shared" si="11"/>
        <v>70.5</v>
      </c>
      <c r="E239" s="140">
        <f t="shared" si="12"/>
        <v>0</v>
      </c>
      <c r="F239" s="279">
        <f t="shared" si="13"/>
        <v>0</v>
      </c>
      <c r="G239" s="293"/>
      <c r="H239" s="268"/>
      <c r="I239" s="268"/>
    </row>
    <row r="240" spans="1:9" x14ac:dyDescent="0.25">
      <c r="A240" s="275">
        <v>44062</v>
      </c>
      <c r="B240" s="277">
        <v>78</v>
      </c>
      <c r="C240" s="277">
        <v>57</v>
      </c>
      <c r="D240" s="140">
        <f t="shared" si="11"/>
        <v>67.5</v>
      </c>
      <c r="E240" s="140">
        <f t="shared" si="12"/>
        <v>0</v>
      </c>
      <c r="F240" s="279">
        <f t="shared" si="13"/>
        <v>0</v>
      </c>
      <c r="G240" s="293"/>
      <c r="H240" s="268"/>
      <c r="I240" s="268"/>
    </row>
    <row r="241" spans="1:9" x14ac:dyDescent="0.25">
      <c r="A241" s="275">
        <v>44063</v>
      </c>
      <c r="B241" s="277">
        <v>81</v>
      </c>
      <c r="C241" s="277">
        <v>55</v>
      </c>
      <c r="D241" s="140">
        <f t="shared" si="11"/>
        <v>68</v>
      </c>
      <c r="E241" s="140">
        <f t="shared" si="12"/>
        <v>0</v>
      </c>
      <c r="F241" s="279">
        <f t="shared" si="13"/>
        <v>0</v>
      </c>
      <c r="G241" s="293"/>
      <c r="H241" s="268"/>
      <c r="I241" s="268"/>
    </row>
    <row r="242" spans="1:9" x14ac:dyDescent="0.25">
      <c r="A242" s="275">
        <v>44064</v>
      </c>
      <c r="B242" s="277">
        <v>82</v>
      </c>
      <c r="C242" s="277">
        <v>57</v>
      </c>
      <c r="D242" s="140">
        <f t="shared" si="11"/>
        <v>69.5</v>
      </c>
      <c r="E242" s="140">
        <f t="shared" si="12"/>
        <v>0</v>
      </c>
      <c r="F242" s="279">
        <f t="shared" si="13"/>
        <v>0</v>
      </c>
      <c r="G242" s="293"/>
      <c r="H242" s="268"/>
      <c r="I242" s="268"/>
    </row>
    <row r="243" spans="1:9" x14ac:dyDescent="0.25">
      <c r="A243" s="275">
        <v>44065</v>
      </c>
      <c r="B243" s="277">
        <v>87</v>
      </c>
      <c r="C243" s="277">
        <v>59</v>
      </c>
      <c r="D243" s="140">
        <f t="shared" si="11"/>
        <v>73</v>
      </c>
      <c r="E243" s="140">
        <f t="shared" si="12"/>
        <v>0</v>
      </c>
      <c r="F243" s="279">
        <f t="shared" si="13"/>
        <v>0</v>
      </c>
      <c r="G243" s="293"/>
      <c r="H243" s="268"/>
      <c r="I243" s="268"/>
    </row>
    <row r="244" spans="1:9" x14ac:dyDescent="0.25">
      <c r="A244" s="275">
        <v>44066</v>
      </c>
      <c r="B244" s="277">
        <v>90</v>
      </c>
      <c r="C244" s="277">
        <v>65</v>
      </c>
      <c r="D244" s="140">
        <f t="shared" si="11"/>
        <v>77.5</v>
      </c>
      <c r="E244" s="140">
        <f t="shared" si="12"/>
        <v>0</v>
      </c>
      <c r="F244" s="279">
        <f t="shared" si="13"/>
        <v>0</v>
      </c>
      <c r="G244" s="293"/>
      <c r="H244" s="268"/>
      <c r="I244" s="268"/>
    </row>
    <row r="245" spans="1:9" x14ac:dyDescent="0.25">
      <c r="A245" s="275">
        <v>44067</v>
      </c>
      <c r="B245" s="277">
        <v>93</v>
      </c>
      <c r="C245" s="277">
        <v>69</v>
      </c>
      <c r="D245" s="140">
        <f t="shared" si="11"/>
        <v>81</v>
      </c>
      <c r="E245" s="140">
        <f t="shared" si="12"/>
        <v>0</v>
      </c>
      <c r="F245" s="279">
        <f t="shared" si="13"/>
        <v>0</v>
      </c>
      <c r="G245" s="293"/>
      <c r="H245" s="268"/>
      <c r="I245" s="268"/>
    </row>
    <row r="246" spans="1:9" x14ac:dyDescent="0.25">
      <c r="A246" s="275">
        <v>44068</v>
      </c>
      <c r="B246" s="277">
        <v>93</v>
      </c>
      <c r="C246" s="277">
        <v>67</v>
      </c>
      <c r="D246" s="140">
        <f t="shared" si="11"/>
        <v>80</v>
      </c>
      <c r="E246" s="140">
        <f t="shared" si="12"/>
        <v>0</v>
      </c>
      <c r="F246" s="279">
        <f t="shared" si="13"/>
        <v>0</v>
      </c>
      <c r="G246" s="293"/>
      <c r="H246" s="268"/>
      <c r="I246" s="268"/>
    </row>
    <row r="247" spans="1:9" x14ac:dyDescent="0.25">
      <c r="A247" s="275">
        <v>44069</v>
      </c>
      <c r="B247" s="277">
        <v>93</v>
      </c>
      <c r="C247" s="277">
        <v>68</v>
      </c>
      <c r="D247" s="140">
        <f t="shared" si="11"/>
        <v>80.5</v>
      </c>
      <c r="E247" s="140">
        <f t="shared" si="12"/>
        <v>0</v>
      </c>
      <c r="F247" s="279">
        <f t="shared" si="13"/>
        <v>0</v>
      </c>
      <c r="G247" s="293"/>
      <c r="H247" s="268"/>
      <c r="I247" s="268"/>
    </row>
    <row r="248" spans="1:9" x14ac:dyDescent="0.25">
      <c r="A248" s="275">
        <v>44070</v>
      </c>
      <c r="B248" s="277">
        <v>93</v>
      </c>
      <c r="C248" s="277">
        <v>70</v>
      </c>
      <c r="D248" s="140">
        <f t="shared" si="11"/>
        <v>81.5</v>
      </c>
      <c r="E248" s="140">
        <f t="shared" si="12"/>
        <v>0</v>
      </c>
      <c r="F248" s="279">
        <f t="shared" si="13"/>
        <v>0</v>
      </c>
      <c r="G248" s="293"/>
      <c r="H248" s="268"/>
      <c r="I248" s="268"/>
    </row>
    <row r="249" spans="1:9" x14ac:dyDescent="0.25">
      <c r="A249" s="275">
        <v>44071</v>
      </c>
      <c r="B249" s="277">
        <v>91</v>
      </c>
      <c r="C249" s="277">
        <v>66</v>
      </c>
      <c r="D249" s="140">
        <f t="shared" si="11"/>
        <v>78.5</v>
      </c>
      <c r="E249" s="140">
        <f t="shared" si="12"/>
        <v>0</v>
      </c>
      <c r="F249" s="279">
        <f t="shared" si="13"/>
        <v>0</v>
      </c>
      <c r="G249" s="293"/>
      <c r="H249" s="268"/>
      <c r="I249" s="268"/>
    </row>
    <row r="250" spans="1:9" x14ac:dyDescent="0.25">
      <c r="A250" s="275">
        <v>44072</v>
      </c>
      <c r="B250" s="277">
        <v>93</v>
      </c>
      <c r="C250" s="277">
        <v>68</v>
      </c>
      <c r="D250" s="140">
        <f t="shared" si="11"/>
        <v>80.5</v>
      </c>
      <c r="E250" s="140">
        <f t="shared" si="12"/>
        <v>0</v>
      </c>
      <c r="F250" s="279">
        <f t="shared" si="13"/>
        <v>0</v>
      </c>
      <c r="G250" s="293"/>
      <c r="H250" s="268"/>
      <c r="I250" s="268"/>
    </row>
    <row r="251" spans="1:9" x14ac:dyDescent="0.25">
      <c r="A251" s="275">
        <v>44073</v>
      </c>
      <c r="B251" s="277">
        <v>80</v>
      </c>
      <c r="C251" s="277">
        <v>56</v>
      </c>
      <c r="D251" s="140">
        <f t="shared" si="11"/>
        <v>68</v>
      </c>
      <c r="E251" s="140">
        <f t="shared" si="12"/>
        <v>0</v>
      </c>
      <c r="F251" s="279">
        <f t="shared" si="13"/>
        <v>0</v>
      </c>
      <c r="G251" s="293"/>
      <c r="H251" s="268"/>
      <c r="I251" s="268"/>
    </row>
    <row r="252" spans="1:9" x14ac:dyDescent="0.25">
      <c r="A252" s="275">
        <v>44074</v>
      </c>
      <c r="B252" s="277">
        <v>82</v>
      </c>
      <c r="C252" s="277">
        <v>60</v>
      </c>
      <c r="D252" s="140">
        <f t="shared" si="11"/>
        <v>71</v>
      </c>
      <c r="E252" s="140">
        <f t="shared" si="12"/>
        <v>0</v>
      </c>
      <c r="F252" s="279">
        <f t="shared" si="13"/>
        <v>0</v>
      </c>
      <c r="G252" s="293"/>
      <c r="H252" s="268"/>
      <c r="I252" s="268"/>
    </row>
    <row r="253" spans="1:9" x14ac:dyDescent="0.25">
      <c r="A253" s="275">
        <v>44075</v>
      </c>
      <c r="B253" s="277">
        <v>75</v>
      </c>
      <c r="C253" s="277">
        <v>63</v>
      </c>
      <c r="D253" s="140">
        <f t="shared" si="11"/>
        <v>69</v>
      </c>
      <c r="E253" s="140">
        <f t="shared" si="12"/>
        <v>0</v>
      </c>
      <c r="F253" s="279">
        <f t="shared" si="13"/>
        <v>0</v>
      </c>
      <c r="G253" s="293"/>
      <c r="H253" s="268"/>
      <c r="I253" s="268"/>
    </row>
    <row r="254" spans="1:9" x14ac:dyDescent="0.25">
      <c r="A254" s="275">
        <v>44076</v>
      </c>
      <c r="B254" s="277">
        <v>82</v>
      </c>
      <c r="C254" s="277">
        <v>64</v>
      </c>
      <c r="D254" s="140">
        <f t="shared" si="11"/>
        <v>73</v>
      </c>
      <c r="E254" s="140">
        <f t="shared" si="12"/>
        <v>0</v>
      </c>
      <c r="F254" s="279">
        <f t="shared" si="13"/>
        <v>0</v>
      </c>
      <c r="G254" s="293"/>
      <c r="H254" s="268"/>
      <c r="I254" s="268"/>
    </row>
    <row r="255" spans="1:9" x14ac:dyDescent="0.25">
      <c r="A255" s="275">
        <v>44077</v>
      </c>
      <c r="B255" s="277">
        <v>86</v>
      </c>
      <c r="C255" s="277">
        <v>62</v>
      </c>
      <c r="D255" s="140">
        <f t="shared" si="11"/>
        <v>74</v>
      </c>
      <c r="E255" s="140">
        <f t="shared" si="12"/>
        <v>0</v>
      </c>
      <c r="F255" s="279">
        <f t="shared" si="13"/>
        <v>0</v>
      </c>
      <c r="G255" s="293"/>
      <c r="H255" s="268"/>
      <c r="I255" s="268"/>
    </row>
    <row r="256" spans="1:9" x14ac:dyDescent="0.25">
      <c r="A256" s="275">
        <v>44078</v>
      </c>
      <c r="B256" s="277">
        <v>83</v>
      </c>
      <c r="C256" s="277">
        <v>52</v>
      </c>
      <c r="D256" s="140">
        <f t="shared" si="11"/>
        <v>67.5</v>
      </c>
      <c r="E256" s="140">
        <f t="shared" si="12"/>
        <v>0</v>
      </c>
      <c r="F256" s="279">
        <f t="shared" si="13"/>
        <v>0</v>
      </c>
      <c r="G256" s="293"/>
      <c r="H256" s="268"/>
      <c r="I256" s="268"/>
    </row>
    <row r="257" spans="1:9" x14ac:dyDescent="0.25">
      <c r="A257" s="275">
        <v>44079</v>
      </c>
      <c r="B257" s="277">
        <v>82</v>
      </c>
      <c r="C257" s="277">
        <v>57</v>
      </c>
      <c r="D257" s="140">
        <f t="shared" si="11"/>
        <v>69.5</v>
      </c>
      <c r="E257" s="140">
        <f t="shared" si="12"/>
        <v>0</v>
      </c>
      <c r="F257" s="279">
        <f t="shared" si="13"/>
        <v>0</v>
      </c>
      <c r="G257" s="293"/>
      <c r="H257" s="268"/>
      <c r="I257" s="268"/>
    </row>
    <row r="258" spans="1:9" x14ac:dyDescent="0.25">
      <c r="A258" s="275">
        <v>44080</v>
      </c>
      <c r="B258" s="277">
        <v>90</v>
      </c>
      <c r="C258" s="277">
        <v>61</v>
      </c>
      <c r="D258" s="140">
        <f t="shared" si="11"/>
        <v>75.5</v>
      </c>
      <c r="E258" s="140">
        <f t="shared" si="12"/>
        <v>0</v>
      </c>
      <c r="F258" s="279">
        <f t="shared" si="13"/>
        <v>0</v>
      </c>
      <c r="G258" s="293"/>
      <c r="H258" s="268"/>
      <c r="I258" s="268"/>
    </row>
    <row r="259" spans="1:9" x14ac:dyDescent="0.25">
      <c r="A259" s="275">
        <v>44081</v>
      </c>
      <c r="B259" s="277">
        <v>89</v>
      </c>
      <c r="C259" s="277">
        <v>68</v>
      </c>
      <c r="D259" s="140">
        <f t="shared" si="11"/>
        <v>78.5</v>
      </c>
      <c r="E259" s="140">
        <f t="shared" si="12"/>
        <v>0</v>
      </c>
      <c r="F259" s="279">
        <f t="shared" si="13"/>
        <v>0</v>
      </c>
      <c r="G259" s="293"/>
      <c r="H259" s="268"/>
      <c r="I259" s="268"/>
    </row>
    <row r="260" spans="1:9" x14ac:dyDescent="0.25">
      <c r="A260" s="275">
        <v>44082</v>
      </c>
      <c r="B260" s="277">
        <v>82</v>
      </c>
      <c r="C260" s="277">
        <v>55</v>
      </c>
      <c r="D260" s="140">
        <f t="shared" si="11"/>
        <v>68.5</v>
      </c>
      <c r="E260" s="140">
        <f t="shared" si="12"/>
        <v>0</v>
      </c>
      <c r="F260" s="279">
        <f t="shared" si="13"/>
        <v>0</v>
      </c>
      <c r="G260" s="293"/>
      <c r="H260" s="268"/>
      <c r="I260" s="268"/>
    </row>
    <row r="261" spans="1:9" x14ac:dyDescent="0.25">
      <c r="A261" s="275">
        <v>44083</v>
      </c>
      <c r="B261" s="277">
        <v>57</v>
      </c>
      <c r="C261" s="277">
        <v>49</v>
      </c>
      <c r="D261" s="140">
        <f t="shared" si="11"/>
        <v>53</v>
      </c>
      <c r="E261" s="140">
        <f t="shared" si="12"/>
        <v>12</v>
      </c>
      <c r="F261" s="279">
        <f t="shared" si="13"/>
        <v>15.711599999999999</v>
      </c>
      <c r="G261" s="293"/>
      <c r="H261" s="268"/>
      <c r="I261" s="268"/>
    </row>
    <row r="262" spans="1:9" x14ac:dyDescent="0.25">
      <c r="A262" s="275">
        <v>44084</v>
      </c>
      <c r="B262" s="277">
        <v>55</v>
      </c>
      <c r="C262" s="277">
        <v>49</v>
      </c>
      <c r="D262" s="140">
        <f t="shared" si="11"/>
        <v>52</v>
      </c>
      <c r="E262" s="140">
        <f t="shared" si="12"/>
        <v>13</v>
      </c>
      <c r="F262" s="279">
        <f t="shared" si="13"/>
        <v>17.020899999999997</v>
      </c>
      <c r="G262" s="293"/>
      <c r="H262" s="268"/>
      <c r="I262" s="268"/>
    </row>
    <row r="263" spans="1:9" x14ac:dyDescent="0.25">
      <c r="A263" s="275">
        <v>44085</v>
      </c>
      <c r="B263" s="277">
        <v>56</v>
      </c>
      <c r="C263" s="277">
        <v>51</v>
      </c>
      <c r="D263" s="140">
        <f t="shared" si="11"/>
        <v>53.5</v>
      </c>
      <c r="E263" s="140">
        <f t="shared" si="12"/>
        <v>11.5</v>
      </c>
      <c r="F263" s="279">
        <f t="shared" si="13"/>
        <v>15.056949999999999</v>
      </c>
      <c r="G263" s="293"/>
      <c r="H263" s="268"/>
      <c r="I263" s="268"/>
    </row>
    <row r="264" spans="1:9" x14ac:dyDescent="0.25">
      <c r="A264" s="275">
        <v>44086</v>
      </c>
      <c r="B264" s="277">
        <v>62</v>
      </c>
      <c r="C264" s="277">
        <v>56</v>
      </c>
      <c r="D264" s="140">
        <f t="shared" si="11"/>
        <v>59</v>
      </c>
      <c r="E264" s="140">
        <f t="shared" si="12"/>
        <v>6</v>
      </c>
      <c r="F264" s="279">
        <f t="shared" si="13"/>
        <v>7.8557999999999995</v>
      </c>
      <c r="G264" s="293"/>
      <c r="H264" s="268"/>
      <c r="I264" s="268"/>
    </row>
    <row r="265" spans="1:9" x14ac:dyDescent="0.25">
      <c r="A265" s="275">
        <v>44087</v>
      </c>
      <c r="B265" s="277">
        <v>76</v>
      </c>
      <c r="C265" s="277">
        <v>52</v>
      </c>
      <c r="D265" s="140">
        <f t="shared" si="11"/>
        <v>64</v>
      </c>
      <c r="E265" s="140">
        <f t="shared" si="12"/>
        <v>1</v>
      </c>
      <c r="F265" s="279">
        <f t="shared" si="13"/>
        <v>1.3092999999999999</v>
      </c>
      <c r="G265" s="293"/>
      <c r="H265" s="268"/>
      <c r="I265" s="268"/>
    </row>
    <row r="266" spans="1:9" x14ac:dyDescent="0.25">
      <c r="A266" s="275">
        <v>44088</v>
      </c>
      <c r="B266" s="277">
        <v>76</v>
      </c>
      <c r="C266" s="277">
        <v>52</v>
      </c>
      <c r="D266" s="140">
        <f t="shared" ref="D266:D329" si="14">(B266+C266)/2</f>
        <v>64</v>
      </c>
      <c r="E266" s="140">
        <f t="shared" ref="E266:E329" si="15">IF(65-D266&gt;0,65-D266,0)</f>
        <v>1</v>
      </c>
      <c r="F266" s="279">
        <f t="shared" ref="F266:F329" si="16">E266*(1+VLOOKUP(TEXT(A266,"MMM"),$H$9:$I$20,2,FALSE))</f>
        <v>1.3092999999999999</v>
      </c>
      <c r="G266" s="293"/>
      <c r="H266" s="268"/>
      <c r="I266" s="268"/>
    </row>
    <row r="267" spans="1:9" x14ac:dyDescent="0.25">
      <c r="A267" s="275">
        <v>44089</v>
      </c>
      <c r="B267" s="277">
        <v>78</v>
      </c>
      <c r="C267" s="277">
        <v>52</v>
      </c>
      <c r="D267" s="140">
        <f t="shared" si="14"/>
        <v>65</v>
      </c>
      <c r="E267" s="140">
        <f t="shared" si="15"/>
        <v>0</v>
      </c>
      <c r="F267" s="279">
        <f t="shared" si="16"/>
        <v>0</v>
      </c>
      <c r="G267" s="293"/>
      <c r="H267" s="268"/>
      <c r="I267" s="268"/>
    </row>
    <row r="268" spans="1:9" x14ac:dyDescent="0.25">
      <c r="A268" s="275">
        <v>44090</v>
      </c>
      <c r="B268" s="277">
        <v>77</v>
      </c>
      <c r="C268" s="277">
        <v>54</v>
      </c>
      <c r="D268" s="140">
        <f t="shared" si="14"/>
        <v>65.5</v>
      </c>
      <c r="E268" s="140">
        <f t="shared" si="15"/>
        <v>0</v>
      </c>
      <c r="F268" s="279">
        <f t="shared" si="16"/>
        <v>0</v>
      </c>
      <c r="G268" s="293"/>
      <c r="H268" s="268"/>
      <c r="I268" s="268"/>
    </row>
    <row r="269" spans="1:9" x14ac:dyDescent="0.25">
      <c r="A269" s="275">
        <v>44091</v>
      </c>
      <c r="B269" s="277">
        <v>83</v>
      </c>
      <c r="C269" s="277">
        <v>53</v>
      </c>
      <c r="D269" s="140">
        <f t="shared" si="14"/>
        <v>68</v>
      </c>
      <c r="E269" s="140">
        <f t="shared" si="15"/>
        <v>0</v>
      </c>
      <c r="F269" s="279">
        <f t="shared" si="16"/>
        <v>0</v>
      </c>
      <c r="G269" s="293"/>
      <c r="H269" s="268"/>
      <c r="I269" s="268"/>
    </row>
    <row r="270" spans="1:9" x14ac:dyDescent="0.25">
      <c r="A270" s="275">
        <v>44092</v>
      </c>
      <c r="B270" s="277">
        <v>73</v>
      </c>
      <c r="C270" s="277">
        <v>50</v>
      </c>
      <c r="D270" s="140">
        <f t="shared" si="14"/>
        <v>61.5</v>
      </c>
      <c r="E270" s="140">
        <f t="shared" si="15"/>
        <v>3.5</v>
      </c>
      <c r="F270" s="279">
        <f t="shared" si="16"/>
        <v>4.5825499999999995</v>
      </c>
      <c r="G270" s="293"/>
      <c r="H270" s="268"/>
      <c r="I270" s="268"/>
    </row>
    <row r="271" spans="1:9" x14ac:dyDescent="0.25">
      <c r="A271" s="275">
        <v>44093</v>
      </c>
      <c r="B271" s="277">
        <v>78</v>
      </c>
      <c r="C271" s="277">
        <v>48</v>
      </c>
      <c r="D271" s="140">
        <f t="shared" si="14"/>
        <v>63</v>
      </c>
      <c r="E271" s="140">
        <f t="shared" si="15"/>
        <v>2</v>
      </c>
      <c r="F271" s="279">
        <f t="shared" si="16"/>
        <v>2.6185999999999998</v>
      </c>
      <c r="G271" s="293"/>
      <c r="H271" s="268"/>
      <c r="I271" s="268"/>
    </row>
    <row r="272" spans="1:9" x14ac:dyDescent="0.25">
      <c r="A272" s="275">
        <v>44094</v>
      </c>
      <c r="B272" s="277">
        <v>69</v>
      </c>
      <c r="C272" s="277">
        <v>46</v>
      </c>
      <c r="D272" s="140">
        <f t="shared" si="14"/>
        <v>57.5</v>
      </c>
      <c r="E272" s="140">
        <f t="shared" si="15"/>
        <v>7.5</v>
      </c>
      <c r="F272" s="279">
        <f t="shared" si="16"/>
        <v>9.8197499999999991</v>
      </c>
      <c r="G272" s="293"/>
      <c r="H272" s="268"/>
      <c r="I272" s="268"/>
    </row>
    <row r="273" spans="1:9" x14ac:dyDescent="0.25">
      <c r="A273" s="275">
        <v>44095</v>
      </c>
      <c r="B273" s="277">
        <v>73</v>
      </c>
      <c r="C273" s="277">
        <v>48</v>
      </c>
      <c r="D273" s="140">
        <f t="shared" si="14"/>
        <v>60.5</v>
      </c>
      <c r="E273" s="140">
        <f t="shared" si="15"/>
        <v>4.5</v>
      </c>
      <c r="F273" s="279">
        <f t="shared" si="16"/>
        <v>5.8918499999999998</v>
      </c>
      <c r="G273" s="293"/>
      <c r="H273" s="268"/>
      <c r="I273" s="268"/>
    </row>
    <row r="274" spans="1:9" x14ac:dyDescent="0.25">
      <c r="A274" s="275">
        <v>44096</v>
      </c>
      <c r="B274" s="277">
        <v>77</v>
      </c>
      <c r="C274" s="277">
        <v>50</v>
      </c>
      <c r="D274" s="140">
        <f t="shared" si="14"/>
        <v>63.5</v>
      </c>
      <c r="E274" s="140">
        <f t="shared" si="15"/>
        <v>1.5</v>
      </c>
      <c r="F274" s="279">
        <f t="shared" si="16"/>
        <v>1.9639499999999999</v>
      </c>
      <c r="G274" s="293"/>
      <c r="H274" s="268"/>
      <c r="I274" s="268"/>
    </row>
    <row r="275" spans="1:9" x14ac:dyDescent="0.25">
      <c r="A275" s="275">
        <v>44097</v>
      </c>
      <c r="B275" s="277">
        <v>78</v>
      </c>
      <c r="C275" s="277">
        <v>53</v>
      </c>
      <c r="D275" s="140">
        <f t="shared" si="14"/>
        <v>65.5</v>
      </c>
      <c r="E275" s="140">
        <f t="shared" si="15"/>
        <v>0</v>
      </c>
      <c r="F275" s="279">
        <f t="shared" si="16"/>
        <v>0</v>
      </c>
      <c r="G275" s="293"/>
      <c r="H275" s="268"/>
      <c r="I275" s="268"/>
    </row>
    <row r="276" spans="1:9" x14ac:dyDescent="0.25">
      <c r="A276" s="275">
        <v>44098</v>
      </c>
      <c r="B276" s="277">
        <v>79</v>
      </c>
      <c r="C276" s="277">
        <v>54</v>
      </c>
      <c r="D276" s="140">
        <f t="shared" si="14"/>
        <v>66.5</v>
      </c>
      <c r="E276" s="140">
        <f t="shared" si="15"/>
        <v>0</v>
      </c>
      <c r="F276" s="279">
        <f t="shared" si="16"/>
        <v>0</v>
      </c>
      <c r="G276" s="293"/>
      <c r="H276" s="268"/>
      <c r="I276" s="268"/>
    </row>
    <row r="277" spans="1:9" x14ac:dyDescent="0.25">
      <c r="A277" s="275">
        <v>44099</v>
      </c>
      <c r="B277" s="277">
        <v>80</v>
      </c>
      <c r="C277" s="277">
        <v>54</v>
      </c>
      <c r="D277" s="140">
        <f t="shared" si="14"/>
        <v>67</v>
      </c>
      <c r="E277" s="140">
        <f t="shared" si="15"/>
        <v>0</v>
      </c>
      <c r="F277" s="279">
        <f t="shared" si="16"/>
        <v>0</v>
      </c>
      <c r="G277" s="293"/>
      <c r="H277" s="268"/>
      <c r="I277" s="268"/>
    </row>
    <row r="278" spans="1:9" x14ac:dyDescent="0.25">
      <c r="A278" s="275">
        <v>44100</v>
      </c>
      <c r="B278" s="277">
        <v>85</v>
      </c>
      <c r="C278" s="277">
        <v>58</v>
      </c>
      <c r="D278" s="140">
        <f t="shared" si="14"/>
        <v>71.5</v>
      </c>
      <c r="E278" s="140">
        <f t="shared" si="15"/>
        <v>0</v>
      </c>
      <c r="F278" s="279">
        <f t="shared" si="16"/>
        <v>0</v>
      </c>
      <c r="G278" s="293"/>
      <c r="H278" s="268"/>
      <c r="I278" s="268"/>
    </row>
    <row r="279" spans="1:9" x14ac:dyDescent="0.25">
      <c r="A279" s="275">
        <v>44101</v>
      </c>
      <c r="B279" s="277">
        <v>86</v>
      </c>
      <c r="C279" s="277">
        <v>62</v>
      </c>
      <c r="D279" s="140">
        <f t="shared" si="14"/>
        <v>74</v>
      </c>
      <c r="E279" s="140">
        <f t="shared" si="15"/>
        <v>0</v>
      </c>
      <c r="F279" s="279">
        <f t="shared" si="16"/>
        <v>0</v>
      </c>
      <c r="G279" s="293"/>
      <c r="H279" s="268"/>
      <c r="I279" s="268"/>
    </row>
    <row r="280" spans="1:9" x14ac:dyDescent="0.25">
      <c r="A280" s="275">
        <v>44102</v>
      </c>
      <c r="B280" s="277">
        <v>70</v>
      </c>
      <c r="C280" s="277">
        <v>47</v>
      </c>
      <c r="D280" s="140">
        <f t="shared" si="14"/>
        <v>58.5</v>
      </c>
      <c r="E280" s="140">
        <f t="shared" si="15"/>
        <v>6.5</v>
      </c>
      <c r="F280" s="279">
        <f t="shared" si="16"/>
        <v>8.5104499999999987</v>
      </c>
      <c r="G280" s="293"/>
      <c r="H280" s="268"/>
      <c r="I280" s="268"/>
    </row>
    <row r="281" spans="1:9" x14ac:dyDescent="0.25">
      <c r="A281" s="275">
        <v>44103</v>
      </c>
      <c r="B281" s="277">
        <v>64</v>
      </c>
      <c r="C281" s="277">
        <v>44</v>
      </c>
      <c r="D281" s="140">
        <f t="shared" si="14"/>
        <v>54</v>
      </c>
      <c r="E281" s="140">
        <f t="shared" si="15"/>
        <v>11</v>
      </c>
      <c r="F281" s="279">
        <f t="shared" si="16"/>
        <v>14.402299999999999</v>
      </c>
      <c r="G281" s="293"/>
      <c r="H281" s="268"/>
      <c r="I281" s="268"/>
    </row>
    <row r="282" spans="1:9" x14ac:dyDescent="0.25">
      <c r="A282" s="275">
        <v>44104</v>
      </c>
      <c r="B282" s="277">
        <v>70</v>
      </c>
      <c r="C282" s="277">
        <v>44</v>
      </c>
      <c r="D282" s="140">
        <f t="shared" si="14"/>
        <v>57</v>
      </c>
      <c r="E282" s="140">
        <f t="shared" si="15"/>
        <v>8</v>
      </c>
      <c r="F282" s="279">
        <f t="shared" si="16"/>
        <v>10.474399999999999</v>
      </c>
      <c r="G282" s="293"/>
      <c r="H282" s="268"/>
      <c r="I282" s="268"/>
    </row>
    <row r="283" spans="1:9" x14ac:dyDescent="0.25">
      <c r="A283" s="275">
        <v>44105</v>
      </c>
      <c r="B283" s="277">
        <v>71</v>
      </c>
      <c r="C283" s="277">
        <v>42</v>
      </c>
      <c r="D283" s="140">
        <f t="shared" si="14"/>
        <v>56.5</v>
      </c>
      <c r="E283" s="140">
        <f t="shared" si="15"/>
        <v>8.5</v>
      </c>
      <c r="F283" s="279">
        <f t="shared" si="16"/>
        <v>9.4468999999999994</v>
      </c>
      <c r="G283" s="293"/>
      <c r="H283" s="268"/>
      <c r="I283" s="268"/>
    </row>
    <row r="284" spans="1:9" x14ac:dyDescent="0.25">
      <c r="A284" s="275">
        <v>44106</v>
      </c>
      <c r="B284" s="277">
        <v>61</v>
      </c>
      <c r="C284" s="277">
        <v>35</v>
      </c>
      <c r="D284" s="140">
        <f t="shared" si="14"/>
        <v>48</v>
      </c>
      <c r="E284" s="140">
        <f t="shared" si="15"/>
        <v>17</v>
      </c>
      <c r="F284" s="279">
        <f t="shared" si="16"/>
        <v>18.893799999999999</v>
      </c>
      <c r="G284" s="293"/>
      <c r="H284" s="268"/>
      <c r="I284" s="268"/>
    </row>
    <row r="285" spans="1:9" x14ac:dyDescent="0.25">
      <c r="A285" s="275">
        <v>44107</v>
      </c>
      <c r="B285" s="277">
        <v>60</v>
      </c>
      <c r="C285" s="277">
        <v>36</v>
      </c>
      <c r="D285" s="140">
        <f t="shared" si="14"/>
        <v>48</v>
      </c>
      <c r="E285" s="140">
        <f t="shared" si="15"/>
        <v>17</v>
      </c>
      <c r="F285" s="279">
        <f t="shared" si="16"/>
        <v>18.893799999999999</v>
      </c>
      <c r="G285" s="293"/>
      <c r="H285" s="268"/>
      <c r="I285" s="268"/>
    </row>
    <row r="286" spans="1:9" x14ac:dyDescent="0.25">
      <c r="A286" s="275">
        <v>44108</v>
      </c>
      <c r="B286" s="277">
        <v>59</v>
      </c>
      <c r="C286" s="277">
        <v>40</v>
      </c>
      <c r="D286" s="140">
        <f t="shared" si="14"/>
        <v>49.5</v>
      </c>
      <c r="E286" s="140">
        <f t="shared" si="15"/>
        <v>15.5</v>
      </c>
      <c r="F286" s="279">
        <f t="shared" si="16"/>
        <v>17.226699999999997</v>
      </c>
      <c r="G286" s="293"/>
      <c r="H286" s="268"/>
      <c r="I286" s="268"/>
    </row>
    <row r="287" spans="1:9" x14ac:dyDescent="0.25">
      <c r="A287" s="275">
        <v>44109</v>
      </c>
      <c r="B287" s="277">
        <v>59</v>
      </c>
      <c r="C287" s="277">
        <v>41</v>
      </c>
      <c r="D287" s="140">
        <f t="shared" si="14"/>
        <v>50</v>
      </c>
      <c r="E287" s="140">
        <f t="shared" si="15"/>
        <v>15</v>
      </c>
      <c r="F287" s="279">
        <f t="shared" si="16"/>
        <v>16.670999999999999</v>
      </c>
      <c r="G287" s="293"/>
      <c r="H287" s="268"/>
      <c r="I287" s="268"/>
    </row>
    <row r="288" spans="1:9" x14ac:dyDescent="0.25">
      <c r="A288" s="275">
        <v>44110</v>
      </c>
      <c r="B288" s="277">
        <v>71</v>
      </c>
      <c r="C288" s="277">
        <v>41</v>
      </c>
      <c r="D288" s="140">
        <f t="shared" si="14"/>
        <v>56</v>
      </c>
      <c r="E288" s="140">
        <f t="shared" si="15"/>
        <v>9</v>
      </c>
      <c r="F288" s="279">
        <f t="shared" si="16"/>
        <v>10.002599999999999</v>
      </c>
      <c r="G288" s="293"/>
      <c r="H288" s="268"/>
      <c r="I288" s="268"/>
    </row>
    <row r="289" spans="1:9" x14ac:dyDescent="0.25">
      <c r="A289" s="275">
        <v>44111</v>
      </c>
      <c r="B289" s="277">
        <v>81</v>
      </c>
      <c r="C289" s="277">
        <v>47</v>
      </c>
      <c r="D289" s="140">
        <f t="shared" si="14"/>
        <v>64</v>
      </c>
      <c r="E289" s="140">
        <f t="shared" si="15"/>
        <v>1</v>
      </c>
      <c r="F289" s="279">
        <f t="shared" si="16"/>
        <v>1.1113999999999999</v>
      </c>
      <c r="G289" s="293"/>
      <c r="H289" s="268"/>
      <c r="I289" s="268"/>
    </row>
    <row r="290" spans="1:9" x14ac:dyDescent="0.25">
      <c r="A290" s="275">
        <v>44112</v>
      </c>
      <c r="B290" s="277">
        <v>85</v>
      </c>
      <c r="C290" s="277">
        <v>53</v>
      </c>
      <c r="D290" s="140">
        <f t="shared" si="14"/>
        <v>69</v>
      </c>
      <c r="E290" s="140">
        <f t="shared" si="15"/>
        <v>0</v>
      </c>
      <c r="F290" s="279">
        <f t="shared" si="16"/>
        <v>0</v>
      </c>
      <c r="G290" s="293"/>
      <c r="H290" s="268"/>
      <c r="I290" s="268"/>
    </row>
    <row r="291" spans="1:9" x14ac:dyDescent="0.25">
      <c r="A291" s="275">
        <v>44113</v>
      </c>
      <c r="B291" s="277">
        <v>83</v>
      </c>
      <c r="C291" s="277">
        <v>56</v>
      </c>
      <c r="D291" s="140">
        <f t="shared" si="14"/>
        <v>69.5</v>
      </c>
      <c r="E291" s="140">
        <f t="shared" si="15"/>
        <v>0</v>
      </c>
      <c r="F291" s="279">
        <f t="shared" si="16"/>
        <v>0</v>
      </c>
      <c r="G291" s="293"/>
      <c r="H291" s="268"/>
      <c r="I291" s="268"/>
    </row>
    <row r="292" spans="1:9" x14ac:dyDescent="0.25">
      <c r="A292" s="275">
        <v>44114</v>
      </c>
      <c r="B292" s="277">
        <v>82</v>
      </c>
      <c r="C292" s="277">
        <v>57</v>
      </c>
      <c r="D292" s="140">
        <f t="shared" si="14"/>
        <v>69.5</v>
      </c>
      <c r="E292" s="140">
        <f t="shared" si="15"/>
        <v>0</v>
      </c>
      <c r="F292" s="279">
        <f t="shared" si="16"/>
        <v>0</v>
      </c>
      <c r="G292" s="293"/>
      <c r="H292" s="268"/>
      <c r="I292" s="268"/>
    </row>
    <row r="293" spans="1:9" x14ac:dyDescent="0.25">
      <c r="A293" s="275">
        <v>44115</v>
      </c>
      <c r="B293" s="277">
        <v>83</v>
      </c>
      <c r="C293" s="277">
        <v>57</v>
      </c>
      <c r="D293" s="140">
        <f t="shared" si="14"/>
        <v>70</v>
      </c>
      <c r="E293" s="140">
        <f t="shared" si="15"/>
        <v>0</v>
      </c>
      <c r="F293" s="279">
        <f t="shared" si="16"/>
        <v>0</v>
      </c>
      <c r="G293" s="293"/>
      <c r="H293" s="268"/>
      <c r="I293" s="268"/>
    </row>
    <row r="294" spans="1:9" x14ac:dyDescent="0.25">
      <c r="A294" s="275">
        <v>44116</v>
      </c>
      <c r="B294" s="277">
        <v>85</v>
      </c>
      <c r="C294" s="277">
        <v>55</v>
      </c>
      <c r="D294" s="140">
        <f t="shared" si="14"/>
        <v>70</v>
      </c>
      <c r="E294" s="140">
        <f t="shared" si="15"/>
        <v>0</v>
      </c>
      <c r="F294" s="279">
        <f t="shared" si="16"/>
        <v>0</v>
      </c>
      <c r="G294" s="293"/>
      <c r="H294" s="268"/>
      <c r="I294" s="268"/>
    </row>
    <row r="295" spans="1:9" x14ac:dyDescent="0.25">
      <c r="A295" s="275">
        <v>44117</v>
      </c>
      <c r="B295" s="277">
        <v>70</v>
      </c>
      <c r="C295" s="277">
        <v>43</v>
      </c>
      <c r="D295" s="140">
        <f t="shared" si="14"/>
        <v>56.5</v>
      </c>
      <c r="E295" s="140">
        <f t="shared" si="15"/>
        <v>8.5</v>
      </c>
      <c r="F295" s="279">
        <f t="shared" si="16"/>
        <v>9.4468999999999994</v>
      </c>
      <c r="G295" s="293"/>
      <c r="H295" s="268"/>
      <c r="I295" s="268"/>
    </row>
    <row r="296" spans="1:9" x14ac:dyDescent="0.25">
      <c r="A296" s="275">
        <v>44118</v>
      </c>
      <c r="B296" s="277">
        <v>77</v>
      </c>
      <c r="C296" s="277">
        <v>46</v>
      </c>
      <c r="D296" s="140">
        <f t="shared" si="14"/>
        <v>61.5</v>
      </c>
      <c r="E296" s="140">
        <f t="shared" si="15"/>
        <v>3.5</v>
      </c>
      <c r="F296" s="279">
        <f t="shared" si="16"/>
        <v>3.8898999999999999</v>
      </c>
      <c r="G296" s="293"/>
      <c r="H296" s="268"/>
      <c r="I296" s="268"/>
    </row>
    <row r="297" spans="1:9" x14ac:dyDescent="0.25">
      <c r="A297" s="275">
        <v>44119</v>
      </c>
      <c r="B297" s="277">
        <v>82</v>
      </c>
      <c r="C297" s="277">
        <v>48</v>
      </c>
      <c r="D297" s="140">
        <f t="shared" si="14"/>
        <v>65</v>
      </c>
      <c r="E297" s="140">
        <f t="shared" si="15"/>
        <v>0</v>
      </c>
      <c r="F297" s="279">
        <f t="shared" si="16"/>
        <v>0</v>
      </c>
      <c r="G297" s="293"/>
      <c r="H297" s="268"/>
      <c r="I297" s="268"/>
    </row>
    <row r="298" spans="1:9" x14ac:dyDescent="0.25">
      <c r="A298" s="275">
        <v>44120</v>
      </c>
      <c r="B298" s="277">
        <v>57</v>
      </c>
      <c r="C298" s="277">
        <v>32</v>
      </c>
      <c r="D298" s="140">
        <f t="shared" si="14"/>
        <v>44.5</v>
      </c>
      <c r="E298" s="140">
        <f t="shared" si="15"/>
        <v>20.5</v>
      </c>
      <c r="F298" s="279">
        <f t="shared" si="16"/>
        <v>22.7837</v>
      </c>
      <c r="G298" s="293"/>
      <c r="H298" s="268"/>
      <c r="I298" s="268"/>
    </row>
    <row r="299" spans="1:9" x14ac:dyDescent="0.25">
      <c r="A299" s="275">
        <v>44121</v>
      </c>
      <c r="B299" s="277">
        <v>60</v>
      </c>
      <c r="C299" s="277">
        <v>33</v>
      </c>
      <c r="D299" s="140">
        <f t="shared" si="14"/>
        <v>46.5</v>
      </c>
      <c r="E299" s="140">
        <f t="shared" si="15"/>
        <v>18.5</v>
      </c>
      <c r="F299" s="279">
        <f t="shared" si="16"/>
        <v>20.5609</v>
      </c>
      <c r="G299" s="293"/>
      <c r="H299" s="268"/>
      <c r="I299" s="268"/>
    </row>
    <row r="300" spans="1:9" x14ac:dyDescent="0.25">
      <c r="A300" s="275">
        <v>44122</v>
      </c>
      <c r="B300" s="277">
        <v>72</v>
      </c>
      <c r="C300" s="277">
        <v>42</v>
      </c>
      <c r="D300" s="140">
        <f t="shared" si="14"/>
        <v>57</v>
      </c>
      <c r="E300" s="140">
        <f t="shared" si="15"/>
        <v>8</v>
      </c>
      <c r="F300" s="279">
        <f t="shared" si="16"/>
        <v>8.8911999999999995</v>
      </c>
      <c r="G300" s="293"/>
      <c r="H300" s="268"/>
      <c r="I300" s="268"/>
    </row>
    <row r="301" spans="1:9" x14ac:dyDescent="0.25">
      <c r="A301" s="275">
        <v>44123</v>
      </c>
      <c r="B301" s="277">
        <v>43</v>
      </c>
      <c r="C301" s="277">
        <v>37</v>
      </c>
      <c r="D301" s="140">
        <f t="shared" si="14"/>
        <v>40</v>
      </c>
      <c r="E301" s="140">
        <f t="shared" si="15"/>
        <v>25</v>
      </c>
      <c r="F301" s="279">
        <f t="shared" si="16"/>
        <v>27.785</v>
      </c>
      <c r="G301" s="293"/>
      <c r="H301" s="268"/>
      <c r="I301" s="268"/>
    </row>
    <row r="302" spans="1:9" x14ac:dyDescent="0.25">
      <c r="A302" s="275">
        <v>44124</v>
      </c>
      <c r="B302" s="277">
        <v>43</v>
      </c>
      <c r="C302" s="277">
        <v>37</v>
      </c>
      <c r="D302" s="140">
        <f t="shared" si="14"/>
        <v>40</v>
      </c>
      <c r="E302" s="140">
        <f t="shared" si="15"/>
        <v>25</v>
      </c>
      <c r="F302" s="279">
        <f t="shared" si="16"/>
        <v>27.785</v>
      </c>
      <c r="G302" s="293"/>
      <c r="H302" s="268"/>
      <c r="I302" s="268"/>
    </row>
    <row r="303" spans="1:9" x14ac:dyDescent="0.25">
      <c r="A303" s="275">
        <v>44125</v>
      </c>
      <c r="B303" s="277">
        <v>45</v>
      </c>
      <c r="C303" s="277">
        <v>37</v>
      </c>
      <c r="D303" s="140">
        <f t="shared" si="14"/>
        <v>41</v>
      </c>
      <c r="E303" s="140">
        <f t="shared" si="15"/>
        <v>24</v>
      </c>
      <c r="F303" s="279">
        <f t="shared" si="16"/>
        <v>26.6736</v>
      </c>
      <c r="G303" s="293"/>
      <c r="H303" s="268"/>
      <c r="I303" s="268"/>
    </row>
    <row r="304" spans="1:9" x14ac:dyDescent="0.25">
      <c r="A304" s="275">
        <v>44126</v>
      </c>
      <c r="B304" s="277">
        <v>51</v>
      </c>
      <c r="C304" s="277">
        <v>36</v>
      </c>
      <c r="D304" s="140">
        <f t="shared" si="14"/>
        <v>43.5</v>
      </c>
      <c r="E304" s="140">
        <f t="shared" si="15"/>
        <v>21.5</v>
      </c>
      <c r="F304" s="279">
        <f t="shared" si="16"/>
        <v>23.895099999999999</v>
      </c>
      <c r="G304" s="293"/>
      <c r="H304" s="268"/>
      <c r="I304" s="268"/>
    </row>
    <row r="305" spans="1:9" x14ac:dyDescent="0.25">
      <c r="A305" s="275">
        <v>44127</v>
      </c>
      <c r="B305" s="277">
        <v>84</v>
      </c>
      <c r="C305" s="277">
        <v>36</v>
      </c>
      <c r="D305" s="140">
        <f t="shared" si="14"/>
        <v>60</v>
      </c>
      <c r="E305" s="140">
        <f t="shared" si="15"/>
        <v>5</v>
      </c>
      <c r="F305" s="279">
        <f t="shared" si="16"/>
        <v>5.5569999999999995</v>
      </c>
      <c r="G305" s="293"/>
      <c r="H305" s="268"/>
      <c r="I305" s="268"/>
    </row>
    <row r="306" spans="1:9" x14ac:dyDescent="0.25">
      <c r="A306" s="275">
        <v>44128</v>
      </c>
      <c r="B306" s="277">
        <v>44</v>
      </c>
      <c r="C306" s="277">
        <v>34</v>
      </c>
      <c r="D306" s="140">
        <f t="shared" si="14"/>
        <v>39</v>
      </c>
      <c r="E306" s="140">
        <f t="shared" si="15"/>
        <v>26</v>
      </c>
      <c r="F306" s="279">
        <f t="shared" si="16"/>
        <v>28.8964</v>
      </c>
      <c r="G306" s="293"/>
      <c r="H306" s="268"/>
      <c r="I306" s="268"/>
    </row>
    <row r="307" spans="1:9" x14ac:dyDescent="0.25">
      <c r="A307" s="275">
        <v>44129</v>
      </c>
      <c r="B307" s="277">
        <v>41</v>
      </c>
      <c r="C307" s="277">
        <v>34</v>
      </c>
      <c r="D307" s="140">
        <f t="shared" si="14"/>
        <v>37.5</v>
      </c>
      <c r="E307" s="140">
        <f t="shared" si="15"/>
        <v>27.5</v>
      </c>
      <c r="F307" s="279">
        <f t="shared" si="16"/>
        <v>30.563499999999998</v>
      </c>
      <c r="G307" s="293"/>
      <c r="H307" s="268"/>
      <c r="I307" s="268"/>
    </row>
    <row r="308" spans="1:9" x14ac:dyDescent="0.25">
      <c r="A308" s="275">
        <v>44130</v>
      </c>
      <c r="B308" s="277">
        <v>40</v>
      </c>
      <c r="C308" s="277">
        <v>27</v>
      </c>
      <c r="D308" s="140">
        <f t="shared" si="14"/>
        <v>33.5</v>
      </c>
      <c r="E308" s="140">
        <f t="shared" si="15"/>
        <v>31.5</v>
      </c>
      <c r="F308" s="279">
        <f t="shared" si="16"/>
        <v>35.009099999999997</v>
      </c>
      <c r="G308" s="293"/>
      <c r="H308" s="268"/>
      <c r="I308" s="268"/>
    </row>
    <row r="309" spans="1:9" x14ac:dyDescent="0.25">
      <c r="A309" s="275">
        <v>44131</v>
      </c>
      <c r="B309" s="277">
        <v>31</v>
      </c>
      <c r="C309" s="277">
        <v>27</v>
      </c>
      <c r="D309" s="140">
        <f t="shared" si="14"/>
        <v>29</v>
      </c>
      <c r="E309" s="140">
        <f t="shared" si="15"/>
        <v>36</v>
      </c>
      <c r="F309" s="279">
        <f t="shared" si="16"/>
        <v>40.010399999999997</v>
      </c>
      <c r="G309" s="293"/>
      <c r="H309" s="268"/>
      <c r="I309" s="268"/>
    </row>
    <row r="310" spans="1:9" x14ac:dyDescent="0.25">
      <c r="A310" s="275">
        <v>44132</v>
      </c>
      <c r="B310" s="277">
        <v>35</v>
      </c>
      <c r="C310" s="277">
        <v>29</v>
      </c>
      <c r="D310" s="140">
        <f t="shared" si="14"/>
        <v>32</v>
      </c>
      <c r="E310" s="140">
        <f t="shared" si="15"/>
        <v>33</v>
      </c>
      <c r="F310" s="279">
        <f t="shared" si="16"/>
        <v>36.676200000000001</v>
      </c>
      <c r="G310" s="293"/>
      <c r="H310" s="268"/>
      <c r="I310" s="268"/>
    </row>
    <row r="311" spans="1:9" x14ac:dyDescent="0.25">
      <c r="A311" s="275">
        <v>44133</v>
      </c>
      <c r="B311" s="277">
        <v>45</v>
      </c>
      <c r="C311" s="277">
        <v>29</v>
      </c>
      <c r="D311" s="140">
        <f t="shared" si="14"/>
        <v>37</v>
      </c>
      <c r="E311" s="140">
        <f t="shared" si="15"/>
        <v>28</v>
      </c>
      <c r="F311" s="279">
        <f t="shared" si="16"/>
        <v>31.119199999999999</v>
      </c>
      <c r="G311" s="293"/>
      <c r="H311" s="268"/>
      <c r="I311" s="268"/>
    </row>
    <row r="312" spans="1:9" x14ac:dyDescent="0.25">
      <c r="A312" s="275">
        <v>44134</v>
      </c>
      <c r="B312" s="277">
        <v>49</v>
      </c>
      <c r="C312" s="277">
        <v>27</v>
      </c>
      <c r="D312" s="140">
        <f t="shared" si="14"/>
        <v>38</v>
      </c>
      <c r="E312" s="140">
        <f t="shared" si="15"/>
        <v>27</v>
      </c>
      <c r="F312" s="279">
        <f t="shared" si="16"/>
        <v>30.0078</v>
      </c>
      <c r="G312" s="293"/>
      <c r="H312" s="268"/>
      <c r="I312" s="268"/>
    </row>
    <row r="313" spans="1:9" x14ac:dyDescent="0.25">
      <c r="A313" s="275">
        <v>44135</v>
      </c>
      <c r="B313" s="277">
        <v>56</v>
      </c>
      <c r="C313" s="277">
        <v>27</v>
      </c>
      <c r="D313" s="140">
        <f t="shared" si="14"/>
        <v>41.5</v>
      </c>
      <c r="E313" s="140">
        <f t="shared" si="15"/>
        <v>23.5</v>
      </c>
      <c r="F313" s="279">
        <f t="shared" si="16"/>
        <v>26.117899999999999</v>
      </c>
      <c r="G313" s="293"/>
      <c r="H313" s="268"/>
      <c r="I313" s="268"/>
    </row>
    <row r="314" spans="1:9" x14ac:dyDescent="0.25">
      <c r="A314" s="275">
        <v>44136</v>
      </c>
      <c r="B314" s="277">
        <v>68</v>
      </c>
      <c r="C314" s="277">
        <v>35</v>
      </c>
      <c r="D314" s="140">
        <f t="shared" si="14"/>
        <v>51.5</v>
      </c>
      <c r="E314" s="140">
        <f t="shared" si="15"/>
        <v>13.5</v>
      </c>
      <c r="F314" s="279">
        <f t="shared" si="16"/>
        <v>14.075099999999999</v>
      </c>
      <c r="G314" s="293"/>
      <c r="H314" s="268"/>
      <c r="I314" s="268"/>
    </row>
    <row r="315" spans="1:9" x14ac:dyDescent="0.25">
      <c r="A315" s="275">
        <v>44137</v>
      </c>
      <c r="B315" s="277">
        <v>48</v>
      </c>
      <c r="C315" s="277">
        <v>24</v>
      </c>
      <c r="D315" s="140">
        <f t="shared" si="14"/>
        <v>36</v>
      </c>
      <c r="E315" s="140">
        <f t="shared" si="15"/>
        <v>29</v>
      </c>
      <c r="F315" s="279">
        <f t="shared" si="16"/>
        <v>30.235399999999998</v>
      </c>
      <c r="G315" s="293"/>
      <c r="H315" s="268"/>
      <c r="I315" s="268"/>
    </row>
    <row r="316" spans="1:9" x14ac:dyDescent="0.25">
      <c r="A316" s="275">
        <v>44138</v>
      </c>
      <c r="B316" s="277">
        <v>65</v>
      </c>
      <c r="C316" s="277">
        <v>28</v>
      </c>
      <c r="D316" s="140">
        <f t="shared" si="14"/>
        <v>46.5</v>
      </c>
      <c r="E316" s="140">
        <f t="shared" si="15"/>
        <v>18.5</v>
      </c>
      <c r="F316" s="279">
        <f t="shared" si="16"/>
        <v>19.2881</v>
      </c>
      <c r="G316" s="293"/>
      <c r="H316" s="268"/>
      <c r="I316" s="268"/>
    </row>
    <row r="317" spans="1:9" x14ac:dyDescent="0.25">
      <c r="A317" s="275">
        <v>44139</v>
      </c>
      <c r="B317" s="277">
        <v>74</v>
      </c>
      <c r="C317" s="277">
        <v>36</v>
      </c>
      <c r="D317" s="140">
        <f t="shared" si="14"/>
        <v>55</v>
      </c>
      <c r="E317" s="140">
        <f t="shared" si="15"/>
        <v>10</v>
      </c>
      <c r="F317" s="279">
        <f t="shared" si="16"/>
        <v>10.426</v>
      </c>
      <c r="G317" s="293"/>
      <c r="H317" s="268"/>
      <c r="I317" s="268"/>
    </row>
    <row r="318" spans="1:9" x14ac:dyDescent="0.25">
      <c r="A318" s="275">
        <v>44140</v>
      </c>
      <c r="B318" s="277">
        <v>68</v>
      </c>
      <c r="C318" s="277">
        <v>48</v>
      </c>
      <c r="D318" s="140">
        <f t="shared" si="14"/>
        <v>58</v>
      </c>
      <c r="E318" s="140">
        <f t="shared" si="15"/>
        <v>7</v>
      </c>
      <c r="F318" s="279">
        <f t="shared" si="16"/>
        <v>7.2981999999999996</v>
      </c>
      <c r="G318" s="293"/>
      <c r="H318" s="268"/>
      <c r="I318" s="268"/>
    </row>
    <row r="319" spans="1:9" x14ac:dyDescent="0.25">
      <c r="A319" s="275">
        <v>44141</v>
      </c>
      <c r="B319" s="277">
        <v>75</v>
      </c>
      <c r="C319" s="277">
        <v>42</v>
      </c>
      <c r="D319" s="140">
        <f t="shared" si="14"/>
        <v>58.5</v>
      </c>
      <c r="E319" s="140">
        <f t="shared" si="15"/>
        <v>6.5</v>
      </c>
      <c r="F319" s="279">
        <f t="shared" si="16"/>
        <v>6.7768999999999995</v>
      </c>
      <c r="G319" s="293"/>
      <c r="H319" s="268"/>
      <c r="I319" s="268"/>
    </row>
    <row r="320" spans="1:9" x14ac:dyDescent="0.25">
      <c r="A320" s="275">
        <v>44142</v>
      </c>
      <c r="B320" s="277">
        <v>74</v>
      </c>
      <c r="C320" s="277">
        <v>44</v>
      </c>
      <c r="D320" s="140">
        <f t="shared" si="14"/>
        <v>59</v>
      </c>
      <c r="E320" s="140">
        <f t="shared" si="15"/>
        <v>6</v>
      </c>
      <c r="F320" s="279">
        <f t="shared" si="16"/>
        <v>6.2555999999999994</v>
      </c>
      <c r="G320" s="293"/>
      <c r="H320" s="268"/>
      <c r="I320" s="268"/>
    </row>
    <row r="321" spans="1:9" x14ac:dyDescent="0.25">
      <c r="A321" s="275">
        <v>44143</v>
      </c>
      <c r="B321" s="277">
        <v>72</v>
      </c>
      <c r="C321" s="277">
        <v>49</v>
      </c>
      <c r="D321" s="140">
        <f t="shared" si="14"/>
        <v>60.5</v>
      </c>
      <c r="E321" s="140">
        <f t="shared" si="15"/>
        <v>4.5</v>
      </c>
      <c r="F321" s="279">
        <f t="shared" si="16"/>
        <v>4.6917</v>
      </c>
      <c r="G321" s="293"/>
      <c r="H321" s="268"/>
      <c r="I321" s="268"/>
    </row>
    <row r="322" spans="1:9" x14ac:dyDescent="0.25">
      <c r="A322" s="275">
        <v>44144</v>
      </c>
      <c r="B322" s="277">
        <v>76</v>
      </c>
      <c r="C322" s="277">
        <v>60</v>
      </c>
      <c r="D322" s="140">
        <f t="shared" si="14"/>
        <v>68</v>
      </c>
      <c r="E322" s="140">
        <f t="shared" si="15"/>
        <v>0</v>
      </c>
      <c r="F322" s="279">
        <f t="shared" si="16"/>
        <v>0</v>
      </c>
      <c r="G322" s="293"/>
      <c r="H322" s="268"/>
      <c r="I322" s="268"/>
    </row>
    <row r="323" spans="1:9" x14ac:dyDescent="0.25">
      <c r="A323" s="275">
        <v>44145</v>
      </c>
      <c r="B323" s="277">
        <v>77</v>
      </c>
      <c r="C323" s="277">
        <v>43</v>
      </c>
      <c r="D323" s="140">
        <f t="shared" si="14"/>
        <v>60</v>
      </c>
      <c r="E323" s="140">
        <f t="shared" si="15"/>
        <v>5</v>
      </c>
      <c r="F323" s="279">
        <f t="shared" si="16"/>
        <v>5.2130000000000001</v>
      </c>
      <c r="G323" s="293"/>
      <c r="H323" s="268"/>
      <c r="I323" s="268"/>
    </row>
    <row r="324" spans="1:9" x14ac:dyDescent="0.25">
      <c r="A324" s="275">
        <v>44146</v>
      </c>
      <c r="B324" s="277">
        <v>51</v>
      </c>
      <c r="C324" s="277">
        <v>26</v>
      </c>
      <c r="D324" s="140">
        <f t="shared" si="14"/>
        <v>38.5</v>
      </c>
      <c r="E324" s="140">
        <f t="shared" si="15"/>
        <v>26.5</v>
      </c>
      <c r="F324" s="279">
        <f t="shared" si="16"/>
        <v>27.628899999999998</v>
      </c>
      <c r="G324" s="293"/>
      <c r="H324" s="268"/>
      <c r="I324" s="268"/>
    </row>
    <row r="325" spans="1:9" x14ac:dyDescent="0.25">
      <c r="A325" s="275">
        <v>44147</v>
      </c>
      <c r="B325" s="277">
        <v>54</v>
      </c>
      <c r="C325" s="277">
        <v>30</v>
      </c>
      <c r="D325" s="140">
        <f t="shared" si="14"/>
        <v>42</v>
      </c>
      <c r="E325" s="140">
        <f t="shared" si="15"/>
        <v>23</v>
      </c>
      <c r="F325" s="279">
        <f t="shared" si="16"/>
        <v>23.979800000000001</v>
      </c>
      <c r="G325" s="293"/>
      <c r="H325" s="268"/>
      <c r="I325" s="268"/>
    </row>
    <row r="326" spans="1:9" x14ac:dyDescent="0.25">
      <c r="A326" s="275">
        <v>44148</v>
      </c>
      <c r="B326" s="277">
        <v>59</v>
      </c>
      <c r="C326" s="277">
        <v>21</v>
      </c>
      <c r="D326" s="140">
        <f t="shared" si="14"/>
        <v>40</v>
      </c>
      <c r="E326" s="140">
        <f t="shared" si="15"/>
        <v>25</v>
      </c>
      <c r="F326" s="279">
        <f t="shared" si="16"/>
        <v>26.064999999999998</v>
      </c>
      <c r="G326" s="293"/>
      <c r="H326" s="268"/>
      <c r="I326" s="268"/>
    </row>
    <row r="327" spans="1:9" x14ac:dyDescent="0.25">
      <c r="A327" s="275">
        <v>44149</v>
      </c>
      <c r="B327" s="277">
        <v>45</v>
      </c>
      <c r="C327" s="277">
        <v>22</v>
      </c>
      <c r="D327" s="140">
        <f t="shared" si="14"/>
        <v>33.5</v>
      </c>
      <c r="E327" s="140">
        <f t="shared" si="15"/>
        <v>31.5</v>
      </c>
      <c r="F327" s="279">
        <f t="shared" si="16"/>
        <v>32.841900000000003</v>
      </c>
      <c r="G327" s="293"/>
      <c r="H327" s="268"/>
      <c r="I327" s="268"/>
    </row>
    <row r="328" spans="1:9" x14ac:dyDescent="0.25">
      <c r="A328" s="275">
        <v>44150</v>
      </c>
      <c r="B328" s="277">
        <v>62</v>
      </c>
      <c r="C328" s="277">
        <v>38</v>
      </c>
      <c r="D328" s="140">
        <f t="shared" si="14"/>
        <v>50</v>
      </c>
      <c r="E328" s="140">
        <f t="shared" si="15"/>
        <v>15</v>
      </c>
      <c r="F328" s="279">
        <f t="shared" si="16"/>
        <v>15.638999999999999</v>
      </c>
      <c r="G328" s="293"/>
      <c r="H328" s="268"/>
      <c r="I328" s="268"/>
    </row>
    <row r="329" spans="1:9" x14ac:dyDescent="0.25">
      <c r="A329" s="275">
        <v>44151</v>
      </c>
      <c r="B329" s="277">
        <v>52</v>
      </c>
      <c r="C329" s="277">
        <v>28</v>
      </c>
      <c r="D329" s="140">
        <f t="shared" si="14"/>
        <v>40</v>
      </c>
      <c r="E329" s="140">
        <f t="shared" si="15"/>
        <v>25</v>
      </c>
      <c r="F329" s="279">
        <f t="shared" si="16"/>
        <v>26.064999999999998</v>
      </c>
      <c r="G329" s="293"/>
      <c r="H329" s="268"/>
      <c r="I329" s="268"/>
    </row>
    <row r="330" spans="1:9" x14ac:dyDescent="0.25">
      <c r="A330" s="275">
        <v>44152</v>
      </c>
      <c r="B330" s="277">
        <v>62</v>
      </c>
      <c r="C330" s="277">
        <v>27</v>
      </c>
      <c r="D330" s="140">
        <f t="shared" ref="D330:D375" si="17">(B330+C330)/2</f>
        <v>44.5</v>
      </c>
      <c r="E330" s="140">
        <f t="shared" ref="E330:E375" si="18">IF(65-D330&gt;0,65-D330,0)</f>
        <v>20.5</v>
      </c>
      <c r="F330" s="279">
        <f t="shared" ref="F330:F375" si="19">E330*(1+VLOOKUP(TEXT(A330,"MMM"),$H$9:$I$20,2,FALSE))</f>
        <v>21.3733</v>
      </c>
      <c r="G330" s="293"/>
      <c r="H330" s="268"/>
      <c r="I330" s="268"/>
    </row>
    <row r="331" spans="1:9" x14ac:dyDescent="0.25">
      <c r="A331" s="275">
        <v>44153</v>
      </c>
      <c r="B331" s="277">
        <v>50</v>
      </c>
      <c r="C331" s="277">
        <v>31</v>
      </c>
      <c r="D331" s="140">
        <f t="shared" si="17"/>
        <v>40.5</v>
      </c>
      <c r="E331" s="140">
        <f t="shared" si="18"/>
        <v>24.5</v>
      </c>
      <c r="F331" s="279">
        <f t="shared" si="19"/>
        <v>25.543699999999998</v>
      </c>
      <c r="G331" s="293"/>
      <c r="H331" s="268"/>
      <c r="I331" s="268"/>
    </row>
    <row r="332" spans="1:9" x14ac:dyDescent="0.25">
      <c r="A332" s="275">
        <v>44154</v>
      </c>
      <c r="B332" s="277">
        <v>67</v>
      </c>
      <c r="C332" s="277">
        <v>40</v>
      </c>
      <c r="D332" s="140">
        <f t="shared" si="17"/>
        <v>53.5</v>
      </c>
      <c r="E332" s="140">
        <f t="shared" si="18"/>
        <v>11.5</v>
      </c>
      <c r="F332" s="279">
        <f t="shared" si="19"/>
        <v>11.9899</v>
      </c>
      <c r="G332" s="293"/>
      <c r="H332" s="268"/>
      <c r="I332" s="268"/>
    </row>
    <row r="333" spans="1:9" x14ac:dyDescent="0.25">
      <c r="A333" s="275">
        <v>44155</v>
      </c>
      <c r="B333" s="277">
        <v>72</v>
      </c>
      <c r="C333" s="277">
        <v>46</v>
      </c>
      <c r="D333" s="140">
        <f t="shared" si="17"/>
        <v>59</v>
      </c>
      <c r="E333" s="140">
        <f t="shared" si="18"/>
        <v>6</v>
      </c>
      <c r="F333" s="279">
        <f t="shared" si="19"/>
        <v>6.2555999999999994</v>
      </c>
      <c r="G333" s="293"/>
      <c r="H333" s="268"/>
      <c r="I333" s="268"/>
    </row>
    <row r="334" spans="1:9" x14ac:dyDescent="0.25">
      <c r="A334" s="275">
        <v>44156</v>
      </c>
      <c r="B334" s="277">
        <v>56</v>
      </c>
      <c r="C334" s="277">
        <v>39</v>
      </c>
      <c r="D334" s="140">
        <f t="shared" si="17"/>
        <v>47.5</v>
      </c>
      <c r="E334" s="140">
        <f t="shared" si="18"/>
        <v>17.5</v>
      </c>
      <c r="F334" s="279">
        <f t="shared" si="19"/>
        <v>18.2455</v>
      </c>
      <c r="G334" s="293"/>
      <c r="H334" s="268"/>
      <c r="I334" s="268"/>
    </row>
    <row r="335" spans="1:9" x14ac:dyDescent="0.25">
      <c r="A335" s="275">
        <v>44157</v>
      </c>
      <c r="B335" s="277">
        <v>46</v>
      </c>
      <c r="C335" s="277">
        <v>37</v>
      </c>
      <c r="D335" s="140">
        <f t="shared" si="17"/>
        <v>41.5</v>
      </c>
      <c r="E335" s="140">
        <f t="shared" si="18"/>
        <v>23.5</v>
      </c>
      <c r="F335" s="279">
        <f t="shared" si="19"/>
        <v>24.501100000000001</v>
      </c>
      <c r="G335" s="293"/>
      <c r="H335" s="268"/>
      <c r="I335" s="268"/>
    </row>
    <row r="336" spans="1:9" x14ac:dyDescent="0.25">
      <c r="A336" s="275">
        <v>44158</v>
      </c>
      <c r="B336" s="277">
        <v>53</v>
      </c>
      <c r="C336" s="277">
        <v>25</v>
      </c>
      <c r="D336" s="140">
        <f t="shared" si="17"/>
        <v>39</v>
      </c>
      <c r="E336" s="140">
        <f t="shared" si="18"/>
        <v>26</v>
      </c>
      <c r="F336" s="279">
        <f t="shared" si="19"/>
        <v>27.107599999999998</v>
      </c>
      <c r="G336" s="293"/>
      <c r="H336" s="268"/>
      <c r="I336" s="268"/>
    </row>
    <row r="337" spans="1:10" x14ac:dyDescent="0.25">
      <c r="A337" s="275">
        <v>44159</v>
      </c>
      <c r="B337" s="277">
        <v>42</v>
      </c>
      <c r="C337" s="277">
        <v>26</v>
      </c>
      <c r="D337" s="140">
        <f t="shared" si="17"/>
        <v>34</v>
      </c>
      <c r="E337" s="140">
        <f t="shared" si="18"/>
        <v>31</v>
      </c>
      <c r="F337" s="279">
        <f t="shared" si="19"/>
        <v>32.320599999999999</v>
      </c>
      <c r="G337" s="293"/>
      <c r="H337" s="270"/>
      <c r="I337" s="270"/>
      <c r="J337" s="289"/>
    </row>
    <row r="338" spans="1:10" x14ac:dyDescent="0.25">
      <c r="A338" s="275">
        <v>44160</v>
      </c>
      <c r="B338" s="277">
        <v>51</v>
      </c>
      <c r="C338" s="277">
        <v>42</v>
      </c>
      <c r="D338" s="140">
        <f t="shared" si="17"/>
        <v>46.5</v>
      </c>
      <c r="E338" s="140">
        <f t="shared" si="18"/>
        <v>18.5</v>
      </c>
      <c r="F338" s="279">
        <f t="shared" si="19"/>
        <v>19.2881</v>
      </c>
      <c r="G338" s="293"/>
      <c r="H338" s="270"/>
      <c r="I338" s="270"/>
      <c r="J338" s="289"/>
    </row>
    <row r="339" spans="1:10" x14ac:dyDescent="0.25">
      <c r="A339" s="275">
        <v>44161</v>
      </c>
      <c r="B339" s="277">
        <v>44</v>
      </c>
      <c r="C339" s="277">
        <v>31</v>
      </c>
      <c r="D339" s="140">
        <f t="shared" si="17"/>
        <v>37.5</v>
      </c>
      <c r="E339" s="140">
        <f t="shared" si="18"/>
        <v>27.5</v>
      </c>
      <c r="F339" s="279">
        <f t="shared" si="19"/>
        <v>28.671499999999998</v>
      </c>
      <c r="G339" s="293"/>
      <c r="H339" s="270"/>
      <c r="I339" s="270"/>
      <c r="J339" s="289"/>
    </row>
    <row r="340" spans="1:10" x14ac:dyDescent="0.25">
      <c r="A340" s="275">
        <v>44162</v>
      </c>
      <c r="B340" s="277">
        <v>53</v>
      </c>
      <c r="C340" s="277">
        <v>33</v>
      </c>
      <c r="D340" s="140">
        <f t="shared" si="17"/>
        <v>43</v>
      </c>
      <c r="E340" s="140">
        <f t="shared" si="18"/>
        <v>22</v>
      </c>
      <c r="F340" s="279">
        <f t="shared" si="19"/>
        <v>22.937200000000001</v>
      </c>
      <c r="G340" s="293"/>
      <c r="H340" s="270"/>
      <c r="I340" s="270"/>
      <c r="J340" s="289"/>
    </row>
    <row r="341" spans="1:10" x14ac:dyDescent="0.25">
      <c r="A341" s="275">
        <v>44163</v>
      </c>
      <c r="B341" s="277">
        <v>50</v>
      </c>
      <c r="C341" s="277">
        <v>30</v>
      </c>
      <c r="D341" s="140">
        <f t="shared" si="17"/>
        <v>40</v>
      </c>
      <c r="E341" s="140">
        <f t="shared" si="18"/>
        <v>25</v>
      </c>
      <c r="F341" s="279">
        <f t="shared" si="19"/>
        <v>26.064999999999998</v>
      </c>
      <c r="G341" s="293"/>
      <c r="H341" s="270"/>
      <c r="I341" s="270"/>
      <c r="J341" s="289"/>
    </row>
    <row r="342" spans="1:10" x14ac:dyDescent="0.25">
      <c r="A342" s="275">
        <v>44164</v>
      </c>
      <c r="B342" s="277">
        <v>57</v>
      </c>
      <c r="C342" s="277">
        <v>32</v>
      </c>
      <c r="D342" s="140">
        <f t="shared" si="17"/>
        <v>44.5</v>
      </c>
      <c r="E342" s="140">
        <f t="shared" si="18"/>
        <v>20.5</v>
      </c>
      <c r="F342" s="279">
        <f t="shared" si="19"/>
        <v>21.3733</v>
      </c>
      <c r="G342" s="293"/>
      <c r="H342" s="270"/>
      <c r="I342" s="270"/>
      <c r="J342" s="289"/>
    </row>
    <row r="343" spans="1:10" x14ac:dyDescent="0.25">
      <c r="A343" s="275">
        <v>44165</v>
      </c>
      <c r="B343" s="277">
        <v>43</v>
      </c>
      <c r="C343" s="277">
        <v>20</v>
      </c>
      <c r="D343" s="140">
        <f t="shared" si="17"/>
        <v>31.5</v>
      </c>
      <c r="E343" s="140">
        <f t="shared" si="18"/>
        <v>33.5</v>
      </c>
      <c r="F343" s="279">
        <f t="shared" si="19"/>
        <v>34.927099999999996</v>
      </c>
      <c r="G343" s="293"/>
      <c r="H343" s="270"/>
      <c r="I343" s="270"/>
      <c r="J343" s="289"/>
    </row>
    <row r="344" spans="1:10" x14ac:dyDescent="0.25">
      <c r="A344" s="275">
        <v>44166</v>
      </c>
      <c r="B344" s="277">
        <v>37</v>
      </c>
      <c r="C344" s="277">
        <v>15</v>
      </c>
      <c r="D344" s="140">
        <f t="shared" si="17"/>
        <v>26</v>
      </c>
      <c r="E344" s="140">
        <f t="shared" si="18"/>
        <v>39</v>
      </c>
      <c r="F344" s="279">
        <f t="shared" si="19"/>
        <v>40.123199999999997</v>
      </c>
      <c r="G344" s="293"/>
      <c r="H344" s="270"/>
      <c r="I344" s="270"/>
      <c r="J344" s="289"/>
    </row>
    <row r="345" spans="1:10" x14ac:dyDescent="0.25">
      <c r="A345" s="275">
        <v>44167</v>
      </c>
      <c r="B345" s="277">
        <v>44</v>
      </c>
      <c r="C345" s="277">
        <v>15</v>
      </c>
      <c r="D345" s="140">
        <f t="shared" si="17"/>
        <v>29.5</v>
      </c>
      <c r="E345" s="140">
        <f t="shared" si="18"/>
        <v>35.5</v>
      </c>
      <c r="F345" s="279">
        <f t="shared" si="19"/>
        <v>36.522399999999998</v>
      </c>
      <c r="G345" s="293"/>
      <c r="H345" s="270"/>
      <c r="I345" s="270"/>
      <c r="J345" s="289"/>
    </row>
    <row r="346" spans="1:10" x14ac:dyDescent="0.25">
      <c r="A346" s="275">
        <v>44168</v>
      </c>
      <c r="B346" s="277">
        <v>49</v>
      </c>
      <c r="C346" s="277">
        <v>24</v>
      </c>
      <c r="D346" s="140">
        <f t="shared" si="17"/>
        <v>36.5</v>
      </c>
      <c r="E346" s="140">
        <f t="shared" si="18"/>
        <v>28.5</v>
      </c>
      <c r="F346" s="279">
        <f t="shared" si="19"/>
        <v>29.320799999999998</v>
      </c>
      <c r="G346" s="293"/>
      <c r="H346" s="270"/>
      <c r="I346" s="270"/>
      <c r="J346" s="289"/>
    </row>
    <row r="347" spans="1:10" x14ac:dyDescent="0.25">
      <c r="A347" s="275">
        <v>44169</v>
      </c>
      <c r="B347" s="277">
        <v>42</v>
      </c>
      <c r="C347" s="277">
        <v>24</v>
      </c>
      <c r="D347" s="140">
        <f t="shared" si="17"/>
        <v>33</v>
      </c>
      <c r="E347" s="140">
        <f t="shared" si="18"/>
        <v>32</v>
      </c>
      <c r="F347" s="279">
        <f t="shared" si="19"/>
        <v>32.921599999999998</v>
      </c>
      <c r="G347" s="293"/>
      <c r="H347" s="270"/>
      <c r="I347" s="270"/>
      <c r="J347" s="289"/>
    </row>
    <row r="348" spans="1:10" x14ac:dyDescent="0.25">
      <c r="A348" s="275">
        <v>44170</v>
      </c>
      <c r="B348" s="277">
        <v>52</v>
      </c>
      <c r="C348" s="277">
        <v>23</v>
      </c>
      <c r="D348" s="140">
        <f t="shared" si="17"/>
        <v>37.5</v>
      </c>
      <c r="E348" s="140">
        <f t="shared" si="18"/>
        <v>27.5</v>
      </c>
      <c r="F348" s="279">
        <f t="shared" si="19"/>
        <v>28.291999999999998</v>
      </c>
      <c r="G348" s="293"/>
      <c r="H348" s="270"/>
      <c r="I348" s="270"/>
      <c r="J348" s="289"/>
    </row>
    <row r="349" spans="1:10" x14ac:dyDescent="0.25">
      <c r="A349" s="275">
        <v>44171</v>
      </c>
      <c r="B349" s="277">
        <v>53</v>
      </c>
      <c r="C349" s="277">
        <v>23</v>
      </c>
      <c r="D349" s="140">
        <f t="shared" si="17"/>
        <v>38</v>
      </c>
      <c r="E349" s="140">
        <f t="shared" si="18"/>
        <v>27</v>
      </c>
      <c r="F349" s="279">
        <f t="shared" si="19"/>
        <v>27.7776</v>
      </c>
      <c r="G349" s="293"/>
      <c r="H349" s="270"/>
      <c r="I349" s="270"/>
      <c r="J349" s="289"/>
    </row>
    <row r="350" spans="1:10" x14ac:dyDescent="0.25">
      <c r="A350" s="275">
        <v>44172</v>
      </c>
      <c r="B350" s="277">
        <v>46</v>
      </c>
      <c r="C350" s="277">
        <v>26</v>
      </c>
      <c r="D350" s="140">
        <f t="shared" si="17"/>
        <v>36</v>
      </c>
      <c r="E350" s="140">
        <f t="shared" si="18"/>
        <v>29</v>
      </c>
      <c r="F350" s="279">
        <f t="shared" si="19"/>
        <v>29.835199999999997</v>
      </c>
      <c r="G350" s="293"/>
      <c r="H350" s="270"/>
      <c r="I350" s="270"/>
      <c r="J350" s="289"/>
    </row>
    <row r="351" spans="1:10" x14ac:dyDescent="0.25">
      <c r="A351" s="275">
        <v>44173</v>
      </c>
      <c r="B351" s="277">
        <v>34</v>
      </c>
      <c r="C351" s="277">
        <v>28</v>
      </c>
      <c r="D351" s="140">
        <f t="shared" si="17"/>
        <v>31</v>
      </c>
      <c r="E351" s="140">
        <f t="shared" si="18"/>
        <v>34</v>
      </c>
      <c r="F351" s="279">
        <f t="shared" si="19"/>
        <v>34.979199999999999</v>
      </c>
      <c r="G351" s="293"/>
      <c r="H351" s="270"/>
      <c r="I351" s="270"/>
      <c r="J351" s="289"/>
    </row>
    <row r="352" spans="1:10" x14ac:dyDescent="0.25">
      <c r="A352" s="275">
        <v>44174</v>
      </c>
      <c r="B352" s="277">
        <v>39</v>
      </c>
      <c r="C352" s="277">
        <v>28</v>
      </c>
      <c r="D352" s="140">
        <f t="shared" si="17"/>
        <v>33.5</v>
      </c>
      <c r="E352" s="140">
        <f t="shared" si="18"/>
        <v>31.5</v>
      </c>
      <c r="F352" s="279">
        <f t="shared" si="19"/>
        <v>32.407199999999996</v>
      </c>
      <c r="G352" s="293"/>
      <c r="H352" s="270"/>
      <c r="I352" s="270"/>
      <c r="J352" s="289"/>
    </row>
    <row r="353" spans="1:10" x14ac:dyDescent="0.25">
      <c r="A353" s="275">
        <v>44175</v>
      </c>
      <c r="B353" s="277">
        <v>64</v>
      </c>
      <c r="C353" s="277">
        <v>28</v>
      </c>
      <c r="D353" s="140">
        <f t="shared" si="17"/>
        <v>46</v>
      </c>
      <c r="E353" s="140">
        <f t="shared" si="18"/>
        <v>19</v>
      </c>
      <c r="F353" s="279">
        <f t="shared" si="19"/>
        <v>19.5472</v>
      </c>
      <c r="G353" s="293"/>
      <c r="H353" s="270"/>
      <c r="I353" s="270"/>
      <c r="J353" s="289"/>
    </row>
    <row r="354" spans="1:10" x14ac:dyDescent="0.25">
      <c r="A354" s="275">
        <v>44176</v>
      </c>
      <c r="B354" s="277">
        <v>68</v>
      </c>
      <c r="C354" s="277">
        <v>31</v>
      </c>
      <c r="D354" s="140">
        <f t="shared" si="17"/>
        <v>49.5</v>
      </c>
      <c r="E354" s="140">
        <f t="shared" si="18"/>
        <v>15.5</v>
      </c>
      <c r="F354" s="279">
        <f t="shared" si="19"/>
        <v>15.946399999999999</v>
      </c>
      <c r="G354" s="293"/>
      <c r="H354" s="270"/>
      <c r="I354" s="270"/>
      <c r="J354" s="289"/>
    </row>
    <row r="355" spans="1:10" x14ac:dyDescent="0.25">
      <c r="A355" s="275">
        <v>44177</v>
      </c>
      <c r="B355" s="277">
        <v>41</v>
      </c>
      <c r="C355" s="277">
        <v>33</v>
      </c>
      <c r="D355" s="140">
        <f t="shared" si="17"/>
        <v>37</v>
      </c>
      <c r="E355" s="140">
        <f t="shared" si="18"/>
        <v>28</v>
      </c>
      <c r="F355" s="279">
        <f t="shared" si="19"/>
        <v>28.806399999999996</v>
      </c>
      <c r="G355" s="293"/>
      <c r="H355" s="270"/>
      <c r="I355" s="270"/>
      <c r="J355" s="289"/>
    </row>
    <row r="356" spans="1:10" x14ac:dyDescent="0.25">
      <c r="A356" s="275">
        <v>44178</v>
      </c>
      <c r="B356" s="277">
        <v>34</v>
      </c>
      <c r="C356" s="277">
        <v>28</v>
      </c>
      <c r="D356" s="140">
        <f t="shared" si="17"/>
        <v>31</v>
      </c>
      <c r="E356" s="140">
        <f t="shared" si="18"/>
        <v>34</v>
      </c>
      <c r="F356" s="279">
        <f t="shared" si="19"/>
        <v>34.979199999999999</v>
      </c>
      <c r="G356" s="293"/>
      <c r="H356" s="270"/>
      <c r="I356" s="270"/>
      <c r="J356" s="289"/>
    </row>
    <row r="357" spans="1:10" x14ac:dyDescent="0.25">
      <c r="A357" s="275">
        <v>44179</v>
      </c>
      <c r="B357" s="277">
        <v>31</v>
      </c>
      <c r="C357" s="277">
        <v>18</v>
      </c>
      <c r="D357" s="140">
        <f t="shared" si="17"/>
        <v>24.5</v>
      </c>
      <c r="E357" s="140">
        <f t="shared" si="18"/>
        <v>40.5</v>
      </c>
      <c r="F357" s="279">
        <f t="shared" si="19"/>
        <v>41.666399999999996</v>
      </c>
      <c r="G357" s="293"/>
      <c r="H357" s="270"/>
      <c r="I357" s="270"/>
      <c r="J357" s="289"/>
    </row>
    <row r="358" spans="1:10" x14ac:dyDescent="0.25">
      <c r="A358" s="275">
        <v>44180</v>
      </c>
      <c r="B358" s="277">
        <v>31</v>
      </c>
      <c r="C358" s="277">
        <v>18</v>
      </c>
      <c r="D358" s="140">
        <f t="shared" si="17"/>
        <v>24.5</v>
      </c>
      <c r="E358" s="140">
        <f t="shared" si="18"/>
        <v>40.5</v>
      </c>
      <c r="F358" s="279">
        <f t="shared" si="19"/>
        <v>41.666399999999996</v>
      </c>
      <c r="G358" s="293"/>
      <c r="H358" s="270"/>
      <c r="I358" s="270"/>
      <c r="J358" s="289"/>
    </row>
    <row r="359" spans="1:10" x14ac:dyDescent="0.25">
      <c r="A359" s="275">
        <v>44181</v>
      </c>
      <c r="B359" s="277">
        <v>27</v>
      </c>
      <c r="C359" s="277">
        <v>19</v>
      </c>
      <c r="D359" s="140">
        <f t="shared" si="17"/>
        <v>23</v>
      </c>
      <c r="E359" s="140">
        <f t="shared" si="18"/>
        <v>42</v>
      </c>
      <c r="F359" s="279">
        <f t="shared" si="19"/>
        <v>43.209599999999995</v>
      </c>
      <c r="G359" s="293"/>
      <c r="H359" s="270"/>
      <c r="I359" s="270"/>
      <c r="J359" s="289"/>
    </row>
    <row r="360" spans="1:10" x14ac:dyDescent="0.25">
      <c r="A360" s="275">
        <v>44182</v>
      </c>
      <c r="B360" s="277">
        <v>31</v>
      </c>
      <c r="C360" s="277">
        <v>18</v>
      </c>
      <c r="D360" s="140">
        <f t="shared" si="17"/>
        <v>24.5</v>
      </c>
      <c r="E360" s="140">
        <f t="shared" si="18"/>
        <v>40.5</v>
      </c>
      <c r="F360" s="279">
        <f t="shared" si="19"/>
        <v>41.666399999999996</v>
      </c>
      <c r="G360" s="293"/>
      <c r="H360" s="270"/>
      <c r="I360" s="270"/>
      <c r="J360" s="289"/>
    </row>
    <row r="361" spans="1:10" x14ac:dyDescent="0.25">
      <c r="A361" s="275">
        <v>44183</v>
      </c>
      <c r="B361" s="277">
        <v>43</v>
      </c>
      <c r="C361" s="277">
        <v>26</v>
      </c>
      <c r="D361" s="140">
        <f t="shared" si="17"/>
        <v>34.5</v>
      </c>
      <c r="E361" s="140">
        <f t="shared" si="18"/>
        <v>30.5</v>
      </c>
      <c r="F361" s="279">
        <f t="shared" si="19"/>
        <v>31.378399999999999</v>
      </c>
      <c r="G361" s="293"/>
      <c r="H361" s="270"/>
      <c r="I361" s="270"/>
      <c r="J361" s="289"/>
    </row>
    <row r="362" spans="1:10" x14ac:dyDescent="0.25">
      <c r="A362" s="275">
        <v>44184</v>
      </c>
      <c r="B362" s="277">
        <v>52</v>
      </c>
      <c r="C362" s="277">
        <v>30</v>
      </c>
      <c r="D362" s="140">
        <f t="shared" si="17"/>
        <v>41</v>
      </c>
      <c r="E362" s="140">
        <f t="shared" si="18"/>
        <v>24</v>
      </c>
      <c r="F362" s="279">
        <f t="shared" si="19"/>
        <v>24.691199999999998</v>
      </c>
      <c r="G362" s="293"/>
      <c r="H362" s="270"/>
      <c r="I362" s="270"/>
      <c r="J362" s="289"/>
    </row>
    <row r="363" spans="1:10" x14ac:dyDescent="0.25">
      <c r="A363" s="275">
        <v>44185</v>
      </c>
      <c r="B363" s="277">
        <v>39</v>
      </c>
      <c r="C363" s="277">
        <v>20</v>
      </c>
      <c r="D363" s="140">
        <f t="shared" si="17"/>
        <v>29.5</v>
      </c>
      <c r="E363" s="140">
        <f t="shared" si="18"/>
        <v>35.5</v>
      </c>
      <c r="F363" s="279">
        <f t="shared" si="19"/>
        <v>36.522399999999998</v>
      </c>
      <c r="G363" s="293"/>
      <c r="H363" s="270"/>
      <c r="I363" s="270"/>
      <c r="J363" s="289"/>
    </row>
    <row r="364" spans="1:10" x14ac:dyDescent="0.25">
      <c r="A364" s="275">
        <v>44186</v>
      </c>
      <c r="B364" s="277">
        <v>48</v>
      </c>
      <c r="C364" s="277">
        <v>23</v>
      </c>
      <c r="D364" s="140">
        <f t="shared" si="17"/>
        <v>35.5</v>
      </c>
      <c r="E364" s="140">
        <f t="shared" si="18"/>
        <v>29.5</v>
      </c>
      <c r="F364" s="279">
        <f t="shared" si="19"/>
        <v>30.349599999999999</v>
      </c>
      <c r="G364" s="293"/>
      <c r="H364" s="270"/>
      <c r="I364" s="270"/>
      <c r="J364" s="289"/>
    </row>
    <row r="365" spans="1:10" x14ac:dyDescent="0.25">
      <c r="A365" s="275">
        <v>44187</v>
      </c>
      <c r="B365" s="277">
        <v>57</v>
      </c>
      <c r="C365" s="277">
        <v>24</v>
      </c>
      <c r="D365" s="140">
        <f t="shared" si="17"/>
        <v>40.5</v>
      </c>
      <c r="E365" s="140">
        <f t="shared" si="18"/>
        <v>24.5</v>
      </c>
      <c r="F365" s="279">
        <f t="shared" si="19"/>
        <v>25.205599999999997</v>
      </c>
      <c r="G365" s="293"/>
      <c r="H365" s="270"/>
      <c r="I365" s="270"/>
      <c r="J365" s="289"/>
    </row>
    <row r="366" spans="1:10" x14ac:dyDescent="0.25">
      <c r="A366" s="275">
        <v>44188</v>
      </c>
      <c r="B366" s="277">
        <v>59</v>
      </c>
      <c r="C366" s="277">
        <v>25</v>
      </c>
      <c r="D366" s="140">
        <f t="shared" si="17"/>
        <v>42</v>
      </c>
      <c r="E366" s="140">
        <f t="shared" si="18"/>
        <v>23</v>
      </c>
      <c r="F366" s="279">
        <f t="shared" si="19"/>
        <v>23.662399999999998</v>
      </c>
      <c r="G366" s="293"/>
      <c r="H366" s="270"/>
      <c r="I366" s="270"/>
      <c r="J366" s="289"/>
    </row>
    <row r="367" spans="1:10" x14ac:dyDescent="0.25">
      <c r="A367" s="275">
        <v>44189</v>
      </c>
      <c r="B367" s="277">
        <v>57</v>
      </c>
      <c r="C367" s="277">
        <v>9</v>
      </c>
      <c r="D367" s="140">
        <f t="shared" si="17"/>
        <v>33</v>
      </c>
      <c r="E367" s="140">
        <f t="shared" si="18"/>
        <v>32</v>
      </c>
      <c r="F367" s="279">
        <f t="shared" si="19"/>
        <v>32.921599999999998</v>
      </c>
      <c r="G367" s="293"/>
      <c r="H367" s="268"/>
      <c r="I367" s="268"/>
    </row>
    <row r="368" spans="1:10" x14ac:dyDescent="0.25">
      <c r="A368" s="275">
        <v>44190</v>
      </c>
      <c r="B368" s="277">
        <v>22</v>
      </c>
      <c r="C368" s="277">
        <v>4</v>
      </c>
      <c r="D368" s="140">
        <f t="shared" si="17"/>
        <v>13</v>
      </c>
      <c r="E368" s="140">
        <f t="shared" si="18"/>
        <v>52</v>
      </c>
      <c r="F368" s="279">
        <f t="shared" si="19"/>
        <v>53.497599999999998</v>
      </c>
      <c r="G368" s="293"/>
      <c r="H368" s="268"/>
      <c r="I368" s="268"/>
    </row>
    <row r="369" spans="1:9" x14ac:dyDescent="0.25">
      <c r="A369" s="275">
        <v>44191</v>
      </c>
      <c r="B369" s="277">
        <v>32</v>
      </c>
      <c r="C369" s="277">
        <v>5</v>
      </c>
      <c r="D369" s="140">
        <f t="shared" si="17"/>
        <v>18.5</v>
      </c>
      <c r="E369" s="140">
        <f t="shared" si="18"/>
        <v>46.5</v>
      </c>
      <c r="F369" s="279">
        <f t="shared" si="19"/>
        <v>47.839199999999998</v>
      </c>
      <c r="G369" s="293"/>
      <c r="H369" s="268"/>
      <c r="I369" s="268"/>
    </row>
    <row r="370" spans="1:9" x14ac:dyDescent="0.25">
      <c r="A370" s="275">
        <v>44192</v>
      </c>
      <c r="B370" s="277">
        <v>46</v>
      </c>
      <c r="C370" s="277">
        <v>16</v>
      </c>
      <c r="D370" s="140">
        <f t="shared" si="17"/>
        <v>31</v>
      </c>
      <c r="E370" s="140">
        <f t="shared" si="18"/>
        <v>34</v>
      </c>
      <c r="F370" s="279">
        <f t="shared" si="19"/>
        <v>34.979199999999999</v>
      </c>
      <c r="G370" s="293"/>
      <c r="H370" s="268"/>
      <c r="I370" s="268"/>
    </row>
    <row r="371" spans="1:9" x14ac:dyDescent="0.25">
      <c r="A371" s="275">
        <v>44193</v>
      </c>
      <c r="B371" s="277">
        <v>53</v>
      </c>
      <c r="C371" s="277">
        <v>16</v>
      </c>
      <c r="D371" s="140">
        <f t="shared" si="17"/>
        <v>34.5</v>
      </c>
      <c r="E371" s="140">
        <f t="shared" si="18"/>
        <v>30.5</v>
      </c>
      <c r="F371" s="279">
        <f t="shared" si="19"/>
        <v>31.378399999999999</v>
      </c>
      <c r="G371" s="293"/>
      <c r="H371" s="268"/>
      <c r="I371" s="268"/>
    </row>
    <row r="372" spans="1:9" x14ac:dyDescent="0.25">
      <c r="A372" s="275">
        <v>44194</v>
      </c>
      <c r="B372" s="277">
        <v>35</v>
      </c>
      <c r="C372" s="277">
        <v>24</v>
      </c>
      <c r="D372" s="140">
        <f t="shared" si="17"/>
        <v>29.5</v>
      </c>
      <c r="E372" s="140">
        <f t="shared" si="18"/>
        <v>35.5</v>
      </c>
      <c r="F372" s="279">
        <f t="shared" si="19"/>
        <v>36.522399999999998</v>
      </c>
      <c r="G372" s="293"/>
      <c r="H372" s="268"/>
      <c r="I372" s="268"/>
    </row>
    <row r="373" spans="1:9" x14ac:dyDescent="0.25">
      <c r="A373" s="275">
        <v>44195</v>
      </c>
      <c r="B373" s="277">
        <v>32</v>
      </c>
      <c r="C373" s="277">
        <v>24</v>
      </c>
      <c r="D373" s="140">
        <f t="shared" si="17"/>
        <v>28</v>
      </c>
      <c r="E373" s="140">
        <f t="shared" si="18"/>
        <v>37</v>
      </c>
      <c r="F373" s="279">
        <f t="shared" si="19"/>
        <v>38.065599999999996</v>
      </c>
      <c r="G373" s="293"/>
      <c r="H373" s="268"/>
      <c r="I373" s="268"/>
    </row>
    <row r="374" spans="1:9" x14ac:dyDescent="0.25">
      <c r="A374" s="275">
        <v>44196</v>
      </c>
      <c r="B374" s="277">
        <v>32</v>
      </c>
      <c r="C374" s="277">
        <v>13</v>
      </c>
      <c r="D374" s="140">
        <f t="shared" si="17"/>
        <v>22.5</v>
      </c>
      <c r="E374" s="140">
        <f t="shared" si="18"/>
        <v>42.5</v>
      </c>
      <c r="F374" s="279">
        <f t="shared" si="19"/>
        <v>43.723999999999997</v>
      </c>
      <c r="G374" s="293"/>
      <c r="H374" s="268"/>
      <c r="I374" s="268"/>
    </row>
    <row r="375" spans="1:9" x14ac:dyDescent="0.25">
      <c r="A375" s="275">
        <v>44197</v>
      </c>
      <c r="B375" s="277" t="e">
        <v>#N/A</v>
      </c>
      <c r="C375" s="277" t="e">
        <v>#N/A</v>
      </c>
      <c r="D375" s="140" t="e">
        <f t="shared" si="17"/>
        <v>#N/A</v>
      </c>
      <c r="E375" s="140" t="e">
        <f t="shared" si="18"/>
        <v>#N/A</v>
      </c>
      <c r="F375" s="279" t="e">
        <f t="shared" si="19"/>
        <v>#N/A</v>
      </c>
      <c r="G375" s="293"/>
      <c r="H375" s="268"/>
      <c r="I375" s="268"/>
    </row>
    <row r="376" spans="1:9" x14ac:dyDescent="0.25">
      <c r="A376" s="275"/>
      <c r="B376" s="273"/>
      <c r="C376" s="273"/>
      <c r="D376" s="273"/>
      <c r="E376" s="278" t="e">
        <f>SUM(E9:E375)</f>
        <v>#N/A</v>
      </c>
      <c r="F376" s="287" t="e">
        <f>SUM(F9:F375)</f>
        <v>#N/A</v>
      </c>
      <c r="G376" s="287"/>
      <c r="H376" s="268"/>
      <c r="I376" s="268"/>
    </row>
    <row r="377" spans="1:9" x14ac:dyDescent="0.25">
      <c r="A377" s="55"/>
      <c r="H377" s="268"/>
      <c r="I377" s="268"/>
    </row>
    <row r="378" spans="1:9" x14ac:dyDescent="0.25">
      <c r="H378" s="268"/>
      <c r="I378" s="268"/>
    </row>
    <row r="379" spans="1:9" x14ac:dyDescent="0.25">
      <c r="H379" s="268"/>
      <c r="I379" s="268"/>
    </row>
    <row r="380" spans="1:9" x14ac:dyDescent="0.25">
      <c r="H380" s="268"/>
      <c r="I380" s="268"/>
    </row>
    <row r="381" spans="1:9" x14ac:dyDescent="0.25">
      <c r="H381" s="268"/>
      <c r="I381" s="268"/>
    </row>
    <row r="382" spans="1:9" x14ac:dyDescent="0.25">
      <c r="H382" s="268"/>
      <c r="I382" s="268"/>
    </row>
    <row r="383" spans="1:9" x14ac:dyDescent="0.25">
      <c r="H383" s="268"/>
      <c r="I383" s="268"/>
    </row>
    <row r="384" spans="1:9" x14ac:dyDescent="0.25">
      <c r="H384" s="268"/>
      <c r="I384" s="268"/>
    </row>
    <row r="385" spans="8:9" x14ac:dyDescent="0.25">
      <c r="H385" s="268"/>
      <c r="I385" s="268"/>
    </row>
    <row r="386" spans="8:9" x14ac:dyDescent="0.25">
      <c r="H386" s="268"/>
      <c r="I386" s="268"/>
    </row>
    <row r="387" spans="8:9" x14ac:dyDescent="0.25">
      <c r="H387" s="268"/>
      <c r="I387" s="268"/>
    </row>
    <row r="388" spans="8:9" x14ac:dyDescent="0.25">
      <c r="H388" s="267"/>
      <c r="I388" s="267"/>
    </row>
    <row r="389" spans="8:9" x14ac:dyDescent="0.25">
      <c r="H389" s="267"/>
      <c r="I389" s="267"/>
    </row>
    <row r="390" spans="8:9" x14ac:dyDescent="0.25">
      <c r="H390" s="267"/>
      <c r="I390" s="267"/>
    </row>
    <row r="391" spans="8:9" x14ac:dyDescent="0.25">
      <c r="H391" s="267"/>
      <c r="I391" s="267"/>
    </row>
    <row r="392" spans="8:9" x14ac:dyDescent="0.25">
      <c r="H392" s="267"/>
      <c r="I392" s="267"/>
    </row>
    <row r="393" spans="8:9" x14ac:dyDescent="0.25">
      <c r="H393" s="267"/>
      <c r="I393" s="267"/>
    </row>
    <row r="394" spans="8:9" x14ac:dyDescent="0.25">
      <c r="H394" s="267"/>
      <c r="I394" s="267"/>
    </row>
    <row r="395" spans="8:9" x14ac:dyDescent="0.25">
      <c r="H395" s="267"/>
      <c r="I395" s="267"/>
    </row>
    <row r="396" spans="8:9" x14ac:dyDescent="0.25">
      <c r="H396" s="267"/>
      <c r="I396" s="267"/>
    </row>
    <row r="397" spans="8:9" x14ac:dyDescent="0.25">
      <c r="H397" s="267"/>
      <c r="I397" s="267"/>
    </row>
    <row r="398" spans="8:9" x14ac:dyDescent="0.25">
      <c r="H398" s="267"/>
      <c r="I398" s="267"/>
    </row>
    <row r="399" spans="8:9" x14ac:dyDescent="0.25">
      <c r="H399" s="267"/>
      <c r="I399" s="267"/>
    </row>
    <row r="400" spans="8:9" x14ac:dyDescent="0.25">
      <c r="H400" s="267"/>
      <c r="I400" s="267"/>
    </row>
    <row r="401" spans="8:9" x14ac:dyDescent="0.25">
      <c r="H401" s="267"/>
      <c r="I401" s="267"/>
    </row>
    <row r="402" spans="8:9" x14ac:dyDescent="0.25">
      <c r="H402" s="267"/>
      <c r="I402" s="267"/>
    </row>
    <row r="403" spans="8:9" x14ac:dyDescent="0.25">
      <c r="H403" s="267"/>
      <c r="I403" s="267"/>
    </row>
    <row r="404" spans="8:9" x14ac:dyDescent="0.25">
      <c r="H404" s="267"/>
      <c r="I404" s="267"/>
    </row>
    <row r="405" spans="8:9" x14ac:dyDescent="0.25">
      <c r="H405" s="267"/>
      <c r="I405" s="267"/>
    </row>
    <row r="406" spans="8:9" x14ac:dyDescent="0.25">
      <c r="H406" s="267"/>
      <c r="I406" s="267"/>
    </row>
    <row r="407" spans="8:9" x14ac:dyDescent="0.25">
      <c r="H407" s="267"/>
      <c r="I407" s="267"/>
    </row>
    <row r="408" spans="8:9" x14ac:dyDescent="0.25">
      <c r="H408" s="267"/>
      <c r="I408" s="267"/>
    </row>
    <row r="409" spans="8:9" x14ac:dyDescent="0.25">
      <c r="H409" s="267"/>
      <c r="I409" s="267"/>
    </row>
    <row r="410" spans="8:9" x14ac:dyDescent="0.25">
      <c r="H410" s="267"/>
      <c r="I410" s="267"/>
    </row>
    <row r="411" spans="8:9" x14ac:dyDescent="0.25">
      <c r="H411" s="267"/>
      <c r="I411" s="267"/>
    </row>
    <row r="412" spans="8:9" x14ac:dyDescent="0.25">
      <c r="H412" s="267"/>
      <c r="I412" s="267"/>
    </row>
    <row r="413" spans="8:9" x14ac:dyDescent="0.25">
      <c r="H413" s="267"/>
      <c r="I413" s="267"/>
    </row>
    <row r="414" spans="8:9" x14ac:dyDescent="0.25">
      <c r="H414" s="267"/>
      <c r="I414" s="267"/>
    </row>
    <row r="415" spans="8:9" x14ac:dyDescent="0.25">
      <c r="H415" s="267"/>
      <c r="I415" s="267"/>
    </row>
    <row r="416" spans="8:9" x14ac:dyDescent="0.25">
      <c r="H416" s="267"/>
      <c r="I416" s="267"/>
    </row>
    <row r="417" spans="8:9" x14ac:dyDescent="0.25">
      <c r="H417" s="267"/>
      <c r="I417" s="267"/>
    </row>
    <row r="418" spans="8:9" x14ac:dyDescent="0.25">
      <c r="H418" s="267"/>
      <c r="I418" s="267"/>
    </row>
    <row r="419" spans="8:9" x14ac:dyDescent="0.25">
      <c r="H419" s="267"/>
      <c r="I419" s="267"/>
    </row>
    <row r="420" spans="8:9" x14ac:dyDescent="0.25">
      <c r="H420" s="267"/>
      <c r="I420" s="267"/>
    </row>
    <row r="421" spans="8:9" x14ac:dyDescent="0.25">
      <c r="H421" s="267"/>
      <c r="I421" s="267"/>
    </row>
    <row r="422" spans="8:9" x14ac:dyDescent="0.25">
      <c r="H422" s="267"/>
      <c r="I422" s="267"/>
    </row>
    <row r="423" spans="8:9" x14ac:dyDescent="0.25">
      <c r="H423" s="267"/>
      <c r="I423" s="267"/>
    </row>
    <row r="424" spans="8:9" x14ac:dyDescent="0.25">
      <c r="H424" s="267"/>
      <c r="I424" s="267"/>
    </row>
    <row r="425" spans="8:9" x14ac:dyDescent="0.25">
      <c r="H425" s="267"/>
      <c r="I425" s="267"/>
    </row>
    <row r="426" spans="8:9" x14ac:dyDescent="0.25">
      <c r="H426" s="267"/>
      <c r="I426" s="267"/>
    </row>
    <row r="427" spans="8:9" x14ac:dyDescent="0.25">
      <c r="H427" s="267"/>
      <c r="I427" s="267"/>
    </row>
    <row r="428" spans="8:9" x14ac:dyDescent="0.25">
      <c r="H428" s="267"/>
      <c r="I428" s="267"/>
    </row>
    <row r="429" spans="8:9" x14ac:dyDescent="0.25">
      <c r="H429" s="267"/>
      <c r="I429" s="267"/>
    </row>
    <row r="430" spans="8:9" x14ac:dyDescent="0.25">
      <c r="H430" s="267"/>
      <c r="I430" s="267"/>
    </row>
    <row r="431" spans="8:9" x14ac:dyDescent="0.25">
      <c r="H431" s="267"/>
      <c r="I431" s="267"/>
    </row>
    <row r="432" spans="8:9" x14ac:dyDescent="0.25">
      <c r="H432" s="267"/>
      <c r="I432" s="267"/>
    </row>
    <row r="433" spans="8:9" x14ac:dyDescent="0.25">
      <c r="H433" s="267"/>
      <c r="I433" s="267"/>
    </row>
    <row r="434" spans="8:9" x14ac:dyDescent="0.25">
      <c r="H434" s="267"/>
      <c r="I434" s="267"/>
    </row>
    <row r="435" spans="8:9" x14ac:dyDescent="0.25">
      <c r="H435" s="267"/>
      <c r="I435" s="267"/>
    </row>
    <row r="436" spans="8:9" x14ac:dyDescent="0.25">
      <c r="H436" s="267"/>
      <c r="I436" s="267"/>
    </row>
    <row r="437" spans="8:9" x14ac:dyDescent="0.25">
      <c r="H437" s="267"/>
      <c r="I437" s="267"/>
    </row>
    <row r="438" spans="8:9" x14ac:dyDescent="0.25">
      <c r="H438" s="267"/>
      <c r="I438" s="267"/>
    </row>
    <row r="439" spans="8:9" x14ac:dyDescent="0.25">
      <c r="H439" s="267"/>
      <c r="I439" s="267"/>
    </row>
    <row r="440" spans="8:9" x14ac:dyDescent="0.25">
      <c r="H440" s="267"/>
      <c r="I440" s="267"/>
    </row>
    <row r="441" spans="8:9" x14ac:dyDescent="0.25">
      <c r="H441" s="267"/>
      <c r="I441" s="267"/>
    </row>
    <row r="442" spans="8:9" x14ac:dyDescent="0.25">
      <c r="H442" s="267"/>
      <c r="I442" s="267"/>
    </row>
    <row r="443" spans="8:9" x14ac:dyDescent="0.25">
      <c r="H443" s="267"/>
      <c r="I443" s="267"/>
    </row>
    <row r="444" spans="8:9" x14ac:dyDescent="0.25">
      <c r="H444" s="267"/>
      <c r="I444" s="267"/>
    </row>
    <row r="445" spans="8:9" x14ac:dyDescent="0.25">
      <c r="H445" s="267"/>
      <c r="I445" s="267"/>
    </row>
    <row r="446" spans="8:9" x14ac:dyDescent="0.25">
      <c r="H446" s="267"/>
      <c r="I446" s="267"/>
    </row>
    <row r="447" spans="8:9" x14ac:dyDescent="0.25">
      <c r="H447" s="267"/>
      <c r="I447" s="267"/>
    </row>
    <row r="448" spans="8:9" x14ac:dyDescent="0.25">
      <c r="H448" s="267"/>
      <c r="I448" s="267"/>
    </row>
    <row r="449" spans="8:9" x14ac:dyDescent="0.25">
      <c r="H449" s="267"/>
      <c r="I449" s="267"/>
    </row>
    <row r="450" spans="8:9" x14ac:dyDescent="0.25">
      <c r="H450" s="267"/>
      <c r="I450" s="267"/>
    </row>
    <row r="451" spans="8:9" x14ac:dyDescent="0.25">
      <c r="H451" s="267"/>
      <c r="I451" s="267"/>
    </row>
    <row r="452" spans="8:9" x14ac:dyDescent="0.25">
      <c r="H452" s="267"/>
      <c r="I452" s="267"/>
    </row>
    <row r="453" spans="8:9" x14ac:dyDescent="0.25">
      <c r="H453" s="267"/>
      <c r="I453" s="267"/>
    </row>
    <row r="454" spans="8:9" x14ac:dyDescent="0.25">
      <c r="H454" s="267"/>
      <c r="I454" s="267"/>
    </row>
    <row r="455" spans="8:9" x14ac:dyDescent="0.25">
      <c r="H455" s="267"/>
      <c r="I455" s="267"/>
    </row>
    <row r="456" spans="8:9" x14ac:dyDescent="0.25">
      <c r="H456" s="267"/>
      <c r="I456" s="267"/>
    </row>
    <row r="457" spans="8:9" x14ac:dyDescent="0.25">
      <c r="H457" s="267"/>
      <c r="I457" s="267"/>
    </row>
    <row r="458" spans="8:9" x14ac:dyDescent="0.25">
      <c r="H458" s="267"/>
      <c r="I458" s="267"/>
    </row>
    <row r="459" spans="8:9" x14ac:dyDescent="0.25">
      <c r="H459" s="267"/>
      <c r="I459" s="267"/>
    </row>
    <row r="460" spans="8:9" x14ac:dyDescent="0.25">
      <c r="H460" s="267"/>
      <c r="I460" s="267"/>
    </row>
    <row r="461" spans="8:9" x14ac:dyDescent="0.25">
      <c r="H461" s="267"/>
      <c r="I461" s="267"/>
    </row>
    <row r="462" spans="8:9" x14ac:dyDescent="0.25">
      <c r="H462" s="267"/>
      <c r="I462" s="267"/>
    </row>
    <row r="463" spans="8:9" x14ac:dyDescent="0.25">
      <c r="H463" s="267"/>
      <c r="I463" s="267"/>
    </row>
    <row r="464" spans="8:9" x14ac:dyDescent="0.25">
      <c r="H464" s="267"/>
      <c r="I464" s="267"/>
    </row>
    <row r="465" spans="8:9" x14ac:dyDescent="0.25">
      <c r="H465" s="267"/>
      <c r="I465" s="267"/>
    </row>
    <row r="466" spans="8:9" x14ac:dyDescent="0.25">
      <c r="H466" s="267"/>
      <c r="I466" s="267"/>
    </row>
    <row r="467" spans="8:9" x14ac:dyDescent="0.25">
      <c r="H467" s="267"/>
      <c r="I467" s="267"/>
    </row>
    <row r="468" spans="8:9" x14ac:dyDescent="0.25">
      <c r="H468" s="267"/>
      <c r="I468" s="267"/>
    </row>
    <row r="469" spans="8:9" x14ac:dyDescent="0.25">
      <c r="H469" s="267"/>
      <c r="I469" s="267"/>
    </row>
    <row r="470" spans="8:9" x14ac:dyDescent="0.25">
      <c r="H470" s="267"/>
      <c r="I470" s="267"/>
    </row>
    <row r="471" spans="8:9" x14ac:dyDescent="0.25">
      <c r="H471" s="267"/>
      <c r="I471" s="267"/>
    </row>
    <row r="472" spans="8:9" x14ac:dyDescent="0.25">
      <c r="H472" s="267"/>
      <c r="I472" s="267"/>
    </row>
    <row r="473" spans="8:9" x14ac:dyDescent="0.25">
      <c r="H473" s="267"/>
      <c r="I473" s="267"/>
    </row>
    <row r="474" spans="8:9" x14ac:dyDescent="0.25">
      <c r="H474" s="267"/>
      <c r="I474" s="267"/>
    </row>
    <row r="475" spans="8:9" x14ac:dyDescent="0.25">
      <c r="H475" s="267"/>
      <c r="I475" s="267"/>
    </row>
    <row r="476" spans="8:9" x14ac:dyDescent="0.25">
      <c r="H476" s="267"/>
      <c r="I476" s="267"/>
    </row>
    <row r="477" spans="8:9" x14ac:dyDescent="0.25">
      <c r="H477" s="267"/>
      <c r="I477" s="267"/>
    </row>
    <row r="478" spans="8:9" x14ac:dyDescent="0.25">
      <c r="H478" s="267"/>
      <c r="I478" s="267"/>
    </row>
    <row r="479" spans="8:9" x14ac:dyDescent="0.25">
      <c r="H479" s="267"/>
      <c r="I479" s="267"/>
    </row>
    <row r="480" spans="8:9" x14ac:dyDescent="0.25">
      <c r="H480" s="267"/>
      <c r="I480" s="267"/>
    </row>
    <row r="481" spans="8:9" x14ac:dyDescent="0.25">
      <c r="H481" s="267"/>
      <c r="I481" s="267"/>
    </row>
    <row r="482" spans="8:9" x14ac:dyDescent="0.25">
      <c r="H482" s="267"/>
      <c r="I482" s="267"/>
    </row>
    <row r="483" spans="8:9" x14ac:dyDescent="0.25">
      <c r="H483" s="267"/>
      <c r="I483" s="267"/>
    </row>
    <row r="484" spans="8:9" x14ac:dyDescent="0.25">
      <c r="H484" s="267"/>
      <c r="I484" s="267"/>
    </row>
    <row r="485" spans="8:9" x14ac:dyDescent="0.25">
      <c r="H485" s="267"/>
      <c r="I485" s="267"/>
    </row>
    <row r="486" spans="8:9" x14ac:dyDescent="0.25">
      <c r="H486" s="267"/>
      <c r="I486" s="267"/>
    </row>
    <row r="487" spans="8:9" x14ac:dyDescent="0.25">
      <c r="H487" s="267"/>
      <c r="I487" s="267"/>
    </row>
    <row r="488" spans="8:9" x14ac:dyDescent="0.25">
      <c r="H488" s="267"/>
      <c r="I488" s="267"/>
    </row>
    <row r="489" spans="8:9" x14ac:dyDescent="0.25">
      <c r="H489" s="267"/>
      <c r="I489" s="267"/>
    </row>
    <row r="490" spans="8:9" x14ac:dyDescent="0.25">
      <c r="H490" s="267"/>
      <c r="I490" s="267"/>
    </row>
    <row r="491" spans="8:9" x14ac:dyDescent="0.25">
      <c r="H491" s="267"/>
      <c r="I491" s="267"/>
    </row>
    <row r="492" spans="8:9" x14ac:dyDescent="0.25">
      <c r="H492" s="267"/>
      <c r="I492" s="267"/>
    </row>
    <row r="493" spans="8:9" x14ac:dyDescent="0.25">
      <c r="H493" s="267"/>
      <c r="I493" s="267"/>
    </row>
    <row r="494" spans="8:9" x14ac:dyDescent="0.25">
      <c r="H494" s="267"/>
      <c r="I494" s="267"/>
    </row>
    <row r="495" spans="8:9" x14ac:dyDescent="0.25">
      <c r="H495" s="267"/>
      <c r="I495" s="267"/>
    </row>
    <row r="496" spans="8:9" x14ac:dyDescent="0.25">
      <c r="H496" s="267"/>
      <c r="I496" s="267"/>
    </row>
    <row r="497" spans="8:9" x14ac:dyDescent="0.25">
      <c r="H497" s="267"/>
      <c r="I497" s="267"/>
    </row>
    <row r="498" spans="8:9" x14ac:dyDescent="0.25">
      <c r="H498" s="267"/>
      <c r="I498" s="267"/>
    </row>
    <row r="499" spans="8:9" x14ac:dyDescent="0.25">
      <c r="H499" s="267"/>
      <c r="I499" s="267"/>
    </row>
    <row r="500" spans="8:9" x14ac:dyDescent="0.25">
      <c r="H500" s="267"/>
      <c r="I500" s="267"/>
    </row>
    <row r="501" spans="8:9" x14ac:dyDescent="0.25">
      <c r="H501" s="267"/>
      <c r="I501" s="267"/>
    </row>
    <row r="502" spans="8:9" x14ac:dyDescent="0.25">
      <c r="H502" s="267"/>
      <c r="I502" s="267"/>
    </row>
    <row r="503" spans="8:9" x14ac:dyDescent="0.25">
      <c r="H503" s="267"/>
      <c r="I503" s="267"/>
    </row>
    <row r="504" spans="8:9" x14ac:dyDescent="0.25">
      <c r="H504" s="267"/>
      <c r="I504" s="267"/>
    </row>
    <row r="505" spans="8:9" x14ac:dyDescent="0.25">
      <c r="H505" s="267"/>
      <c r="I505" s="267"/>
    </row>
    <row r="506" spans="8:9" x14ac:dyDescent="0.25">
      <c r="H506" s="267"/>
      <c r="I506" s="267"/>
    </row>
    <row r="507" spans="8:9" x14ac:dyDescent="0.25">
      <c r="H507" s="267"/>
      <c r="I507" s="267"/>
    </row>
    <row r="508" spans="8:9" x14ac:dyDescent="0.25">
      <c r="H508" s="267"/>
      <c r="I508" s="267"/>
    </row>
    <row r="509" spans="8:9" x14ac:dyDescent="0.25">
      <c r="H509" s="267"/>
      <c r="I509" s="267"/>
    </row>
    <row r="510" spans="8:9" x14ac:dyDescent="0.25">
      <c r="H510" s="267"/>
      <c r="I510" s="267"/>
    </row>
    <row r="511" spans="8:9" x14ac:dyDescent="0.25">
      <c r="H511" s="267"/>
      <c r="I511" s="267"/>
    </row>
    <row r="512" spans="8:9" x14ac:dyDescent="0.25">
      <c r="H512" s="267"/>
      <c r="I512" s="267"/>
    </row>
    <row r="513" spans="8:9" x14ac:dyDescent="0.25">
      <c r="H513" s="267"/>
      <c r="I513" s="267"/>
    </row>
    <row r="514" spans="8:9" x14ac:dyDescent="0.25">
      <c r="H514" s="267"/>
      <c r="I514" s="267"/>
    </row>
    <row r="515" spans="8:9" x14ac:dyDescent="0.25">
      <c r="H515" s="267"/>
      <c r="I515" s="267"/>
    </row>
    <row r="516" spans="8:9" x14ac:dyDescent="0.25">
      <c r="H516" s="267"/>
      <c r="I516" s="267"/>
    </row>
    <row r="517" spans="8:9" x14ac:dyDescent="0.25">
      <c r="H517" s="267"/>
      <c r="I517" s="267"/>
    </row>
    <row r="518" spans="8:9" x14ac:dyDescent="0.25">
      <c r="H518" s="267"/>
      <c r="I518" s="267"/>
    </row>
    <row r="519" spans="8:9" x14ac:dyDescent="0.25">
      <c r="H519" s="267"/>
      <c r="I519" s="267"/>
    </row>
    <row r="520" spans="8:9" x14ac:dyDescent="0.25">
      <c r="H520" s="267"/>
      <c r="I520" s="267"/>
    </row>
    <row r="521" spans="8:9" x14ac:dyDescent="0.25">
      <c r="H521" s="267"/>
      <c r="I521" s="267"/>
    </row>
    <row r="522" spans="8:9" x14ac:dyDescent="0.25">
      <c r="H522" s="267"/>
      <c r="I522" s="267"/>
    </row>
    <row r="523" spans="8:9" x14ac:dyDescent="0.25">
      <c r="H523" s="267"/>
      <c r="I523" s="267"/>
    </row>
    <row r="524" spans="8:9" x14ac:dyDescent="0.25">
      <c r="H524" s="267"/>
      <c r="I524" s="267"/>
    </row>
    <row r="525" spans="8:9" x14ac:dyDescent="0.25">
      <c r="H525" s="267"/>
      <c r="I525" s="267"/>
    </row>
    <row r="526" spans="8:9" x14ac:dyDescent="0.25">
      <c r="H526" s="267"/>
      <c r="I526" s="267"/>
    </row>
    <row r="527" spans="8:9" x14ac:dyDescent="0.25">
      <c r="H527" s="267"/>
      <c r="I527" s="267"/>
    </row>
    <row r="528" spans="8:9" x14ac:dyDescent="0.25">
      <c r="H528" s="267"/>
      <c r="I528" s="267"/>
    </row>
    <row r="529" spans="8:9" x14ac:dyDescent="0.25">
      <c r="H529" s="267"/>
      <c r="I529" s="267"/>
    </row>
    <row r="530" spans="8:9" x14ac:dyDescent="0.25">
      <c r="H530" s="267"/>
      <c r="I530" s="267"/>
    </row>
    <row r="531" spans="8:9" x14ac:dyDescent="0.25">
      <c r="H531" s="267"/>
      <c r="I531" s="267"/>
    </row>
    <row r="532" spans="8:9" x14ac:dyDescent="0.25">
      <c r="H532" s="267"/>
      <c r="I532" s="267"/>
    </row>
    <row r="533" spans="8:9" x14ac:dyDescent="0.25">
      <c r="H533" s="267"/>
      <c r="I533" s="267"/>
    </row>
    <row r="534" spans="8:9" x14ac:dyDescent="0.25">
      <c r="H534" s="267"/>
      <c r="I534" s="267"/>
    </row>
    <row r="535" spans="8:9" x14ac:dyDescent="0.25">
      <c r="H535" s="267"/>
      <c r="I535" s="267"/>
    </row>
    <row r="536" spans="8:9" x14ac:dyDescent="0.25">
      <c r="H536" s="267"/>
      <c r="I536" s="267"/>
    </row>
    <row r="537" spans="8:9" x14ac:dyDescent="0.25">
      <c r="H537" s="267"/>
      <c r="I537" s="267"/>
    </row>
    <row r="538" spans="8:9" x14ac:dyDescent="0.25">
      <c r="H538" s="267"/>
      <c r="I538" s="267"/>
    </row>
    <row r="539" spans="8:9" x14ac:dyDescent="0.25">
      <c r="H539" s="267"/>
      <c r="I539" s="267"/>
    </row>
    <row r="540" spans="8:9" x14ac:dyDescent="0.25">
      <c r="H540" s="267"/>
      <c r="I540" s="267"/>
    </row>
    <row r="541" spans="8:9" x14ac:dyDescent="0.25">
      <c r="H541" s="267"/>
      <c r="I541" s="267"/>
    </row>
    <row r="542" spans="8:9" x14ac:dyDescent="0.25">
      <c r="H542" s="267"/>
      <c r="I542" s="267"/>
    </row>
    <row r="543" spans="8:9" x14ac:dyDescent="0.25">
      <c r="H543" s="267"/>
      <c r="I543" s="267"/>
    </row>
    <row r="544" spans="8:9" x14ac:dyDescent="0.25">
      <c r="H544" s="267"/>
      <c r="I544" s="267"/>
    </row>
    <row r="545" spans="8:9" x14ac:dyDescent="0.25">
      <c r="H545" s="267"/>
      <c r="I545" s="267"/>
    </row>
    <row r="546" spans="8:9" x14ac:dyDescent="0.25">
      <c r="H546" s="267"/>
      <c r="I546" s="267"/>
    </row>
    <row r="547" spans="8:9" x14ac:dyDescent="0.25">
      <c r="H547" s="267"/>
      <c r="I547" s="267"/>
    </row>
    <row r="548" spans="8:9" x14ac:dyDescent="0.25">
      <c r="H548" s="267"/>
      <c r="I548" s="267"/>
    </row>
    <row r="549" spans="8:9" x14ac:dyDescent="0.25">
      <c r="H549" s="267"/>
      <c r="I549" s="267"/>
    </row>
    <row r="550" spans="8:9" x14ac:dyDescent="0.25">
      <c r="H550" s="267"/>
      <c r="I550" s="267"/>
    </row>
    <row r="551" spans="8:9" x14ac:dyDescent="0.25">
      <c r="H551" s="267"/>
      <c r="I551" s="267"/>
    </row>
    <row r="552" spans="8:9" x14ac:dyDescent="0.25">
      <c r="H552" s="267"/>
      <c r="I552" s="267"/>
    </row>
    <row r="553" spans="8:9" x14ac:dyDescent="0.25">
      <c r="H553" s="267"/>
      <c r="I553" s="267"/>
    </row>
    <row r="554" spans="8:9" x14ac:dyDescent="0.25">
      <c r="H554" s="267"/>
      <c r="I554" s="267"/>
    </row>
    <row r="555" spans="8:9" x14ac:dyDescent="0.25">
      <c r="H555" s="267"/>
      <c r="I555" s="267"/>
    </row>
    <row r="556" spans="8:9" x14ac:dyDescent="0.25">
      <c r="H556" s="267"/>
      <c r="I556" s="267"/>
    </row>
    <row r="557" spans="8:9" x14ac:dyDescent="0.25">
      <c r="H557" s="267"/>
      <c r="I557" s="267"/>
    </row>
    <row r="558" spans="8:9" x14ac:dyDescent="0.25">
      <c r="H558" s="267"/>
      <c r="I558" s="267"/>
    </row>
    <row r="559" spans="8:9" x14ac:dyDescent="0.25">
      <c r="H559" s="267"/>
      <c r="I559" s="267"/>
    </row>
    <row r="560" spans="8:9" x14ac:dyDescent="0.25">
      <c r="H560" s="267"/>
      <c r="I560" s="267"/>
    </row>
    <row r="561" spans="8:9" x14ac:dyDescent="0.25">
      <c r="H561" s="267"/>
      <c r="I561" s="267"/>
    </row>
    <row r="562" spans="8:9" x14ac:dyDescent="0.25">
      <c r="H562" s="267"/>
      <c r="I562" s="267"/>
    </row>
    <row r="563" spans="8:9" x14ac:dyDescent="0.25">
      <c r="H563" s="267"/>
      <c r="I563" s="267"/>
    </row>
    <row r="564" spans="8:9" x14ac:dyDescent="0.25">
      <c r="H564" s="267"/>
      <c r="I564" s="267"/>
    </row>
    <row r="565" spans="8:9" x14ac:dyDescent="0.25">
      <c r="H565" s="267"/>
      <c r="I565" s="267"/>
    </row>
    <row r="566" spans="8:9" x14ac:dyDescent="0.25">
      <c r="H566" s="267"/>
      <c r="I566" s="267"/>
    </row>
    <row r="567" spans="8:9" x14ac:dyDescent="0.25">
      <c r="H567" s="267"/>
      <c r="I567" s="267"/>
    </row>
    <row r="568" spans="8:9" x14ac:dyDescent="0.25">
      <c r="H568" s="267"/>
      <c r="I568" s="267"/>
    </row>
    <row r="569" spans="8:9" x14ac:dyDescent="0.25">
      <c r="H569" s="267"/>
      <c r="I569" s="267"/>
    </row>
    <row r="570" spans="8:9" x14ac:dyDescent="0.25">
      <c r="H570" s="267"/>
      <c r="I570" s="267"/>
    </row>
    <row r="571" spans="8:9" x14ac:dyDescent="0.25">
      <c r="H571" s="267"/>
      <c r="I571" s="267"/>
    </row>
    <row r="572" spans="8:9" x14ac:dyDescent="0.25">
      <c r="H572" s="267"/>
      <c r="I572" s="267"/>
    </row>
    <row r="573" spans="8:9" x14ac:dyDescent="0.25">
      <c r="H573" s="267"/>
      <c r="I573" s="267"/>
    </row>
    <row r="574" spans="8:9" x14ac:dyDescent="0.25">
      <c r="H574" s="267"/>
      <c r="I574" s="267"/>
    </row>
    <row r="575" spans="8:9" x14ac:dyDescent="0.25">
      <c r="H575" s="267"/>
      <c r="I575" s="267"/>
    </row>
    <row r="576" spans="8:9" x14ac:dyDescent="0.25">
      <c r="H576" s="267"/>
      <c r="I576" s="267"/>
    </row>
    <row r="577" spans="8:9" x14ac:dyDescent="0.25">
      <c r="H577" s="267"/>
      <c r="I577" s="267"/>
    </row>
    <row r="578" spans="8:9" x14ac:dyDescent="0.25">
      <c r="H578" s="267"/>
      <c r="I578" s="267"/>
    </row>
    <row r="579" spans="8:9" x14ac:dyDescent="0.25">
      <c r="H579" s="267"/>
      <c r="I579" s="267"/>
    </row>
    <row r="580" spans="8:9" x14ac:dyDescent="0.25">
      <c r="H580" s="267"/>
      <c r="I580" s="267"/>
    </row>
    <row r="581" spans="8:9" x14ac:dyDescent="0.25">
      <c r="H581" s="267"/>
      <c r="I581" s="267"/>
    </row>
    <row r="582" spans="8:9" x14ac:dyDescent="0.25">
      <c r="H582" s="267"/>
      <c r="I582" s="267"/>
    </row>
    <row r="583" spans="8:9" x14ac:dyDescent="0.25">
      <c r="H583" s="267"/>
      <c r="I583" s="267"/>
    </row>
    <row r="584" spans="8:9" x14ac:dyDescent="0.25">
      <c r="H584" s="267"/>
      <c r="I584" s="267"/>
    </row>
    <row r="585" spans="8:9" x14ac:dyDescent="0.25">
      <c r="H585" s="267"/>
      <c r="I585" s="267"/>
    </row>
    <row r="586" spans="8:9" x14ac:dyDescent="0.25">
      <c r="H586" s="267"/>
      <c r="I586" s="267"/>
    </row>
    <row r="587" spans="8:9" x14ac:dyDescent="0.25">
      <c r="H587" s="267"/>
      <c r="I587" s="267"/>
    </row>
    <row r="588" spans="8:9" x14ac:dyDescent="0.25">
      <c r="H588" s="267"/>
      <c r="I588" s="267"/>
    </row>
    <row r="589" spans="8:9" x14ac:dyDescent="0.25">
      <c r="H589" s="267"/>
      <c r="I589" s="267"/>
    </row>
    <row r="590" spans="8:9" x14ac:dyDescent="0.25">
      <c r="H590" s="267"/>
      <c r="I590" s="267"/>
    </row>
    <row r="591" spans="8:9" x14ac:dyDescent="0.25">
      <c r="H591" s="267"/>
      <c r="I591" s="267"/>
    </row>
    <row r="592" spans="8:9" x14ac:dyDescent="0.25">
      <c r="H592" s="267"/>
      <c r="I592" s="267"/>
    </row>
    <row r="593" spans="8:9" x14ac:dyDescent="0.25">
      <c r="H593" s="267"/>
      <c r="I593" s="267"/>
    </row>
    <row r="594" spans="8:9" x14ac:dyDescent="0.25">
      <c r="H594" s="267"/>
      <c r="I594" s="267"/>
    </row>
    <row r="595" spans="8:9" x14ac:dyDescent="0.25">
      <c r="H595" s="267"/>
      <c r="I595" s="267"/>
    </row>
    <row r="596" spans="8:9" x14ac:dyDescent="0.25">
      <c r="H596" s="267"/>
      <c r="I596" s="267"/>
    </row>
    <row r="597" spans="8:9" x14ac:dyDescent="0.25">
      <c r="H597" s="267"/>
      <c r="I597" s="267"/>
    </row>
    <row r="598" spans="8:9" x14ac:dyDescent="0.25">
      <c r="H598" s="267"/>
      <c r="I598" s="267"/>
    </row>
    <row r="599" spans="8:9" x14ac:dyDescent="0.25">
      <c r="H599" s="267"/>
      <c r="I599" s="267"/>
    </row>
    <row r="600" spans="8:9" x14ac:dyDescent="0.25">
      <c r="H600" s="267"/>
      <c r="I600" s="267"/>
    </row>
    <row r="601" spans="8:9" x14ac:dyDescent="0.25">
      <c r="H601" s="267"/>
      <c r="I601" s="267"/>
    </row>
    <row r="602" spans="8:9" x14ac:dyDescent="0.25">
      <c r="H602" s="267"/>
      <c r="I602" s="267"/>
    </row>
    <row r="603" spans="8:9" x14ac:dyDescent="0.25">
      <c r="H603" s="267"/>
      <c r="I603" s="267"/>
    </row>
    <row r="604" spans="8:9" x14ac:dyDescent="0.25">
      <c r="H604" s="267"/>
      <c r="I604" s="267"/>
    </row>
    <row r="605" spans="8:9" x14ac:dyDescent="0.25">
      <c r="H605" s="267"/>
      <c r="I605" s="267"/>
    </row>
    <row r="606" spans="8:9" x14ac:dyDescent="0.25">
      <c r="H606" s="267"/>
      <c r="I606" s="267"/>
    </row>
    <row r="607" spans="8:9" x14ac:dyDescent="0.25">
      <c r="H607" s="267"/>
      <c r="I607" s="267"/>
    </row>
    <row r="608" spans="8:9" x14ac:dyDescent="0.25">
      <c r="H608" s="267"/>
      <c r="I608" s="267"/>
    </row>
    <row r="609" spans="8:9" x14ac:dyDescent="0.25">
      <c r="H609" s="267"/>
      <c r="I609" s="267"/>
    </row>
    <row r="610" spans="8:9" x14ac:dyDescent="0.25">
      <c r="H610" s="267"/>
      <c r="I610" s="267"/>
    </row>
    <row r="611" spans="8:9" x14ac:dyDescent="0.25">
      <c r="H611" s="267"/>
      <c r="I611" s="267"/>
    </row>
    <row r="612" spans="8:9" x14ac:dyDescent="0.25">
      <c r="H612" s="267"/>
      <c r="I612" s="267"/>
    </row>
    <row r="613" spans="8:9" x14ac:dyDescent="0.25">
      <c r="H613" s="267"/>
      <c r="I613" s="267"/>
    </row>
    <row r="614" spans="8:9" x14ac:dyDescent="0.25">
      <c r="H614" s="267"/>
      <c r="I614" s="267"/>
    </row>
    <row r="615" spans="8:9" x14ac:dyDescent="0.25">
      <c r="H615" s="267"/>
      <c r="I615" s="267"/>
    </row>
    <row r="616" spans="8:9" x14ac:dyDescent="0.25">
      <c r="H616" s="267"/>
      <c r="I616" s="267"/>
    </row>
    <row r="617" spans="8:9" x14ac:dyDescent="0.25">
      <c r="H617" s="267"/>
      <c r="I617" s="267"/>
    </row>
    <row r="618" spans="8:9" x14ac:dyDescent="0.25">
      <c r="H618" s="267"/>
      <c r="I618" s="267"/>
    </row>
    <row r="619" spans="8:9" x14ac:dyDescent="0.25">
      <c r="H619" s="267"/>
      <c r="I619" s="267"/>
    </row>
    <row r="620" spans="8:9" x14ac:dyDescent="0.25">
      <c r="H620" s="267"/>
      <c r="I620" s="267"/>
    </row>
    <row r="621" spans="8:9" x14ac:dyDescent="0.25">
      <c r="H621" s="267"/>
      <c r="I621" s="267"/>
    </row>
    <row r="622" spans="8:9" x14ac:dyDescent="0.25">
      <c r="H622" s="267"/>
      <c r="I622" s="267"/>
    </row>
    <row r="623" spans="8:9" x14ac:dyDescent="0.25">
      <c r="H623" s="267"/>
      <c r="I623" s="267"/>
    </row>
    <row r="624" spans="8:9" x14ac:dyDescent="0.25">
      <c r="H624" s="267"/>
      <c r="I624" s="267"/>
    </row>
    <row r="625" spans="8:9" x14ac:dyDescent="0.25">
      <c r="H625" s="267"/>
      <c r="I625" s="267"/>
    </row>
    <row r="626" spans="8:9" x14ac:dyDescent="0.25">
      <c r="H626" s="267"/>
      <c r="I626" s="267"/>
    </row>
    <row r="627" spans="8:9" x14ac:dyDescent="0.25">
      <c r="H627" s="267"/>
      <c r="I627" s="267"/>
    </row>
    <row r="628" spans="8:9" x14ac:dyDescent="0.25">
      <c r="H628" s="267"/>
      <c r="I628" s="267"/>
    </row>
    <row r="629" spans="8:9" x14ac:dyDescent="0.25">
      <c r="H629" s="267"/>
      <c r="I629" s="267"/>
    </row>
    <row r="630" spans="8:9" x14ac:dyDescent="0.25">
      <c r="H630" s="267"/>
      <c r="I630" s="267"/>
    </row>
    <row r="631" spans="8:9" x14ac:dyDescent="0.25">
      <c r="H631" s="267"/>
      <c r="I631" s="267"/>
    </row>
    <row r="632" spans="8:9" x14ac:dyDescent="0.25">
      <c r="H632" s="267"/>
      <c r="I632" s="267"/>
    </row>
    <row r="633" spans="8:9" x14ac:dyDescent="0.25">
      <c r="H633" s="267"/>
      <c r="I633" s="267"/>
    </row>
    <row r="634" spans="8:9" x14ac:dyDescent="0.25">
      <c r="H634" s="267"/>
      <c r="I634" s="267"/>
    </row>
    <row r="635" spans="8:9" x14ac:dyDescent="0.25">
      <c r="H635" s="267"/>
      <c r="I635" s="267"/>
    </row>
    <row r="636" spans="8:9" x14ac:dyDescent="0.25">
      <c r="H636" s="267"/>
      <c r="I636" s="267"/>
    </row>
    <row r="637" spans="8:9" x14ac:dyDescent="0.25">
      <c r="H637" s="267"/>
      <c r="I637" s="267"/>
    </row>
    <row r="638" spans="8:9" x14ac:dyDescent="0.25">
      <c r="H638" s="267"/>
      <c r="I638" s="267"/>
    </row>
    <row r="639" spans="8:9" x14ac:dyDescent="0.25">
      <c r="H639" s="267"/>
      <c r="I639" s="267"/>
    </row>
    <row r="640" spans="8:9" x14ac:dyDescent="0.25">
      <c r="H640" s="267"/>
      <c r="I640" s="267"/>
    </row>
    <row r="641" spans="8:9" x14ac:dyDescent="0.25">
      <c r="H641" s="267"/>
      <c r="I641" s="267"/>
    </row>
    <row r="642" spans="8:9" x14ac:dyDescent="0.25">
      <c r="H642" s="267"/>
      <c r="I642" s="267"/>
    </row>
    <row r="643" spans="8:9" x14ac:dyDescent="0.25">
      <c r="H643" s="267"/>
      <c r="I643" s="267"/>
    </row>
    <row r="644" spans="8:9" x14ac:dyDescent="0.25">
      <c r="H644" s="267"/>
      <c r="I644" s="267"/>
    </row>
    <row r="645" spans="8:9" x14ac:dyDescent="0.25">
      <c r="H645" s="267"/>
      <c r="I645" s="267"/>
    </row>
    <row r="646" spans="8:9" x14ac:dyDescent="0.25">
      <c r="H646" s="267"/>
      <c r="I646" s="267"/>
    </row>
    <row r="647" spans="8:9" x14ac:dyDescent="0.25">
      <c r="H647" s="267"/>
      <c r="I647" s="267"/>
    </row>
    <row r="648" spans="8:9" x14ac:dyDescent="0.25">
      <c r="H648" s="267"/>
      <c r="I648" s="267"/>
    </row>
    <row r="649" spans="8:9" x14ac:dyDescent="0.25">
      <c r="H649" s="267"/>
      <c r="I649" s="267"/>
    </row>
    <row r="650" spans="8:9" x14ac:dyDescent="0.25">
      <c r="H650" s="267"/>
      <c r="I650" s="267"/>
    </row>
    <row r="651" spans="8:9" x14ac:dyDescent="0.25">
      <c r="H651" s="267"/>
      <c r="I651" s="267"/>
    </row>
    <row r="652" spans="8:9" x14ac:dyDescent="0.25">
      <c r="H652" s="267"/>
      <c r="I652" s="267"/>
    </row>
    <row r="653" spans="8:9" x14ac:dyDescent="0.25">
      <c r="H653" s="267"/>
      <c r="I653" s="267"/>
    </row>
    <row r="654" spans="8:9" x14ac:dyDescent="0.25">
      <c r="H654" s="267"/>
      <c r="I654" s="267"/>
    </row>
    <row r="655" spans="8:9" x14ac:dyDescent="0.25">
      <c r="H655" s="267"/>
      <c r="I655" s="267"/>
    </row>
    <row r="656" spans="8:9" x14ac:dyDescent="0.25">
      <c r="H656" s="267"/>
      <c r="I656" s="267"/>
    </row>
    <row r="657" spans="8:9" x14ac:dyDescent="0.25">
      <c r="H657" s="267"/>
      <c r="I657" s="267"/>
    </row>
    <row r="658" spans="8:9" x14ac:dyDescent="0.25">
      <c r="H658" s="267"/>
      <c r="I658" s="267"/>
    </row>
    <row r="659" spans="8:9" x14ac:dyDescent="0.25">
      <c r="H659" s="267"/>
      <c r="I659" s="267"/>
    </row>
    <row r="660" spans="8:9" x14ac:dyDescent="0.25">
      <c r="H660" s="267"/>
      <c r="I660" s="267"/>
    </row>
    <row r="661" spans="8:9" x14ac:dyDescent="0.25">
      <c r="H661" s="267"/>
      <c r="I661" s="267"/>
    </row>
    <row r="662" spans="8:9" x14ac:dyDescent="0.25">
      <c r="H662" s="267"/>
      <c r="I662" s="267"/>
    </row>
    <row r="663" spans="8:9" x14ac:dyDescent="0.25">
      <c r="H663" s="267"/>
      <c r="I663" s="267"/>
    </row>
    <row r="664" spans="8:9" x14ac:dyDescent="0.25">
      <c r="H664" s="267"/>
      <c r="I664" s="267"/>
    </row>
    <row r="665" spans="8:9" x14ac:dyDescent="0.25">
      <c r="H665" s="267"/>
      <c r="I665" s="267"/>
    </row>
    <row r="666" spans="8:9" x14ac:dyDescent="0.25">
      <c r="H666" s="267"/>
      <c r="I666" s="267"/>
    </row>
    <row r="667" spans="8:9" x14ac:dyDescent="0.25">
      <c r="H667" s="267"/>
      <c r="I667" s="267"/>
    </row>
    <row r="668" spans="8:9" x14ac:dyDescent="0.25">
      <c r="H668" s="267"/>
      <c r="I668" s="267"/>
    </row>
    <row r="669" spans="8:9" x14ac:dyDescent="0.25">
      <c r="H669" s="267"/>
      <c r="I669" s="267"/>
    </row>
    <row r="670" spans="8:9" x14ac:dyDescent="0.25">
      <c r="H670" s="267"/>
      <c r="I670" s="267"/>
    </row>
    <row r="671" spans="8:9" x14ac:dyDescent="0.25">
      <c r="H671" s="267"/>
      <c r="I671" s="267"/>
    </row>
    <row r="672" spans="8:9" x14ac:dyDescent="0.25">
      <c r="H672" s="267"/>
      <c r="I672" s="267"/>
    </row>
    <row r="673" spans="8:9" x14ac:dyDescent="0.25">
      <c r="H673" s="267"/>
      <c r="I673" s="267"/>
    </row>
    <row r="674" spans="8:9" x14ac:dyDescent="0.25">
      <c r="H674" s="267"/>
      <c r="I674" s="267"/>
    </row>
    <row r="675" spans="8:9" x14ac:dyDescent="0.25">
      <c r="H675" s="267"/>
      <c r="I675" s="267"/>
    </row>
    <row r="676" spans="8:9" x14ac:dyDescent="0.25">
      <c r="H676" s="267"/>
      <c r="I676" s="267"/>
    </row>
    <row r="677" spans="8:9" x14ac:dyDescent="0.25">
      <c r="H677" s="267"/>
      <c r="I677" s="267"/>
    </row>
    <row r="678" spans="8:9" x14ac:dyDescent="0.25">
      <c r="H678" s="267"/>
      <c r="I678" s="267"/>
    </row>
    <row r="679" spans="8:9" x14ac:dyDescent="0.25">
      <c r="H679" s="267"/>
      <c r="I679" s="267"/>
    </row>
    <row r="680" spans="8:9" x14ac:dyDescent="0.25">
      <c r="H680" s="267"/>
      <c r="I680" s="267"/>
    </row>
    <row r="681" spans="8:9" x14ac:dyDescent="0.25">
      <c r="H681" s="267"/>
      <c r="I681" s="267"/>
    </row>
    <row r="682" spans="8:9" x14ac:dyDescent="0.25">
      <c r="H682" s="267"/>
      <c r="I682" s="267"/>
    </row>
    <row r="683" spans="8:9" x14ac:dyDescent="0.25">
      <c r="H683" s="267"/>
      <c r="I683" s="267"/>
    </row>
    <row r="684" spans="8:9" x14ac:dyDescent="0.25">
      <c r="H684" s="267"/>
      <c r="I684" s="267"/>
    </row>
    <row r="685" spans="8:9" x14ac:dyDescent="0.25">
      <c r="H685" s="267"/>
      <c r="I685" s="267"/>
    </row>
    <row r="686" spans="8:9" x14ac:dyDescent="0.25">
      <c r="H686" s="267"/>
      <c r="I686" s="267"/>
    </row>
    <row r="687" spans="8:9" x14ac:dyDescent="0.25">
      <c r="H687" s="267"/>
      <c r="I687" s="267"/>
    </row>
    <row r="688" spans="8:9" x14ac:dyDescent="0.25">
      <c r="H688" s="267"/>
      <c r="I688" s="267"/>
    </row>
    <row r="689" spans="8:9" x14ac:dyDescent="0.25">
      <c r="H689" s="267"/>
      <c r="I689" s="267"/>
    </row>
    <row r="690" spans="8:9" x14ac:dyDescent="0.25">
      <c r="H690" s="267"/>
      <c r="I690" s="267"/>
    </row>
    <row r="691" spans="8:9" x14ac:dyDescent="0.25">
      <c r="H691" s="267"/>
      <c r="I691" s="267"/>
    </row>
    <row r="692" spans="8:9" x14ac:dyDescent="0.25">
      <c r="H692" s="267"/>
      <c r="I692" s="267"/>
    </row>
    <row r="693" spans="8:9" x14ac:dyDescent="0.25">
      <c r="H693" s="267"/>
      <c r="I693" s="267"/>
    </row>
    <row r="694" spans="8:9" x14ac:dyDescent="0.25">
      <c r="H694" s="267"/>
      <c r="I694" s="267"/>
    </row>
    <row r="695" spans="8:9" x14ac:dyDescent="0.25">
      <c r="H695" s="267"/>
      <c r="I695" s="267"/>
    </row>
    <row r="696" spans="8:9" x14ac:dyDescent="0.25">
      <c r="H696" s="267"/>
      <c r="I696" s="267"/>
    </row>
    <row r="697" spans="8:9" x14ac:dyDescent="0.25">
      <c r="H697" s="267"/>
      <c r="I697" s="267"/>
    </row>
    <row r="698" spans="8:9" x14ac:dyDescent="0.25">
      <c r="H698" s="267"/>
      <c r="I698" s="267"/>
    </row>
    <row r="699" spans="8:9" x14ac:dyDescent="0.25">
      <c r="H699" s="267"/>
      <c r="I699" s="267"/>
    </row>
    <row r="700" spans="8:9" x14ac:dyDescent="0.25">
      <c r="H700" s="267"/>
      <c r="I700" s="267"/>
    </row>
    <row r="701" spans="8:9" x14ac:dyDescent="0.25">
      <c r="H701" s="267"/>
      <c r="I701" s="267"/>
    </row>
    <row r="702" spans="8:9" x14ac:dyDescent="0.25">
      <c r="H702" s="267"/>
      <c r="I702" s="267"/>
    </row>
    <row r="703" spans="8:9" x14ac:dyDescent="0.25">
      <c r="H703" s="267"/>
      <c r="I703" s="267"/>
    </row>
    <row r="704" spans="8:9" x14ac:dyDescent="0.25">
      <c r="H704" s="267"/>
      <c r="I704" s="267"/>
    </row>
    <row r="705" spans="8:9" x14ac:dyDescent="0.25">
      <c r="H705" s="267"/>
      <c r="I705" s="267"/>
    </row>
    <row r="706" spans="8:9" x14ac:dyDescent="0.25">
      <c r="H706" s="267"/>
      <c r="I706" s="267"/>
    </row>
    <row r="707" spans="8:9" x14ac:dyDescent="0.25">
      <c r="H707" s="267"/>
      <c r="I707" s="267"/>
    </row>
    <row r="708" spans="8:9" x14ac:dyDescent="0.25">
      <c r="H708" s="267"/>
      <c r="I708" s="267"/>
    </row>
    <row r="709" spans="8:9" x14ac:dyDescent="0.25">
      <c r="H709" s="267"/>
      <c r="I709" s="267"/>
    </row>
    <row r="710" spans="8:9" x14ac:dyDescent="0.25">
      <c r="H710" s="267"/>
      <c r="I710" s="267"/>
    </row>
    <row r="711" spans="8:9" x14ac:dyDescent="0.25">
      <c r="H711" s="267"/>
      <c r="I711" s="267"/>
    </row>
    <row r="712" spans="8:9" x14ac:dyDescent="0.25">
      <c r="H712" s="267"/>
      <c r="I712" s="267"/>
    </row>
    <row r="713" spans="8:9" x14ac:dyDescent="0.25">
      <c r="H713" s="267"/>
      <c r="I713" s="267"/>
    </row>
    <row r="714" spans="8:9" x14ac:dyDescent="0.25">
      <c r="H714" s="267"/>
      <c r="I714" s="267"/>
    </row>
    <row r="715" spans="8:9" x14ac:dyDescent="0.25">
      <c r="H715" s="267"/>
      <c r="I715" s="267"/>
    </row>
    <row r="716" spans="8:9" x14ac:dyDescent="0.25">
      <c r="H716" s="267"/>
      <c r="I716" s="267"/>
    </row>
    <row r="717" spans="8:9" x14ac:dyDescent="0.25">
      <c r="H717" s="267"/>
      <c r="I717" s="267"/>
    </row>
    <row r="718" spans="8:9" x14ac:dyDescent="0.25">
      <c r="H718" s="267"/>
      <c r="I718" s="267"/>
    </row>
    <row r="719" spans="8:9" x14ac:dyDescent="0.25">
      <c r="H719" s="267"/>
      <c r="I719" s="267"/>
    </row>
    <row r="720" spans="8:9" x14ac:dyDescent="0.25">
      <c r="H720" s="267"/>
      <c r="I720" s="267"/>
    </row>
    <row r="721" spans="8:9" x14ac:dyDescent="0.25">
      <c r="H721" s="267"/>
      <c r="I721" s="267"/>
    </row>
    <row r="722" spans="8:9" x14ac:dyDescent="0.25">
      <c r="H722" s="267"/>
      <c r="I722" s="267"/>
    </row>
    <row r="723" spans="8:9" x14ac:dyDescent="0.25">
      <c r="H723" s="267"/>
      <c r="I723" s="267"/>
    </row>
    <row r="724" spans="8:9" x14ac:dyDescent="0.25">
      <c r="H724" s="267"/>
      <c r="I724" s="267"/>
    </row>
    <row r="725" spans="8:9" x14ac:dyDescent="0.25">
      <c r="H725" s="267"/>
      <c r="I725" s="267"/>
    </row>
    <row r="726" spans="8:9" x14ac:dyDescent="0.25">
      <c r="H726" s="267"/>
      <c r="I726" s="267"/>
    </row>
    <row r="727" spans="8:9" x14ac:dyDescent="0.25">
      <c r="H727" s="267"/>
      <c r="I727" s="267"/>
    </row>
    <row r="728" spans="8:9" x14ac:dyDescent="0.25">
      <c r="H728" s="267"/>
      <c r="I728" s="267"/>
    </row>
    <row r="729" spans="8:9" x14ac:dyDescent="0.25">
      <c r="H729" s="267"/>
      <c r="I729" s="267"/>
    </row>
    <row r="730" spans="8:9" x14ac:dyDescent="0.25">
      <c r="H730" s="267"/>
      <c r="I730" s="267"/>
    </row>
    <row r="731" spans="8:9" x14ac:dyDescent="0.25">
      <c r="H731" s="267"/>
      <c r="I731" s="267"/>
    </row>
    <row r="732" spans="8:9" x14ac:dyDescent="0.25">
      <c r="H732" s="267"/>
      <c r="I732" s="267"/>
    </row>
    <row r="733" spans="8:9" x14ac:dyDescent="0.25">
      <c r="H733" s="267"/>
      <c r="I733" s="267"/>
    </row>
    <row r="734" spans="8:9" x14ac:dyDescent="0.25">
      <c r="H734" s="267"/>
      <c r="I734" s="267"/>
    </row>
    <row r="735" spans="8:9" x14ac:dyDescent="0.25">
      <c r="H735" s="267"/>
      <c r="I735" s="267"/>
    </row>
    <row r="736" spans="8:9" x14ac:dyDescent="0.25">
      <c r="H736" s="267"/>
      <c r="I736" s="267"/>
    </row>
    <row r="737" spans="8:9" x14ac:dyDescent="0.25">
      <c r="H737" s="267"/>
      <c r="I737" s="267"/>
    </row>
    <row r="738" spans="8:9" x14ac:dyDescent="0.25">
      <c r="H738" s="267"/>
      <c r="I738" s="267"/>
    </row>
    <row r="739" spans="8:9" x14ac:dyDescent="0.25">
      <c r="H739" s="267"/>
      <c r="I739" s="267"/>
    </row>
    <row r="740" spans="8:9" x14ac:dyDescent="0.25">
      <c r="H740" s="267"/>
      <c r="I740" s="267"/>
    </row>
    <row r="741" spans="8:9" x14ac:dyDescent="0.25">
      <c r="H741" s="267"/>
      <c r="I741" s="267"/>
    </row>
    <row r="742" spans="8:9" x14ac:dyDescent="0.25">
      <c r="H742" s="267"/>
      <c r="I742" s="267"/>
    </row>
    <row r="743" spans="8:9" x14ac:dyDescent="0.25">
      <c r="H743" s="267"/>
      <c r="I743" s="267"/>
    </row>
    <row r="744" spans="8:9" x14ac:dyDescent="0.25">
      <c r="H744" s="267"/>
      <c r="I744" s="267"/>
    </row>
    <row r="745" spans="8:9" x14ac:dyDescent="0.25">
      <c r="H745" s="267"/>
      <c r="I745" s="267"/>
    </row>
    <row r="746" spans="8:9" x14ac:dyDescent="0.25">
      <c r="H746" s="267"/>
      <c r="I746" s="267"/>
    </row>
    <row r="747" spans="8:9" x14ac:dyDescent="0.25">
      <c r="H747" s="267"/>
      <c r="I747" s="267"/>
    </row>
    <row r="748" spans="8:9" x14ac:dyDescent="0.25">
      <c r="H748" s="267"/>
      <c r="I748" s="267"/>
    </row>
    <row r="749" spans="8:9" x14ac:dyDescent="0.25">
      <c r="H749" s="267"/>
      <c r="I749" s="267"/>
    </row>
    <row r="750" spans="8:9" x14ac:dyDescent="0.25">
      <c r="H750" s="267"/>
      <c r="I750" s="267"/>
    </row>
    <row r="751" spans="8:9" x14ac:dyDescent="0.25">
      <c r="H751" s="267"/>
      <c r="I751" s="267"/>
    </row>
    <row r="752" spans="8:9" x14ac:dyDescent="0.25">
      <c r="H752" s="267"/>
      <c r="I752" s="267"/>
    </row>
    <row r="753" spans="8:9" x14ac:dyDescent="0.25">
      <c r="H753" s="267"/>
      <c r="I753" s="267"/>
    </row>
    <row r="754" spans="8:9" x14ac:dyDescent="0.25">
      <c r="H754" s="267"/>
      <c r="I754" s="267"/>
    </row>
    <row r="755" spans="8:9" x14ac:dyDescent="0.25">
      <c r="H755" s="267"/>
      <c r="I755" s="267"/>
    </row>
    <row r="756" spans="8:9" x14ac:dyDescent="0.25">
      <c r="H756" s="267"/>
      <c r="I756" s="267"/>
    </row>
    <row r="757" spans="8:9" x14ac:dyDescent="0.25">
      <c r="H757" s="267"/>
      <c r="I757" s="267"/>
    </row>
    <row r="758" spans="8:9" x14ac:dyDescent="0.25">
      <c r="H758" s="267"/>
      <c r="I758" s="267"/>
    </row>
    <row r="759" spans="8:9" x14ac:dyDescent="0.25">
      <c r="H759" s="267"/>
      <c r="I759" s="267"/>
    </row>
    <row r="760" spans="8:9" x14ac:dyDescent="0.25">
      <c r="H760" s="267"/>
      <c r="I760" s="267"/>
    </row>
    <row r="761" spans="8:9" x14ac:dyDescent="0.25">
      <c r="H761" s="267"/>
      <c r="I761" s="267"/>
    </row>
    <row r="762" spans="8:9" x14ac:dyDescent="0.25">
      <c r="H762" s="267"/>
      <c r="I762" s="267"/>
    </row>
    <row r="763" spans="8:9" x14ac:dyDescent="0.25">
      <c r="H763" s="267"/>
      <c r="I763" s="267"/>
    </row>
    <row r="764" spans="8:9" x14ac:dyDescent="0.25">
      <c r="H764" s="267"/>
      <c r="I764" s="267"/>
    </row>
    <row r="765" spans="8:9" x14ac:dyDescent="0.25">
      <c r="H765" s="267"/>
      <c r="I765" s="267"/>
    </row>
    <row r="766" spans="8:9" x14ac:dyDescent="0.25">
      <c r="H766" s="267"/>
      <c r="I766" s="267"/>
    </row>
    <row r="767" spans="8:9" x14ac:dyDescent="0.25">
      <c r="H767" s="267"/>
      <c r="I767" s="267"/>
    </row>
    <row r="768" spans="8:9" x14ac:dyDescent="0.25">
      <c r="H768" s="267"/>
      <c r="I768" s="267"/>
    </row>
    <row r="769" spans="8:9" x14ac:dyDescent="0.25">
      <c r="H769" s="267"/>
      <c r="I769" s="267"/>
    </row>
    <row r="770" spans="8:9" x14ac:dyDescent="0.25">
      <c r="H770" s="267"/>
      <c r="I770" s="267"/>
    </row>
    <row r="771" spans="8:9" x14ac:dyDescent="0.25">
      <c r="H771" s="267"/>
      <c r="I771" s="267"/>
    </row>
    <row r="772" spans="8:9" x14ac:dyDescent="0.25">
      <c r="H772" s="267"/>
      <c r="I772" s="267"/>
    </row>
    <row r="773" spans="8:9" x14ac:dyDescent="0.25">
      <c r="H773" s="267"/>
      <c r="I773" s="267"/>
    </row>
    <row r="774" spans="8:9" x14ac:dyDescent="0.25">
      <c r="H774" s="267"/>
      <c r="I774" s="267"/>
    </row>
    <row r="775" spans="8:9" x14ac:dyDescent="0.25">
      <c r="H775" s="267"/>
      <c r="I775" s="267"/>
    </row>
    <row r="776" spans="8:9" x14ac:dyDescent="0.25">
      <c r="H776" s="267"/>
      <c r="I776" s="267"/>
    </row>
    <row r="777" spans="8:9" x14ac:dyDescent="0.25">
      <c r="H777" s="267"/>
      <c r="I777" s="267"/>
    </row>
    <row r="778" spans="8:9" x14ac:dyDescent="0.25">
      <c r="H778" s="267"/>
      <c r="I778" s="267"/>
    </row>
    <row r="779" spans="8:9" x14ac:dyDescent="0.25">
      <c r="H779" s="267"/>
      <c r="I779" s="267"/>
    </row>
    <row r="780" spans="8:9" x14ac:dyDescent="0.25">
      <c r="H780" s="267"/>
      <c r="I780" s="267"/>
    </row>
    <row r="781" spans="8:9" x14ac:dyDescent="0.25">
      <c r="H781" s="267"/>
      <c r="I781" s="267"/>
    </row>
    <row r="782" spans="8:9" x14ac:dyDescent="0.25">
      <c r="H782" s="267"/>
      <c r="I782" s="267"/>
    </row>
    <row r="783" spans="8:9" x14ac:dyDescent="0.25">
      <c r="H783" s="267"/>
      <c r="I783" s="267"/>
    </row>
    <row r="784" spans="8:9" x14ac:dyDescent="0.25">
      <c r="H784" s="267"/>
      <c r="I784" s="267"/>
    </row>
    <row r="785" spans="8:9" x14ac:dyDescent="0.25">
      <c r="H785" s="267"/>
      <c r="I785" s="267"/>
    </row>
    <row r="786" spans="8:9" x14ac:dyDescent="0.25">
      <c r="H786" s="267"/>
      <c r="I786" s="267"/>
    </row>
    <row r="787" spans="8:9" x14ac:dyDescent="0.25">
      <c r="H787" s="267"/>
      <c r="I787" s="267"/>
    </row>
    <row r="788" spans="8:9" x14ac:dyDescent="0.25">
      <c r="H788" s="267"/>
      <c r="I788" s="267"/>
    </row>
    <row r="789" spans="8:9" x14ac:dyDescent="0.25">
      <c r="H789" s="267"/>
      <c r="I789" s="267"/>
    </row>
    <row r="790" spans="8:9" x14ac:dyDescent="0.25">
      <c r="H790" s="267"/>
      <c r="I790" s="267"/>
    </row>
    <row r="791" spans="8:9" x14ac:dyDescent="0.25">
      <c r="H791" s="267"/>
      <c r="I791" s="267"/>
    </row>
    <row r="792" spans="8:9" x14ac:dyDescent="0.25">
      <c r="H792" s="267"/>
      <c r="I792" s="267"/>
    </row>
    <row r="793" spans="8:9" x14ac:dyDescent="0.25">
      <c r="H793" s="267"/>
      <c r="I793" s="267"/>
    </row>
    <row r="794" spans="8:9" x14ac:dyDescent="0.25">
      <c r="H794" s="267"/>
      <c r="I794" s="267"/>
    </row>
    <row r="795" spans="8:9" x14ac:dyDescent="0.25">
      <c r="H795" s="267"/>
      <c r="I795" s="267"/>
    </row>
    <row r="796" spans="8:9" x14ac:dyDescent="0.25">
      <c r="H796" s="267"/>
      <c r="I796" s="267"/>
    </row>
    <row r="797" spans="8:9" x14ac:dyDescent="0.25">
      <c r="H797" s="267"/>
      <c r="I797" s="267"/>
    </row>
    <row r="798" spans="8:9" x14ac:dyDescent="0.25">
      <c r="H798" s="267"/>
      <c r="I798" s="267"/>
    </row>
    <row r="799" spans="8:9" x14ac:dyDescent="0.25">
      <c r="H799" s="267"/>
      <c r="I799" s="267"/>
    </row>
    <row r="800" spans="8:9" x14ac:dyDescent="0.25">
      <c r="H800" s="267"/>
      <c r="I800" s="267"/>
    </row>
    <row r="801" spans="8:9" x14ac:dyDescent="0.25">
      <c r="H801" s="267"/>
      <c r="I801" s="267"/>
    </row>
    <row r="802" spans="8:9" x14ac:dyDescent="0.25">
      <c r="H802" s="267"/>
      <c r="I802" s="267"/>
    </row>
    <row r="803" spans="8:9" x14ac:dyDescent="0.25">
      <c r="H803" s="267"/>
      <c r="I803" s="267"/>
    </row>
    <row r="804" spans="8:9" x14ac:dyDescent="0.25">
      <c r="H804" s="267"/>
      <c r="I804" s="267"/>
    </row>
    <row r="805" spans="8:9" x14ac:dyDescent="0.25">
      <c r="H805" s="267"/>
      <c r="I805" s="267"/>
    </row>
    <row r="806" spans="8:9" x14ac:dyDescent="0.25">
      <c r="H806" s="267"/>
      <c r="I806" s="267"/>
    </row>
    <row r="807" spans="8:9" x14ac:dyDescent="0.25">
      <c r="H807" s="267"/>
      <c r="I807" s="267"/>
    </row>
    <row r="808" spans="8:9" x14ac:dyDescent="0.25">
      <c r="H808" s="267"/>
      <c r="I808" s="267"/>
    </row>
    <row r="809" spans="8:9" x14ac:dyDescent="0.25">
      <c r="H809" s="267"/>
      <c r="I809" s="267"/>
    </row>
    <row r="810" spans="8:9" x14ac:dyDescent="0.25">
      <c r="H810" s="267"/>
      <c r="I810" s="267"/>
    </row>
    <row r="811" spans="8:9" x14ac:dyDescent="0.25">
      <c r="H811" s="267"/>
      <c r="I811" s="267"/>
    </row>
    <row r="812" spans="8:9" x14ac:dyDescent="0.25">
      <c r="H812" s="267"/>
      <c r="I812" s="267"/>
    </row>
    <row r="813" spans="8:9" x14ac:dyDescent="0.25">
      <c r="H813" s="267"/>
      <c r="I813" s="267"/>
    </row>
    <row r="814" spans="8:9" x14ac:dyDescent="0.25">
      <c r="H814" s="267"/>
      <c r="I814" s="267"/>
    </row>
    <row r="815" spans="8:9" x14ac:dyDescent="0.25">
      <c r="H815" s="267"/>
      <c r="I815" s="267"/>
    </row>
    <row r="816" spans="8:9" x14ac:dyDescent="0.25">
      <c r="H816" s="267"/>
      <c r="I816" s="267"/>
    </row>
    <row r="817" spans="8:9" x14ac:dyDescent="0.25">
      <c r="H817" s="267"/>
      <c r="I817" s="267"/>
    </row>
    <row r="818" spans="8:9" x14ac:dyDescent="0.25">
      <c r="H818" s="267"/>
      <c r="I818" s="267"/>
    </row>
    <row r="819" spans="8:9" x14ac:dyDescent="0.25">
      <c r="H819" s="267"/>
      <c r="I819" s="267"/>
    </row>
    <row r="820" spans="8:9" x14ac:dyDescent="0.25">
      <c r="H820" s="267"/>
      <c r="I820" s="267"/>
    </row>
    <row r="821" spans="8:9" x14ac:dyDescent="0.25">
      <c r="H821" s="267"/>
      <c r="I821" s="267"/>
    </row>
    <row r="822" spans="8:9" x14ac:dyDescent="0.25">
      <c r="H822" s="267"/>
      <c r="I822" s="267"/>
    </row>
    <row r="823" spans="8:9" x14ac:dyDescent="0.25">
      <c r="H823" s="267"/>
      <c r="I823" s="267"/>
    </row>
    <row r="824" spans="8:9" x14ac:dyDescent="0.25">
      <c r="H824" s="267"/>
      <c r="I824" s="267"/>
    </row>
    <row r="825" spans="8:9" x14ac:dyDescent="0.25">
      <c r="H825" s="267"/>
      <c r="I825" s="267"/>
    </row>
    <row r="826" spans="8:9" x14ac:dyDescent="0.25">
      <c r="H826" s="267"/>
      <c r="I826" s="267"/>
    </row>
    <row r="827" spans="8:9" x14ac:dyDescent="0.25">
      <c r="H827" s="267"/>
      <c r="I827" s="267"/>
    </row>
    <row r="828" spans="8:9" x14ac:dyDescent="0.25">
      <c r="H828" s="267"/>
      <c r="I828" s="267"/>
    </row>
    <row r="829" spans="8:9" x14ac:dyDescent="0.25">
      <c r="H829" s="267"/>
      <c r="I829" s="267"/>
    </row>
    <row r="830" spans="8:9" x14ac:dyDescent="0.25">
      <c r="H830" s="267"/>
      <c r="I830" s="267"/>
    </row>
    <row r="831" spans="8:9" x14ac:dyDescent="0.25">
      <c r="H831" s="267"/>
      <c r="I831" s="267"/>
    </row>
    <row r="832" spans="8:9" x14ac:dyDescent="0.25">
      <c r="H832" s="267"/>
      <c r="I832" s="267"/>
    </row>
    <row r="833" spans="8:9" x14ac:dyDescent="0.25">
      <c r="H833" s="267"/>
      <c r="I833" s="267"/>
    </row>
    <row r="834" spans="8:9" x14ac:dyDescent="0.25">
      <c r="H834" s="267"/>
      <c r="I834" s="267"/>
    </row>
    <row r="835" spans="8:9" x14ac:dyDescent="0.25">
      <c r="H835" s="267"/>
      <c r="I835" s="267"/>
    </row>
    <row r="836" spans="8:9" x14ac:dyDescent="0.25">
      <c r="H836" s="267"/>
      <c r="I836" s="267"/>
    </row>
    <row r="837" spans="8:9" x14ac:dyDescent="0.25">
      <c r="H837" s="267"/>
      <c r="I837" s="267"/>
    </row>
    <row r="838" spans="8:9" x14ac:dyDescent="0.25">
      <c r="H838" s="267"/>
      <c r="I838" s="267"/>
    </row>
    <row r="839" spans="8:9" x14ac:dyDescent="0.25">
      <c r="H839" s="267"/>
      <c r="I839" s="267"/>
    </row>
    <row r="840" spans="8:9" x14ac:dyDescent="0.25">
      <c r="H840" s="267"/>
      <c r="I840" s="267"/>
    </row>
    <row r="841" spans="8:9" x14ac:dyDescent="0.25">
      <c r="H841" s="267"/>
      <c r="I841" s="267"/>
    </row>
    <row r="842" spans="8:9" x14ac:dyDescent="0.25">
      <c r="H842" s="267"/>
      <c r="I842" s="267"/>
    </row>
    <row r="843" spans="8:9" x14ac:dyDescent="0.25">
      <c r="H843" s="267"/>
      <c r="I843" s="267"/>
    </row>
    <row r="844" spans="8:9" x14ac:dyDescent="0.25">
      <c r="H844" s="267"/>
      <c r="I844" s="267"/>
    </row>
    <row r="845" spans="8:9" x14ac:dyDescent="0.25">
      <c r="H845" s="267"/>
      <c r="I845" s="267"/>
    </row>
    <row r="846" spans="8:9" x14ac:dyDescent="0.25">
      <c r="H846" s="267"/>
      <c r="I846" s="267"/>
    </row>
    <row r="847" spans="8:9" x14ac:dyDescent="0.25">
      <c r="H847" s="267"/>
      <c r="I847" s="267"/>
    </row>
    <row r="848" spans="8:9" x14ac:dyDescent="0.25">
      <c r="H848" s="267"/>
      <c r="I848" s="267"/>
    </row>
    <row r="849" spans="8:9" x14ac:dyDescent="0.25">
      <c r="H849" s="267"/>
      <c r="I849" s="267"/>
    </row>
    <row r="850" spans="8:9" x14ac:dyDescent="0.25">
      <c r="H850" s="267"/>
      <c r="I850" s="267"/>
    </row>
    <row r="851" spans="8:9" x14ac:dyDescent="0.25">
      <c r="H851" s="267"/>
      <c r="I851" s="267"/>
    </row>
    <row r="852" spans="8:9" x14ac:dyDescent="0.25">
      <c r="H852" s="267"/>
      <c r="I852" s="267"/>
    </row>
    <row r="853" spans="8:9" x14ac:dyDescent="0.25">
      <c r="H853" s="267"/>
      <c r="I853" s="267"/>
    </row>
    <row r="854" spans="8:9" x14ac:dyDescent="0.25">
      <c r="H854" s="267"/>
      <c r="I854" s="267"/>
    </row>
    <row r="855" spans="8:9" x14ac:dyDescent="0.25">
      <c r="H855" s="267"/>
      <c r="I855" s="267"/>
    </row>
    <row r="856" spans="8:9" x14ac:dyDescent="0.25">
      <c r="H856" s="267"/>
      <c r="I856" s="267"/>
    </row>
    <row r="857" spans="8:9" x14ac:dyDescent="0.25">
      <c r="H857" s="267"/>
      <c r="I857" s="267"/>
    </row>
    <row r="858" spans="8:9" x14ac:dyDescent="0.25">
      <c r="H858" s="267"/>
      <c r="I858" s="267"/>
    </row>
    <row r="859" spans="8:9" x14ac:dyDescent="0.25">
      <c r="H859" s="267"/>
      <c r="I859" s="267"/>
    </row>
    <row r="860" spans="8:9" x14ac:dyDescent="0.25">
      <c r="H860" s="267"/>
      <c r="I860" s="267"/>
    </row>
    <row r="861" spans="8:9" x14ac:dyDescent="0.25">
      <c r="H861" s="267"/>
      <c r="I861" s="267"/>
    </row>
    <row r="862" spans="8:9" x14ac:dyDescent="0.25">
      <c r="H862" s="267"/>
      <c r="I862" s="267"/>
    </row>
    <row r="863" spans="8:9" x14ac:dyDescent="0.25">
      <c r="H863" s="267"/>
      <c r="I863" s="267"/>
    </row>
    <row r="864" spans="8:9" x14ac:dyDescent="0.25">
      <c r="H864" s="267"/>
      <c r="I864" s="267"/>
    </row>
    <row r="865" spans="8:9" x14ac:dyDescent="0.25">
      <c r="H865" s="267"/>
      <c r="I865" s="267"/>
    </row>
    <row r="866" spans="8:9" x14ac:dyDescent="0.25">
      <c r="H866" s="267"/>
      <c r="I866" s="267"/>
    </row>
    <row r="867" spans="8:9" x14ac:dyDescent="0.25">
      <c r="H867" s="267"/>
      <c r="I867" s="267"/>
    </row>
    <row r="868" spans="8:9" x14ac:dyDescent="0.25">
      <c r="H868" s="267"/>
      <c r="I868" s="267"/>
    </row>
    <row r="869" spans="8:9" x14ac:dyDescent="0.25">
      <c r="H869" s="267"/>
      <c r="I869" s="267"/>
    </row>
    <row r="870" spans="8:9" x14ac:dyDescent="0.25">
      <c r="H870" s="267"/>
      <c r="I870" s="267"/>
    </row>
    <row r="871" spans="8:9" x14ac:dyDescent="0.25">
      <c r="H871" s="267"/>
      <c r="I871" s="267"/>
    </row>
    <row r="872" spans="8:9" x14ac:dyDescent="0.25">
      <c r="H872" s="267"/>
      <c r="I872" s="267"/>
    </row>
    <row r="873" spans="8:9" x14ac:dyDescent="0.25">
      <c r="H873" s="267"/>
      <c r="I873" s="267"/>
    </row>
    <row r="874" spans="8:9" x14ac:dyDescent="0.25">
      <c r="H874" s="267"/>
      <c r="I874" s="267"/>
    </row>
    <row r="875" spans="8:9" x14ac:dyDescent="0.25">
      <c r="H875" s="267"/>
      <c r="I875" s="267"/>
    </row>
    <row r="876" spans="8:9" x14ac:dyDescent="0.25">
      <c r="H876" s="267"/>
      <c r="I876" s="267"/>
    </row>
    <row r="877" spans="8:9" x14ac:dyDescent="0.25">
      <c r="H877" s="267"/>
      <c r="I877" s="267"/>
    </row>
    <row r="878" spans="8:9" x14ac:dyDescent="0.25">
      <c r="H878" s="267"/>
      <c r="I878" s="267"/>
    </row>
    <row r="879" spans="8:9" x14ac:dyDescent="0.25">
      <c r="H879" s="267"/>
      <c r="I879" s="267"/>
    </row>
    <row r="880" spans="8:9" x14ac:dyDescent="0.25">
      <c r="H880" s="267"/>
      <c r="I880" s="267"/>
    </row>
    <row r="881" spans="8:9" x14ac:dyDescent="0.25">
      <c r="H881" s="267"/>
      <c r="I881" s="267"/>
    </row>
    <row r="882" spans="8:9" x14ac:dyDescent="0.25">
      <c r="H882" s="267"/>
      <c r="I882" s="267"/>
    </row>
    <row r="883" spans="8:9" x14ac:dyDescent="0.25">
      <c r="H883" s="267"/>
      <c r="I883" s="267"/>
    </row>
    <row r="884" spans="8:9" x14ac:dyDescent="0.25">
      <c r="H884" s="267"/>
      <c r="I884" s="267"/>
    </row>
    <row r="885" spans="8:9" x14ac:dyDescent="0.25">
      <c r="H885" s="267"/>
      <c r="I885" s="267"/>
    </row>
    <row r="886" spans="8:9" x14ac:dyDescent="0.25">
      <c r="H886" s="267"/>
      <c r="I886" s="267"/>
    </row>
    <row r="887" spans="8:9" x14ac:dyDescent="0.25">
      <c r="H887" s="267"/>
      <c r="I887" s="267"/>
    </row>
    <row r="888" spans="8:9" x14ac:dyDescent="0.25">
      <c r="H888" s="267"/>
      <c r="I888" s="267"/>
    </row>
    <row r="889" spans="8:9" x14ac:dyDescent="0.25">
      <c r="H889" s="267"/>
      <c r="I889" s="267"/>
    </row>
    <row r="890" spans="8:9" x14ac:dyDescent="0.25">
      <c r="H890" s="267"/>
      <c r="I890" s="267"/>
    </row>
    <row r="891" spans="8:9" x14ac:dyDescent="0.25">
      <c r="H891" s="267"/>
      <c r="I891" s="267"/>
    </row>
  </sheetData>
  <hyperlinks>
    <hyperlink ref="A1" r:id="rId1" xr:uid="{00000000-0004-0000-1800-000000000000}"/>
  </hyperlinks>
  <printOptions horizontalCentered="1"/>
  <pageMargins left="0.45" right="0.45" top="0.5" bottom="0.5" header="0.3" footer="0.3"/>
  <pageSetup scale="75" orientation="landscape" horizontalDpi="72" verticalDpi="72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H436"/>
  <sheetViews>
    <sheetView zoomScale="85" zoomScaleNormal="85" workbookViewId="0">
      <selection activeCell="I1" sqref="I1:L1048576"/>
    </sheetView>
  </sheetViews>
  <sheetFormatPr defaultColWidth="12.7109375" defaultRowHeight="15" x14ac:dyDescent="0.25"/>
  <cols>
    <col min="1" max="1" width="14.140625" style="1" customWidth="1"/>
    <col min="2" max="2" width="6.140625" style="139" bestFit="1" customWidth="1"/>
    <col min="3" max="3" width="5.7109375" style="139" bestFit="1" customWidth="1"/>
    <col min="4" max="4" width="7.28515625" style="140" bestFit="1" customWidth="1"/>
    <col min="5" max="5" width="7.5703125" style="140" bestFit="1" customWidth="1"/>
  </cols>
  <sheetData>
    <row r="1" spans="1:8" x14ac:dyDescent="0.25">
      <c r="A1" s="1" t="s">
        <v>44</v>
      </c>
      <c r="B1" s="4"/>
      <c r="C1" s="4"/>
      <c r="D1" s="56"/>
      <c r="E1" s="56"/>
    </row>
    <row r="2" spans="1:8" x14ac:dyDescent="0.25">
      <c r="B2" s="4"/>
      <c r="C2" s="4"/>
      <c r="D2" s="56"/>
      <c r="E2" s="56"/>
    </row>
    <row r="3" spans="1:8" x14ac:dyDescent="0.25">
      <c r="B3" s="4"/>
      <c r="C3" s="4"/>
      <c r="D3" s="56"/>
      <c r="E3" s="56"/>
    </row>
    <row r="4" spans="1:8" x14ac:dyDescent="0.25">
      <c r="A4" s="1" t="s">
        <v>55</v>
      </c>
      <c r="B4" s="4"/>
      <c r="C4" s="4"/>
      <c r="D4" s="56"/>
      <c r="E4" s="56"/>
    </row>
    <row r="5" spans="1:8" x14ac:dyDescent="0.25">
      <c r="A5" s="1" t="s">
        <v>56</v>
      </c>
      <c r="B5" s="4"/>
      <c r="C5" s="4"/>
      <c r="D5" s="56"/>
      <c r="E5" s="56"/>
    </row>
    <row r="6" spans="1:8" x14ac:dyDescent="0.25">
      <c r="A6" s="1" t="s">
        <v>57</v>
      </c>
      <c r="B6" s="4"/>
      <c r="C6" s="4"/>
      <c r="D6" s="56"/>
      <c r="E6" s="56"/>
    </row>
    <row r="7" spans="1:8" x14ac:dyDescent="0.25">
      <c r="A7" s="135" t="s">
        <v>134</v>
      </c>
      <c r="B7" s="4"/>
      <c r="C7" s="4"/>
      <c r="D7" s="56"/>
      <c r="E7" s="56"/>
    </row>
    <row r="8" spans="1:8" x14ac:dyDescent="0.25">
      <c r="A8" s="1" t="s">
        <v>58</v>
      </c>
      <c r="B8" s="4" t="s">
        <v>59</v>
      </c>
      <c r="C8" s="4" t="s">
        <v>60</v>
      </c>
      <c r="D8" s="56" t="s">
        <v>61</v>
      </c>
      <c r="E8" s="56" t="s">
        <v>62</v>
      </c>
    </row>
    <row r="9" spans="1:8" x14ac:dyDescent="0.25">
      <c r="A9" s="275">
        <v>43831</v>
      </c>
      <c r="B9" s="277">
        <v>53</v>
      </c>
      <c r="C9" s="277">
        <v>29</v>
      </c>
      <c r="D9" s="140">
        <f t="shared" ref="D9" si="0">(B9+C9)/2</f>
        <v>41</v>
      </c>
      <c r="E9" s="140">
        <f t="shared" ref="E9" si="1">IF(65-D9&gt;0,65-D9,0)</f>
        <v>24</v>
      </c>
      <c r="G9" s="332"/>
      <c r="H9" s="333"/>
    </row>
    <row r="10" spans="1:8" x14ac:dyDescent="0.25">
      <c r="A10" s="275">
        <v>43832</v>
      </c>
      <c r="B10" s="277">
        <v>50</v>
      </c>
      <c r="C10" s="277">
        <v>46</v>
      </c>
      <c r="D10" s="140">
        <f t="shared" ref="D10:D73" si="2">(B10+C10)/2</f>
        <v>48</v>
      </c>
      <c r="E10" s="140">
        <f t="shared" ref="E10:E73" si="3">IF(65-D10&gt;0,65-D10,0)</f>
        <v>17</v>
      </c>
      <c r="G10" s="332"/>
      <c r="H10" s="333"/>
    </row>
    <row r="11" spans="1:8" x14ac:dyDescent="0.25">
      <c r="A11" s="275">
        <v>43833</v>
      </c>
      <c r="B11" s="277">
        <v>53</v>
      </c>
      <c r="C11" s="277">
        <v>38</v>
      </c>
      <c r="D11" s="140">
        <f t="shared" si="2"/>
        <v>45.5</v>
      </c>
      <c r="E11" s="140">
        <f t="shared" si="3"/>
        <v>19.5</v>
      </c>
      <c r="G11" s="332"/>
      <c r="H11" s="333"/>
    </row>
    <row r="12" spans="1:8" x14ac:dyDescent="0.25">
      <c r="A12" s="275">
        <v>43834</v>
      </c>
      <c r="B12" s="277">
        <v>44</v>
      </c>
      <c r="C12" s="277">
        <v>29</v>
      </c>
      <c r="D12" s="140">
        <f t="shared" si="2"/>
        <v>36.5</v>
      </c>
      <c r="E12" s="140">
        <f t="shared" si="3"/>
        <v>28.5</v>
      </c>
      <c r="G12" s="332"/>
      <c r="H12" s="333"/>
    </row>
    <row r="13" spans="1:8" x14ac:dyDescent="0.25">
      <c r="A13" s="275">
        <v>43835</v>
      </c>
      <c r="B13" s="277">
        <v>54</v>
      </c>
      <c r="C13" s="277">
        <v>27</v>
      </c>
      <c r="D13" s="140">
        <f t="shared" si="2"/>
        <v>40.5</v>
      </c>
      <c r="E13" s="140">
        <f t="shared" si="3"/>
        <v>24.5</v>
      </c>
      <c r="G13" s="332"/>
      <c r="H13" s="333"/>
    </row>
    <row r="14" spans="1:8" x14ac:dyDescent="0.25">
      <c r="A14" s="275">
        <v>43836</v>
      </c>
      <c r="B14" s="277">
        <v>51</v>
      </c>
      <c r="C14" s="277">
        <v>28</v>
      </c>
      <c r="D14" s="140">
        <f t="shared" si="2"/>
        <v>39.5</v>
      </c>
      <c r="E14" s="140">
        <f t="shared" si="3"/>
        <v>25.5</v>
      </c>
      <c r="G14" s="332"/>
      <c r="H14" s="333"/>
    </row>
    <row r="15" spans="1:8" x14ac:dyDescent="0.25">
      <c r="A15" s="275">
        <v>43837</v>
      </c>
      <c r="B15" s="277">
        <v>52</v>
      </c>
      <c r="C15" s="277">
        <v>29</v>
      </c>
      <c r="D15" s="140">
        <f t="shared" si="2"/>
        <v>40.5</v>
      </c>
      <c r="E15" s="140">
        <f t="shared" si="3"/>
        <v>24.5</v>
      </c>
      <c r="G15" s="332"/>
      <c r="H15" s="333"/>
    </row>
    <row r="16" spans="1:8" x14ac:dyDescent="0.25">
      <c r="A16" s="275">
        <v>43838</v>
      </c>
      <c r="B16" s="277">
        <v>52</v>
      </c>
      <c r="C16" s="277">
        <v>29</v>
      </c>
      <c r="D16" s="140">
        <f t="shared" si="2"/>
        <v>40.5</v>
      </c>
      <c r="E16" s="140">
        <f t="shared" si="3"/>
        <v>24.5</v>
      </c>
      <c r="G16" s="332"/>
      <c r="H16" s="333"/>
    </row>
    <row r="17" spans="1:8" x14ac:dyDescent="0.25">
      <c r="A17" s="275">
        <v>43839</v>
      </c>
      <c r="B17" s="277">
        <v>59</v>
      </c>
      <c r="C17" s="277">
        <v>42</v>
      </c>
      <c r="D17" s="140">
        <f t="shared" si="2"/>
        <v>50.5</v>
      </c>
      <c r="E17" s="140">
        <f t="shared" si="3"/>
        <v>14.5</v>
      </c>
      <c r="G17" s="332"/>
      <c r="H17" s="333"/>
    </row>
    <row r="18" spans="1:8" x14ac:dyDescent="0.25">
      <c r="A18" s="275">
        <v>43840</v>
      </c>
      <c r="B18" s="277">
        <v>63</v>
      </c>
      <c r="C18" s="277">
        <v>54</v>
      </c>
      <c r="D18" s="140">
        <f t="shared" si="2"/>
        <v>58.5</v>
      </c>
      <c r="E18" s="140">
        <f t="shared" si="3"/>
        <v>6.5</v>
      </c>
      <c r="G18" s="332"/>
      <c r="H18" s="333"/>
    </row>
    <row r="19" spans="1:8" x14ac:dyDescent="0.25">
      <c r="A19" s="275">
        <v>43841</v>
      </c>
      <c r="B19" s="277">
        <v>66</v>
      </c>
      <c r="C19" s="277">
        <v>35</v>
      </c>
      <c r="D19" s="140">
        <f t="shared" si="2"/>
        <v>50.5</v>
      </c>
      <c r="E19" s="140">
        <f t="shared" si="3"/>
        <v>14.5</v>
      </c>
      <c r="G19" s="332"/>
      <c r="H19" s="333"/>
    </row>
    <row r="20" spans="1:8" x14ac:dyDescent="0.25">
      <c r="A20" s="275">
        <v>43842</v>
      </c>
      <c r="B20" s="277">
        <v>38</v>
      </c>
      <c r="C20" s="277">
        <v>32</v>
      </c>
      <c r="D20" s="140">
        <f t="shared" si="2"/>
        <v>35</v>
      </c>
      <c r="E20" s="140">
        <f t="shared" si="3"/>
        <v>30</v>
      </c>
      <c r="G20" s="332"/>
      <c r="H20" s="333"/>
    </row>
    <row r="21" spans="1:8" x14ac:dyDescent="0.25">
      <c r="A21" s="275">
        <v>43843</v>
      </c>
      <c r="B21" s="277">
        <v>47</v>
      </c>
      <c r="C21" s="277">
        <v>36</v>
      </c>
      <c r="D21" s="140">
        <f t="shared" si="2"/>
        <v>41.5</v>
      </c>
      <c r="E21" s="140">
        <f t="shared" si="3"/>
        <v>23.5</v>
      </c>
      <c r="G21" s="332"/>
      <c r="H21" s="333"/>
    </row>
    <row r="22" spans="1:8" x14ac:dyDescent="0.25">
      <c r="A22" s="275">
        <v>43844</v>
      </c>
      <c r="B22" s="277">
        <v>49</v>
      </c>
      <c r="C22" s="277">
        <v>33</v>
      </c>
      <c r="D22" s="140">
        <f t="shared" si="2"/>
        <v>41</v>
      </c>
      <c r="E22" s="140">
        <f t="shared" si="3"/>
        <v>24</v>
      </c>
      <c r="G22" s="332"/>
      <c r="H22" s="333"/>
    </row>
    <row r="23" spans="1:8" x14ac:dyDescent="0.25">
      <c r="A23" s="275">
        <v>43845</v>
      </c>
      <c r="B23" s="277">
        <v>58</v>
      </c>
      <c r="C23" s="277">
        <v>43</v>
      </c>
      <c r="D23" s="140">
        <f t="shared" si="2"/>
        <v>50.5</v>
      </c>
      <c r="E23" s="140">
        <f t="shared" si="3"/>
        <v>14.5</v>
      </c>
      <c r="G23" s="332"/>
      <c r="H23" s="333"/>
    </row>
    <row r="24" spans="1:8" x14ac:dyDescent="0.25">
      <c r="A24" s="275">
        <v>43846</v>
      </c>
      <c r="B24" s="277">
        <v>48</v>
      </c>
      <c r="C24" s="277">
        <v>30</v>
      </c>
      <c r="D24" s="140">
        <f t="shared" si="2"/>
        <v>39</v>
      </c>
      <c r="E24" s="140">
        <f t="shared" si="3"/>
        <v>26</v>
      </c>
      <c r="G24" s="332"/>
      <c r="H24" s="333"/>
    </row>
    <row r="25" spans="1:8" x14ac:dyDescent="0.25">
      <c r="A25" s="275">
        <v>43847</v>
      </c>
      <c r="B25" s="277">
        <v>40</v>
      </c>
      <c r="C25" s="277">
        <v>29</v>
      </c>
      <c r="D25" s="140">
        <f t="shared" si="2"/>
        <v>34.5</v>
      </c>
      <c r="E25" s="140">
        <f t="shared" si="3"/>
        <v>30.5</v>
      </c>
      <c r="G25" s="332"/>
      <c r="H25" s="333"/>
    </row>
    <row r="26" spans="1:8" x14ac:dyDescent="0.25">
      <c r="A26" s="275">
        <v>43848</v>
      </c>
      <c r="B26" s="277">
        <v>60</v>
      </c>
      <c r="C26" s="277">
        <v>32</v>
      </c>
      <c r="D26" s="140">
        <f t="shared" si="2"/>
        <v>46</v>
      </c>
      <c r="E26" s="140">
        <f t="shared" si="3"/>
        <v>19</v>
      </c>
      <c r="G26" s="332"/>
      <c r="H26" s="333"/>
    </row>
    <row r="27" spans="1:8" x14ac:dyDescent="0.25">
      <c r="A27" s="275">
        <v>43849</v>
      </c>
      <c r="B27" s="277">
        <v>32</v>
      </c>
      <c r="C27" s="277">
        <v>20</v>
      </c>
      <c r="D27" s="140">
        <f t="shared" si="2"/>
        <v>26</v>
      </c>
      <c r="E27" s="140">
        <f t="shared" si="3"/>
        <v>39</v>
      </c>
      <c r="G27" s="332"/>
      <c r="H27" s="333"/>
    </row>
    <row r="28" spans="1:8" x14ac:dyDescent="0.25">
      <c r="A28" s="275">
        <v>43850</v>
      </c>
      <c r="B28" s="277">
        <v>27</v>
      </c>
      <c r="C28" s="277">
        <v>18</v>
      </c>
      <c r="D28" s="140">
        <f t="shared" si="2"/>
        <v>22.5</v>
      </c>
      <c r="E28" s="140">
        <f t="shared" si="3"/>
        <v>42.5</v>
      </c>
      <c r="G28" s="332"/>
      <c r="H28" s="333"/>
    </row>
    <row r="29" spans="1:8" x14ac:dyDescent="0.25">
      <c r="A29" s="275">
        <v>43851</v>
      </c>
      <c r="B29" s="277">
        <v>31</v>
      </c>
      <c r="C29" s="277">
        <v>20</v>
      </c>
      <c r="D29" s="140">
        <f t="shared" si="2"/>
        <v>25.5</v>
      </c>
      <c r="E29" s="140">
        <f t="shared" si="3"/>
        <v>39.5</v>
      </c>
      <c r="G29" s="332"/>
      <c r="H29" s="333"/>
    </row>
    <row r="30" spans="1:8" x14ac:dyDescent="0.25">
      <c r="A30" s="275">
        <v>43852</v>
      </c>
      <c r="B30" s="277">
        <v>35</v>
      </c>
      <c r="C30" s="277">
        <v>21</v>
      </c>
      <c r="D30" s="140">
        <f t="shared" si="2"/>
        <v>28</v>
      </c>
      <c r="E30" s="140">
        <f t="shared" si="3"/>
        <v>37</v>
      </c>
      <c r="G30" s="332"/>
      <c r="H30" s="333"/>
    </row>
    <row r="31" spans="1:8" x14ac:dyDescent="0.25">
      <c r="A31" s="275">
        <v>43853</v>
      </c>
      <c r="B31" s="277">
        <v>39</v>
      </c>
      <c r="C31" s="277">
        <v>33</v>
      </c>
      <c r="D31" s="140">
        <f t="shared" si="2"/>
        <v>36</v>
      </c>
      <c r="E31" s="140">
        <f t="shared" si="3"/>
        <v>29</v>
      </c>
      <c r="G31" s="332"/>
      <c r="H31" s="333"/>
    </row>
    <row r="32" spans="1:8" x14ac:dyDescent="0.25">
      <c r="A32" s="275">
        <v>43854</v>
      </c>
      <c r="B32" s="277">
        <v>41</v>
      </c>
      <c r="C32" s="277">
        <v>36</v>
      </c>
      <c r="D32" s="140">
        <f t="shared" si="2"/>
        <v>38.5</v>
      </c>
      <c r="E32" s="140">
        <f t="shared" si="3"/>
        <v>26.5</v>
      </c>
      <c r="G32" s="332"/>
      <c r="H32" s="333"/>
    </row>
    <row r="33" spans="1:8" x14ac:dyDescent="0.25">
      <c r="A33" s="275">
        <v>43855</v>
      </c>
      <c r="B33" s="277">
        <v>42</v>
      </c>
      <c r="C33" s="277">
        <v>30</v>
      </c>
      <c r="D33" s="140">
        <f t="shared" si="2"/>
        <v>36</v>
      </c>
      <c r="E33" s="140">
        <f t="shared" si="3"/>
        <v>29</v>
      </c>
      <c r="G33" s="332"/>
      <c r="H33" s="333"/>
    </row>
    <row r="34" spans="1:8" s="293" customFormat="1" x14ac:dyDescent="0.25">
      <c r="A34" s="275">
        <v>43856</v>
      </c>
      <c r="B34" s="277">
        <v>53</v>
      </c>
      <c r="C34" s="277">
        <v>32</v>
      </c>
      <c r="D34" s="140">
        <f t="shared" si="2"/>
        <v>42.5</v>
      </c>
      <c r="E34" s="140">
        <f t="shared" si="3"/>
        <v>22.5</v>
      </c>
      <c r="G34" s="332"/>
      <c r="H34" s="333"/>
    </row>
    <row r="35" spans="1:8" s="293" customFormat="1" x14ac:dyDescent="0.25">
      <c r="A35" s="275">
        <v>43857</v>
      </c>
      <c r="B35" s="277">
        <v>43</v>
      </c>
      <c r="C35" s="277">
        <v>32</v>
      </c>
      <c r="D35" s="140">
        <f t="shared" si="2"/>
        <v>37.5</v>
      </c>
      <c r="E35" s="140">
        <f t="shared" si="3"/>
        <v>27.5</v>
      </c>
      <c r="G35" s="332"/>
      <c r="H35" s="333"/>
    </row>
    <row r="36" spans="1:8" s="293" customFormat="1" x14ac:dyDescent="0.25">
      <c r="A36" s="275">
        <v>43858</v>
      </c>
      <c r="B36" s="277">
        <v>35</v>
      </c>
      <c r="C36" s="277">
        <v>31</v>
      </c>
      <c r="D36" s="140">
        <f t="shared" si="2"/>
        <v>33</v>
      </c>
      <c r="E36" s="140">
        <f t="shared" si="3"/>
        <v>32</v>
      </c>
      <c r="G36" s="332"/>
      <c r="H36" s="333"/>
    </row>
    <row r="37" spans="1:8" s="293" customFormat="1" x14ac:dyDescent="0.25">
      <c r="A37" s="275">
        <v>43859</v>
      </c>
      <c r="B37" s="277">
        <v>37</v>
      </c>
      <c r="C37" s="277">
        <v>33</v>
      </c>
      <c r="D37" s="140">
        <f t="shared" si="2"/>
        <v>35</v>
      </c>
      <c r="E37" s="140">
        <f t="shared" si="3"/>
        <v>30</v>
      </c>
      <c r="G37" s="332"/>
      <c r="H37" s="333"/>
    </row>
    <row r="38" spans="1:8" s="293" customFormat="1" x14ac:dyDescent="0.25">
      <c r="A38" s="275">
        <v>43860</v>
      </c>
      <c r="B38" s="277">
        <v>42</v>
      </c>
      <c r="C38" s="277">
        <v>34</v>
      </c>
      <c r="D38" s="140">
        <f t="shared" si="2"/>
        <v>38</v>
      </c>
      <c r="E38" s="140">
        <f t="shared" si="3"/>
        <v>27</v>
      </c>
      <c r="G38" s="332"/>
      <c r="H38" s="333"/>
    </row>
    <row r="39" spans="1:8" s="293" customFormat="1" x14ac:dyDescent="0.25">
      <c r="A39" s="275">
        <v>43861</v>
      </c>
      <c r="B39" s="277">
        <v>46</v>
      </c>
      <c r="C39" s="277">
        <v>38</v>
      </c>
      <c r="D39" s="140">
        <f t="shared" si="2"/>
        <v>42</v>
      </c>
      <c r="E39" s="140">
        <f t="shared" si="3"/>
        <v>23</v>
      </c>
      <c r="G39" s="332"/>
      <c r="H39" s="333"/>
    </row>
    <row r="40" spans="1:8" s="293" customFormat="1" x14ac:dyDescent="0.25">
      <c r="A40" s="275">
        <v>43862</v>
      </c>
      <c r="B40" s="277">
        <v>52</v>
      </c>
      <c r="C40" s="277">
        <v>33</v>
      </c>
      <c r="D40" s="140">
        <f t="shared" si="2"/>
        <v>42.5</v>
      </c>
      <c r="E40" s="140">
        <f t="shared" si="3"/>
        <v>22.5</v>
      </c>
      <c r="G40" s="332"/>
      <c r="H40" s="333"/>
    </row>
    <row r="41" spans="1:8" s="293" customFormat="1" x14ac:dyDescent="0.25">
      <c r="A41" s="275">
        <v>43863</v>
      </c>
      <c r="B41" s="277">
        <v>63</v>
      </c>
      <c r="C41" s="277">
        <v>38</v>
      </c>
      <c r="D41" s="140">
        <f t="shared" si="2"/>
        <v>50.5</v>
      </c>
      <c r="E41" s="140">
        <f t="shared" si="3"/>
        <v>14.5</v>
      </c>
      <c r="G41" s="332"/>
      <c r="H41" s="333"/>
    </row>
    <row r="42" spans="1:8" s="293" customFormat="1" x14ac:dyDescent="0.25">
      <c r="A42" s="275">
        <v>43864</v>
      </c>
      <c r="B42" s="277">
        <v>64</v>
      </c>
      <c r="C42" s="277">
        <v>45</v>
      </c>
      <c r="D42" s="140">
        <f t="shared" si="2"/>
        <v>54.5</v>
      </c>
      <c r="E42" s="140">
        <f t="shared" si="3"/>
        <v>10.5</v>
      </c>
      <c r="G42" s="332"/>
      <c r="H42" s="333"/>
    </row>
    <row r="43" spans="1:8" s="293" customFormat="1" x14ac:dyDescent="0.25">
      <c r="A43" s="275">
        <v>43865</v>
      </c>
      <c r="B43" s="277">
        <v>60</v>
      </c>
      <c r="C43" s="277">
        <v>39</v>
      </c>
      <c r="D43" s="140">
        <f t="shared" si="2"/>
        <v>49.5</v>
      </c>
      <c r="E43" s="140">
        <f t="shared" si="3"/>
        <v>15.5</v>
      </c>
      <c r="G43" s="332"/>
      <c r="H43" s="333"/>
    </row>
    <row r="44" spans="1:8" s="293" customFormat="1" x14ac:dyDescent="0.25">
      <c r="A44" s="275">
        <v>43866</v>
      </c>
      <c r="B44" s="277">
        <v>39</v>
      </c>
      <c r="C44" s="277">
        <v>34</v>
      </c>
      <c r="D44" s="140">
        <f t="shared" si="2"/>
        <v>36.5</v>
      </c>
      <c r="E44" s="140">
        <f t="shared" si="3"/>
        <v>28.5</v>
      </c>
      <c r="G44" s="332"/>
      <c r="H44" s="333"/>
    </row>
    <row r="45" spans="1:8" s="293" customFormat="1" x14ac:dyDescent="0.25">
      <c r="A45" s="275">
        <v>43867</v>
      </c>
      <c r="B45" s="277">
        <v>34</v>
      </c>
      <c r="C45" s="277">
        <v>31</v>
      </c>
      <c r="D45" s="140">
        <f t="shared" si="2"/>
        <v>32.5</v>
      </c>
      <c r="E45" s="140">
        <f t="shared" si="3"/>
        <v>32.5</v>
      </c>
      <c r="G45" s="332"/>
      <c r="H45" s="333"/>
    </row>
    <row r="46" spans="1:8" s="293" customFormat="1" x14ac:dyDescent="0.25">
      <c r="A46" s="275">
        <v>43868</v>
      </c>
      <c r="B46" s="277">
        <v>40</v>
      </c>
      <c r="C46" s="277">
        <v>31</v>
      </c>
      <c r="D46" s="140">
        <f t="shared" si="2"/>
        <v>35.5</v>
      </c>
      <c r="E46" s="140">
        <f t="shared" si="3"/>
        <v>29.5</v>
      </c>
      <c r="G46" s="332"/>
      <c r="H46" s="333"/>
    </row>
    <row r="47" spans="1:8" s="293" customFormat="1" x14ac:dyDescent="0.25">
      <c r="A47" s="275">
        <v>43869</v>
      </c>
      <c r="B47" s="277">
        <v>45</v>
      </c>
      <c r="C47" s="277">
        <v>30</v>
      </c>
      <c r="D47" s="140">
        <f t="shared" si="2"/>
        <v>37.5</v>
      </c>
      <c r="E47" s="140">
        <f t="shared" si="3"/>
        <v>27.5</v>
      </c>
      <c r="G47" s="332"/>
      <c r="H47" s="333"/>
    </row>
    <row r="48" spans="1:8" s="293" customFormat="1" x14ac:dyDescent="0.25">
      <c r="A48" s="275">
        <v>43870</v>
      </c>
      <c r="B48" s="277">
        <v>62</v>
      </c>
      <c r="C48" s="277">
        <v>34</v>
      </c>
      <c r="D48" s="140">
        <f t="shared" si="2"/>
        <v>48</v>
      </c>
      <c r="E48" s="140">
        <f t="shared" si="3"/>
        <v>17</v>
      </c>
      <c r="G48" s="332"/>
      <c r="H48" s="333"/>
    </row>
    <row r="49" spans="1:8" s="293" customFormat="1" x14ac:dyDescent="0.25">
      <c r="A49" s="275">
        <v>43871</v>
      </c>
      <c r="B49" s="277">
        <v>56</v>
      </c>
      <c r="C49" s="277">
        <v>36</v>
      </c>
      <c r="D49" s="140">
        <f t="shared" si="2"/>
        <v>46</v>
      </c>
      <c r="E49" s="140">
        <f t="shared" si="3"/>
        <v>19</v>
      </c>
      <c r="G49" s="332"/>
      <c r="H49" s="333"/>
    </row>
    <row r="50" spans="1:8" s="293" customFormat="1" x14ac:dyDescent="0.25">
      <c r="A50" s="275">
        <v>43872</v>
      </c>
      <c r="B50" s="277">
        <v>43</v>
      </c>
      <c r="C50" s="277">
        <v>35</v>
      </c>
      <c r="D50" s="140">
        <f t="shared" si="2"/>
        <v>39</v>
      </c>
      <c r="E50" s="140">
        <f t="shared" si="3"/>
        <v>26</v>
      </c>
      <c r="G50" s="332"/>
      <c r="H50" s="333"/>
    </row>
    <row r="51" spans="1:8" s="293" customFormat="1" x14ac:dyDescent="0.25">
      <c r="A51" s="275">
        <v>43873</v>
      </c>
      <c r="B51" s="277">
        <v>39</v>
      </c>
      <c r="C51" s="277">
        <v>36</v>
      </c>
      <c r="D51" s="140">
        <f t="shared" si="2"/>
        <v>37.5</v>
      </c>
      <c r="E51" s="140">
        <f t="shared" si="3"/>
        <v>27.5</v>
      </c>
      <c r="G51" s="332"/>
      <c r="H51" s="333"/>
    </row>
    <row r="52" spans="1:8" s="293" customFormat="1" x14ac:dyDescent="0.25">
      <c r="A52" s="275">
        <v>43874</v>
      </c>
      <c r="B52" s="277">
        <v>39</v>
      </c>
      <c r="C52" s="277">
        <v>16</v>
      </c>
      <c r="D52" s="140">
        <f t="shared" si="2"/>
        <v>27.5</v>
      </c>
      <c r="E52" s="140">
        <f t="shared" si="3"/>
        <v>37.5</v>
      </c>
      <c r="G52" s="332"/>
      <c r="H52" s="333"/>
    </row>
    <row r="53" spans="1:8" s="293" customFormat="1" x14ac:dyDescent="0.25">
      <c r="A53" s="275">
        <v>43875</v>
      </c>
      <c r="B53" s="277">
        <v>28</v>
      </c>
      <c r="C53" s="277">
        <v>12</v>
      </c>
      <c r="D53" s="140">
        <f t="shared" si="2"/>
        <v>20</v>
      </c>
      <c r="E53" s="140">
        <f t="shared" si="3"/>
        <v>45</v>
      </c>
      <c r="G53" s="332"/>
      <c r="H53" s="333"/>
    </row>
    <row r="54" spans="1:8" s="293" customFormat="1" x14ac:dyDescent="0.25">
      <c r="A54" s="275">
        <v>43876</v>
      </c>
      <c r="B54" s="277">
        <v>46</v>
      </c>
      <c r="C54" s="277">
        <v>21</v>
      </c>
      <c r="D54" s="140">
        <f t="shared" si="2"/>
        <v>33.5</v>
      </c>
      <c r="E54" s="140">
        <f t="shared" si="3"/>
        <v>31.5</v>
      </c>
      <c r="G54" s="332"/>
      <c r="H54" s="333"/>
    </row>
    <row r="55" spans="1:8" s="293" customFormat="1" x14ac:dyDescent="0.25">
      <c r="A55" s="275">
        <v>43877</v>
      </c>
      <c r="B55" s="277">
        <v>58</v>
      </c>
      <c r="C55" s="277">
        <v>32</v>
      </c>
      <c r="D55" s="140">
        <f t="shared" si="2"/>
        <v>45</v>
      </c>
      <c r="E55" s="140">
        <f t="shared" si="3"/>
        <v>20</v>
      </c>
      <c r="G55" s="332"/>
      <c r="H55" s="333"/>
    </row>
    <row r="56" spans="1:8" s="293" customFormat="1" x14ac:dyDescent="0.25">
      <c r="A56" s="275">
        <v>43878</v>
      </c>
      <c r="B56" s="277">
        <v>60</v>
      </c>
      <c r="C56" s="277">
        <v>39</v>
      </c>
      <c r="D56" s="140">
        <f t="shared" si="2"/>
        <v>49.5</v>
      </c>
      <c r="E56" s="140">
        <f t="shared" si="3"/>
        <v>15.5</v>
      </c>
      <c r="G56" s="332"/>
      <c r="H56" s="333"/>
    </row>
    <row r="57" spans="1:8" s="293" customFormat="1" x14ac:dyDescent="0.25">
      <c r="A57" s="275">
        <v>43879</v>
      </c>
      <c r="B57" s="277">
        <v>54</v>
      </c>
      <c r="C57" s="277">
        <v>34</v>
      </c>
      <c r="D57" s="140">
        <f t="shared" si="2"/>
        <v>44</v>
      </c>
      <c r="E57" s="140">
        <f t="shared" si="3"/>
        <v>21</v>
      </c>
      <c r="G57" s="332"/>
      <c r="H57" s="333"/>
    </row>
    <row r="58" spans="1:8" s="293" customFormat="1" x14ac:dyDescent="0.25">
      <c r="A58" s="275">
        <v>43880</v>
      </c>
      <c r="B58" s="277">
        <v>49</v>
      </c>
      <c r="C58" s="277">
        <v>29</v>
      </c>
      <c r="D58" s="140">
        <f t="shared" si="2"/>
        <v>39</v>
      </c>
      <c r="E58" s="140">
        <f t="shared" si="3"/>
        <v>26</v>
      </c>
      <c r="G58" s="332"/>
      <c r="H58" s="333"/>
    </row>
    <row r="59" spans="1:8" s="293" customFormat="1" x14ac:dyDescent="0.25">
      <c r="A59" s="275">
        <v>43881</v>
      </c>
      <c r="B59" s="277">
        <v>41</v>
      </c>
      <c r="C59" s="277">
        <v>25</v>
      </c>
      <c r="D59" s="140">
        <f t="shared" si="2"/>
        <v>33</v>
      </c>
      <c r="E59" s="140">
        <f t="shared" si="3"/>
        <v>32</v>
      </c>
      <c r="G59" s="332"/>
      <c r="H59" s="333"/>
    </row>
    <row r="60" spans="1:8" s="293" customFormat="1" x14ac:dyDescent="0.25">
      <c r="A60" s="275">
        <v>43882</v>
      </c>
      <c r="B60" s="277">
        <v>39</v>
      </c>
      <c r="C60" s="277">
        <v>19</v>
      </c>
      <c r="D60" s="140">
        <f t="shared" si="2"/>
        <v>29</v>
      </c>
      <c r="E60" s="140">
        <f t="shared" si="3"/>
        <v>36</v>
      </c>
      <c r="G60" s="332"/>
      <c r="H60" s="333"/>
    </row>
    <row r="61" spans="1:8" s="293" customFormat="1" x14ac:dyDescent="0.25">
      <c r="A61" s="275">
        <v>43883</v>
      </c>
      <c r="B61" s="277">
        <v>47</v>
      </c>
      <c r="C61" s="277">
        <v>21</v>
      </c>
      <c r="D61" s="140">
        <f t="shared" si="2"/>
        <v>34</v>
      </c>
      <c r="E61" s="140">
        <f t="shared" si="3"/>
        <v>31</v>
      </c>
      <c r="G61" s="332"/>
      <c r="H61" s="333"/>
    </row>
    <row r="62" spans="1:8" s="293" customFormat="1" x14ac:dyDescent="0.25">
      <c r="A62" s="275">
        <v>43884</v>
      </c>
      <c r="B62" s="277">
        <v>50</v>
      </c>
      <c r="C62" s="277">
        <v>40</v>
      </c>
      <c r="D62" s="140">
        <f t="shared" si="2"/>
        <v>45</v>
      </c>
      <c r="E62" s="140">
        <f t="shared" si="3"/>
        <v>20</v>
      </c>
      <c r="G62" s="332"/>
      <c r="H62" s="333"/>
    </row>
    <row r="63" spans="1:8" s="293" customFormat="1" x14ac:dyDescent="0.25">
      <c r="A63" s="275">
        <v>43885</v>
      </c>
      <c r="B63" s="277">
        <v>51</v>
      </c>
      <c r="C63" s="277">
        <v>44</v>
      </c>
      <c r="D63" s="140">
        <f t="shared" si="2"/>
        <v>47.5</v>
      </c>
      <c r="E63" s="140">
        <f t="shared" si="3"/>
        <v>17.5</v>
      </c>
      <c r="G63" s="332"/>
      <c r="H63" s="333"/>
    </row>
    <row r="64" spans="1:8" s="293" customFormat="1" x14ac:dyDescent="0.25">
      <c r="A64" s="275">
        <v>43886</v>
      </c>
      <c r="B64" s="277">
        <v>50</v>
      </c>
      <c r="C64" s="277">
        <v>38</v>
      </c>
      <c r="D64" s="140">
        <f t="shared" si="2"/>
        <v>44</v>
      </c>
      <c r="E64" s="140">
        <f t="shared" si="3"/>
        <v>21</v>
      </c>
      <c r="G64" s="332"/>
      <c r="H64" s="333"/>
    </row>
    <row r="65" spans="1:8" s="293" customFormat="1" x14ac:dyDescent="0.25">
      <c r="A65" s="275">
        <v>43887</v>
      </c>
      <c r="B65" s="277">
        <v>39</v>
      </c>
      <c r="C65" s="277">
        <v>29</v>
      </c>
      <c r="D65" s="140">
        <f t="shared" si="2"/>
        <v>34</v>
      </c>
      <c r="E65" s="140">
        <f t="shared" si="3"/>
        <v>31</v>
      </c>
      <c r="G65" s="332"/>
      <c r="H65" s="333"/>
    </row>
    <row r="66" spans="1:8" s="293" customFormat="1" x14ac:dyDescent="0.25">
      <c r="A66" s="275">
        <v>43888</v>
      </c>
      <c r="B66" s="277">
        <v>45</v>
      </c>
      <c r="C66" s="277">
        <v>25</v>
      </c>
      <c r="D66" s="140">
        <f t="shared" si="2"/>
        <v>35</v>
      </c>
      <c r="E66" s="140">
        <f t="shared" si="3"/>
        <v>30</v>
      </c>
      <c r="G66" s="332"/>
      <c r="H66" s="333"/>
    </row>
    <row r="67" spans="1:8" s="293" customFormat="1" x14ac:dyDescent="0.25">
      <c r="A67" s="275">
        <v>43889</v>
      </c>
      <c r="B67" s="277">
        <v>49</v>
      </c>
      <c r="C67" s="277">
        <v>32</v>
      </c>
      <c r="D67" s="140">
        <f t="shared" si="2"/>
        <v>40.5</v>
      </c>
      <c r="E67" s="140">
        <f t="shared" si="3"/>
        <v>24.5</v>
      </c>
      <c r="G67" s="332"/>
      <c r="H67" s="333"/>
    </row>
    <row r="68" spans="1:8" s="293" customFormat="1" x14ac:dyDescent="0.25">
      <c r="A68" s="275">
        <v>43890</v>
      </c>
      <c r="B68" s="277">
        <v>48</v>
      </c>
      <c r="C68" s="277">
        <v>28</v>
      </c>
      <c r="D68" s="140">
        <f t="shared" si="2"/>
        <v>38</v>
      </c>
      <c r="E68" s="140">
        <f t="shared" si="3"/>
        <v>27</v>
      </c>
      <c r="G68" s="332"/>
      <c r="H68" s="333"/>
    </row>
    <row r="69" spans="1:8" s="293" customFormat="1" x14ac:dyDescent="0.25">
      <c r="A69" s="275">
        <v>43891</v>
      </c>
      <c r="B69" s="277">
        <v>64</v>
      </c>
      <c r="C69" s="277">
        <v>39</v>
      </c>
      <c r="D69" s="140">
        <f t="shared" si="2"/>
        <v>51.5</v>
      </c>
      <c r="E69" s="140">
        <f t="shared" si="3"/>
        <v>13.5</v>
      </c>
      <c r="G69" s="332"/>
      <c r="H69" s="333"/>
    </row>
    <row r="70" spans="1:8" s="293" customFormat="1" x14ac:dyDescent="0.25">
      <c r="A70" s="275">
        <v>43892</v>
      </c>
      <c r="B70" s="277">
        <v>68</v>
      </c>
      <c r="C70" s="277">
        <v>51</v>
      </c>
      <c r="D70" s="140">
        <f t="shared" si="2"/>
        <v>59.5</v>
      </c>
      <c r="E70" s="140">
        <f t="shared" si="3"/>
        <v>5.5</v>
      </c>
      <c r="G70" s="332"/>
      <c r="H70" s="333"/>
    </row>
    <row r="71" spans="1:8" s="293" customFormat="1" x14ac:dyDescent="0.25">
      <c r="A71" s="275">
        <v>43893</v>
      </c>
      <c r="B71" s="277">
        <v>65</v>
      </c>
      <c r="C71" s="277">
        <v>41</v>
      </c>
      <c r="D71" s="140">
        <f t="shared" si="2"/>
        <v>53</v>
      </c>
      <c r="E71" s="140">
        <f t="shared" si="3"/>
        <v>12</v>
      </c>
      <c r="G71" s="332"/>
      <c r="H71" s="333"/>
    </row>
    <row r="72" spans="1:8" s="293" customFormat="1" x14ac:dyDescent="0.25">
      <c r="A72" s="275">
        <v>43894</v>
      </c>
      <c r="B72" s="277">
        <v>62</v>
      </c>
      <c r="C72" s="277">
        <v>35</v>
      </c>
      <c r="D72" s="140">
        <f t="shared" si="2"/>
        <v>48.5</v>
      </c>
      <c r="E72" s="140">
        <f t="shared" si="3"/>
        <v>16.5</v>
      </c>
      <c r="G72" s="332"/>
      <c r="H72" s="333"/>
    </row>
    <row r="73" spans="1:8" s="293" customFormat="1" x14ac:dyDescent="0.25">
      <c r="A73" s="275">
        <v>43895</v>
      </c>
      <c r="B73" s="277">
        <v>68</v>
      </c>
      <c r="C73" s="277">
        <v>36</v>
      </c>
      <c r="D73" s="140">
        <f t="shared" si="2"/>
        <v>52</v>
      </c>
      <c r="E73" s="140">
        <f t="shared" si="3"/>
        <v>13</v>
      </c>
      <c r="G73" s="332"/>
      <c r="H73" s="333"/>
    </row>
    <row r="74" spans="1:8" s="293" customFormat="1" x14ac:dyDescent="0.25">
      <c r="A74" s="275">
        <v>43896</v>
      </c>
      <c r="B74" s="277">
        <v>53</v>
      </c>
      <c r="C74" s="277">
        <v>31</v>
      </c>
      <c r="D74" s="140">
        <f t="shared" ref="D74:D137" si="4">(B74+C74)/2</f>
        <v>42</v>
      </c>
      <c r="E74" s="140">
        <f t="shared" ref="E74:E137" si="5">IF(65-D74&gt;0,65-D74,0)</f>
        <v>23</v>
      </c>
      <c r="G74" s="332"/>
      <c r="H74" s="333"/>
    </row>
    <row r="75" spans="1:8" s="293" customFormat="1" x14ac:dyDescent="0.25">
      <c r="A75" s="275">
        <v>43897</v>
      </c>
      <c r="B75" s="277">
        <v>55</v>
      </c>
      <c r="C75" s="277">
        <v>27</v>
      </c>
      <c r="D75" s="140">
        <f t="shared" si="4"/>
        <v>41</v>
      </c>
      <c r="E75" s="140">
        <f t="shared" si="5"/>
        <v>24</v>
      </c>
      <c r="G75" s="332"/>
      <c r="H75" s="333"/>
    </row>
    <row r="76" spans="1:8" s="293" customFormat="1" x14ac:dyDescent="0.25">
      <c r="A76" s="275">
        <v>43898</v>
      </c>
      <c r="B76" s="277">
        <v>65</v>
      </c>
      <c r="C76" s="277">
        <v>35</v>
      </c>
      <c r="D76" s="140">
        <f t="shared" si="4"/>
        <v>50</v>
      </c>
      <c r="E76" s="140">
        <f t="shared" si="5"/>
        <v>15</v>
      </c>
      <c r="G76" s="332"/>
      <c r="H76" s="333"/>
    </row>
    <row r="77" spans="1:8" s="293" customFormat="1" x14ac:dyDescent="0.25">
      <c r="A77" s="275">
        <v>43899</v>
      </c>
      <c r="B77" s="277">
        <v>63</v>
      </c>
      <c r="C77" s="277">
        <v>53</v>
      </c>
      <c r="D77" s="140">
        <f t="shared" si="4"/>
        <v>58</v>
      </c>
      <c r="E77" s="140">
        <f t="shared" si="5"/>
        <v>7</v>
      </c>
      <c r="G77" s="332"/>
      <c r="H77" s="333"/>
    </row>
    <row r="78" spans="1:8" s="293" customFormat="1" x14ac:dyDescent="0.25">
      <c r="A78" s="275">
        <v>43900</v>
      </c>
      <c r="B78" s="277">
        <v>62</v>
      </c>
      <c r="C78" s="277">
        <v>43</v>
      </c>
      <c r="D78" s="140">
        <f t="shared" si="4"/>
        <v>52.5</v>
      </c>
      <c r="E78" s="140">
        <f t="shared" si="5"/>
        <v>12.5</v>
      </c>
      <c r="G78" s="332"/>
      <c r="H78" s="333"/>
    </row>
    <row r="79" spans="1:8" s="293" customFormat="1" x14ac:dyDescent="0.25">
      <c r="A79" s="275">
        <v>43901</v>
      </c>
      <c r="B79" s="277">
        <v>63</v>
      </c>
      <c r="C79" s="277">
        <v>41</v>
      </c>
      <c r="D79" s="140">
        <f t="shared" si="4"/>
        <v>52</v>
      </c>
      <c r="E79" s="140">
        <f t="shared" si="5"/>
        <v>13</v>
      </c>
      <c r="G79" s="332"/>
      <c r="H79" s="333"/>
    </row>
    <row r="80" spans="1:8" s="293" customFormat="1" x14ac:dyDescent="0.25">
      <c r="A80" s="275">
        <v>43902</v>
      </c>
      <c r="B80" s="277">
        <v>67</v>
      </c>
      <c r="C80" s="277">
        <v>42</v>
      </c>
      <c r="D80" s="140">
        <f t="shared" si="4"/>
        <v>54.5</v>
      </c>
      <c r="E80" s="140">
        <f t="shared" si="5"/>
        <v>10.5</v>
      </c>
      <c r="G80" s="332"/>
      <c r="H80" s="333"/>
    </row>
    <row r="81" spans="1:8" s="293" customFormat="1" x14ac:dyDescent="0.25">
      <c r="A81" s="275">
        <v>43903</v>
      </c>
      <c r="B81" s="277">
        <v>59</v>
      </c>
      <c r="C81" s="277">
        <v>44</v>
      </c>
      <c r="D81" s="140">
        <f t="shared" si="4"/>
        <v>51.5</v>
      </c>
      <c r="E81" s="140">
        <f t="shared" si="5"/>
        <v>13.5</v>
      </c>
      <c r="G81" s="332"/>
      <c r="H81" s="333"/>
    </row>
    <row r="82" spans="1:8" s="293" customFormat="1" x14ac:dyDescent="0.25">
      <c r="A82" s="275">
        <v>43904</v>
      </c>
      <c r="B82" s="277">
        <v>46</v>
      </c>
      <c r="C82" s="277">
        <v>41</v>
      </c>
      <c r="D82" s="140">
        <f t="shared" si="4"/>
        <v>43.5</v>
      </c>
      <c r="E82" s="140">
        <f t="shared" si="5"/>
        <v>21.5</v>
      </c>
      <c r="G82" s="332"/>
      <c r="H82" s="333"/>
    </row>
    <row r="83" spans="1:8" s="293" customFormat="1" x14ac:dyDescent="0.25">
      <c r="A83" s="275">
        <v>43905</v>
      </c>
      <c r="B83" s="277">
        <v>43</v>
      </c>
      <c r="C83" s="277">
        <v>39</v>
      </c>
      <c r="D83" s="140">
        <f t="shared" si="4"/>
        <v>41</v>
      </c>
      <c r="E83" s="140">
        <f t="shared" si="5"/>
        <v>24</v>
      </c>
      <c r="G83" s="332"/>
      <c r="H83" s="333"/>
    </row>
    <row r="84" spans="1:8" s="293" customFormat="1" x14ac:dyDescent="0.25">
      <c r="A84" s="275">
        <v>43906</v>
      </c>
      <c r="B84" s="277">
        <v>45</v>
      </c>
      <c r="C84" s="277">
        <v>40</v>
      </c>
      <c r="D84" s="140">
        <f t="shared" si="4"/>
        <v>42.5</v>
      </c>
      <c r="E84" s="140">
        <f t="shared" si="5"/>
        <v>22.5</v>
      </c>
      <c r="G84" s="332"/>
      <c r="H84" s="333"/>
    </row>
    <row r="85" spans="1:8" s="293" customFormat="1" x14ac:dyDescent="0.25">
      <c r="A85" s="275">
        <v>43907</v>
      </c>
      <c r="B85" s="277">
        <v>60</v>
      </c>
      <c r="C85" s="277">
        <v>44</v>
      </c>
      <c r="D85" s="140">
        <f t="shared" si="4"/>
        <v>52</v>
      </c>
      <c r="E85" s="140">
        <f t="shared" si="5"/>
        <v>13</v>
      </c>
      <c r="G85" s="332"/>
      <c r="H85" s="333"/>
    </row>
    <row r="86" spans="1:8" s="293" customFormat="1" x14ac:dyDescent="0.25">
      <c r="A86" s="275">
        <v>43908</v>
      </c>
      <c r="B86" s="277">
        <v>61</v>
      </c>
      <c r="C86" s="277">
        <v>47</v>
      </c>
      <c r="D86" s="140">
        <f t="shared" si="4"/>
        <v>54</v>
      </c>
      <c r="E86" s="140">
        <f t="shared" si="5"/>
        <v>11</v>
      </c>
      <c r="G86" s="332"/>
      <c r="H86" s="333"/>
    </row>
    <row r="87" spans="1:8" s="293" customFormat="1" x14ac:dyDescent="0.25">
      <c r="A87" s="275">
        <v>43909</v>
      </c>
      <c r="B87" s="277">
        <v>71</v>
      </c>
      <c r="C87" s="277">
        <v>52</v>
      </c>
      <c r="D87" s="140">
        <f t="shared" si="4"/>
        <v>61.5</v>
      </c>
      <c r="E87" s="140">
        <f t="shared" si="5"/>
        <v>3.5</v>
      </c>
      <c r="G87" s="332"/>
      <c r="H87" s="333"/>
    </row>
    <row r="88" spans="1:8" s="293" customFormat="1" x14ac:dyDescent="0.25">
      <c r="A88" s="275">
        <v>43910</v>
      </c>
      <c r="B88" s="277">
        <v>69</v>
      </c>
      <c r="C88" s="277">
        <v>41</v>
      </c>
      <c r="D88" s="140">
        <f t="shared" si="4"/>
        <v>55</v>
      </c>
      <c r="E88" s="140">
        <f t="shared" si="5"/>
        <v>10</v>
      </c>
      <c r="G88" s="332"/>
      <c r="H88" s="333"/>
    </row>
    <row r="89" spans="1:8" s="293" customFormat="1" x14ac:dyDescent="0.25">
      <c r="A89" s="275">
        <v>43911</v>
      </c>
      <c r="B89" s="277">
        <v>49</v>
      </c>
      <c r="C89" s="277">
        <v>37</v>
      </c>
      <c r="D89" s="140">
        <f t="shared" si="4"/>
        <v>43</v>
      </c>
      <c r="E89" s="140">
        <f t="shared" si="5"/>
        <v>22</v>
      </c>
      <c r="G89" s="332"/>
      <c r="H89" s="333"/>
    </row>
    <row r="90" spans="1:8" s="293" customFormat="1" x14ac:dyDescent="0.25">
      <c r="A90" s="275">
        <v>43912</v>
      </c>
      <c r="B90" s="277">
        <v>48</v>
      </c>
      <c r="C90" s="277">
        <v>37</v>
      </c>
      <c r="D90" s="140">
        <f t="shared" si="4"/>
        <v>42.5</v>
      </c>
      <c r="E90" s="140">
        <f t="shared" si="5"/>
        <v>22.5</v>
      </c>
      <c r="G90" s="332"/>
      <c r="H90" s="333"/>
    </row>
    <row r="91" spans="1:8" s="293" customFormat="1" x14ac:dyDescent="0.25">
      <c r="A91" s="275">
        <v>43913</v>
      </c>
      <c r="B91" s="277">
        <v>57</v>
      </c>
      <c r="C91" s="277">
        <v>43</v>
      </c>
      <c r="D91" s="140">
        <f t="shared" si="4"/>
        <v>50</v>
      </c>
      <c r="E91" s="140">
        <f t="shared" si="5"/>
        <v>15</v>
      </c>
      <c r="G91" s="332"/>
      <c r="H91" s="333"/>
    </row>
    <row r="92" spans="1:8" s="293" customFormat="1" x14ac:dyDescent="0.25">
      <c r="A92" s="275">
        <v>43914</v>
      </c>
      <c r="B92" s="277">
        <v>54</v>
      </c>
      <c r="C92" s="277">
        <v>44</v>
      </c>
      <c r="D92" s="140">
        <f t="shared" si="4"/>
        <v>49</v>
      </c>
      <c r="E92" s="140">
        <f t="shared" si="5"/>
        <v>16</v>
      </c>
      <c r="G92" s="332"/>
      <c r="H92" s="333"/>
    </row>
    <row r="93" spans="1:8" s="293" customFormat="1" x14ac:dyDescent="0.25">
      <c r="A93" s="275">
        <v>43915</v>
      </c>
      <c r="B93" s="277">
        <v>61</v>
      </c>
      <c r="C93" s="277">
        <v>47</v>
      </c>
      <c r="D93" s="140">
        <f t="shared" si="4"/>
        <v>54</v>
      </c>
      <c r="E93" s="140">
        <f t="shared" si="5"/>
        <v>11</v>
      </c>
      <c r="G93" s="332"/>
      <c r="H93" s="333"/>
    </row>
    <row r="94" spans="1:8" s="293" customFormat="1" x14ac:dyDescent="0.25">
      <c r="A94" s="275">
        <v>43916</v>
      </c>
      <c r="B94" s="277">
        <v>79</v>
      </c>
      <c r="C94" s="277">
        <v>45</v>
      </c>
      <c r="D94" s="140">
        <f t="shared" si="4"/>
        <v>62</v>
      </c>
      <c r="E94" s="140">
        <f t="shared" si="5"/>
        <v>3</v>
      </c>
      <c r="G94" s="332"/>
      <c r="H94" s="333"/>
    </row>
    <row r="95" spans="1:8" s="293" customFormat="1" x14ac:dyDescent="0.25">
      <c r="A95" s="275">
        <v>43917</v>
      </c>
      <c r="B95" s="277">
        <v>78</v>
      </c>
      <c r="C95" s="277">
        <v>60</v>
      </c>
      <c r="D95" s="140">
        <f t="shared" si="4"/>
        <v>69</v>
      </c>
      <c r="E95" s="140">
        <f t="shared" si="5"/>
        <v>0</v>
      </c>
      <c r="G95" s="332"/>
      <c r="H95" s="333"/>
    </row>
    <row r="96" spans="1:8" s="293" customFormat="1" x14ac:dyDescent="0.25">
      <c r="A96" s="275">
        <v>43918</v>
      </c>
      <c r="B96" s="277">
        <v>74</v>
      </c>
      <c r="C96" s="277">
        <v>64</v>
      </c>
      <c r="D96" s="140">
        <f t="shared" si="4"/>
        <v>69</v>
      </c>
      <c r="E96" s="140">
        <f t="shared" si="5"/>
        <v>0</v>
      </c>
      <c r="G96" s="332"/>
      <c r="H96" s="333"/>
    </row>
    <row r="97" spans="1:8" s="293" customFormat="1" x14ac:dyDescent="0.25">
      <c r="A97" s="275">
        <v>43919</v>
      </c>
      <c r="B97" s="277">
        <v>70</v>
      </c>
      <c r="C97" s="277">
        <v>50</v>
      </c>
      <c r="D97" s="140">
        <f t="shared" si="4"/>
        <v>60</v>
      </c>
      <c r="E97" s="140">
        <f t="shared" si="5"/>
        <v>5</v>
      </c>
      <c r="G97" s="332"/>
      <c r="H97" s="333"/>
    </row>
    <row r="98" spans="1:8" s="293" customFormat="1" x14ac:dyDescent="0.25">
      <c r="A98" s="275">
        <v>43920</v>
      </c>
      <c r="B98" s="277">
        <v>66</v>
      </c>
      <c r="C98" s="277">
        <v>43</v>
      </c>
      <c r="D98" s="140">
        <f t="shared" si="4"/>
        <v>54.5</v>
      </c>
      <c r="E98" s="140">
        <f t="shared" si="5"/>
        <v>10.5</v>
      </c>
      <c r="G98" s="332"/>
      <c r="H98" s="333"/>
    </row>
    <row r="99" spans="1:8" s="293" customFormat="1" x14ac:dyDescent="0.25">
      <c r="A99" s="275">
        <v>43921</v>
      </c>
      <c r="B99" s="277">
        <v>62</v>
      </c>
      <c r="C99" s="277">
        <v>46</v>
      </c>
      <c r="D99" s="140">
        <f t="shared" si="4"/>
        <v>54</v>
      </c>
      <c r="E99" s="140">
        <f t="shared" si="5"/>
        <v>11</v>
      </c>
      <c r="G99" s="332"/>
      <c r="H99" s="333"/>
    </row>
    <row r="100" spans="1:8" s="293" customFormat="1" x14ac:dyDescent="0.25">
      <c r="A100" s="275">
        <v>43922</v>
      </c>
      <c r="B100" s="277">
        <v>63</v>
      </c>
      <c r="C100" s="277">
        <v>43</v>
      </c>
      <c r="D100" s="140">
        <f t="shared" si="4"/>
        <v>53</v>
      </c>
      <c r="E100" s="140">
        <f t="shared" si="5"/>
        <v>12</v>
      </c>
      <c r="G100" s="332"/>
      <c r="H100" s="333"/>
    </row>
    <row r="101" spans="1:8" s="293" customFormat="1" x14ac:dyDescent="0.25">
      <c r="A101" s="275">
        <v>43923</v>
      </c>
      <c r="B101" s="277">
        <v>66</v>
      </c>
      <c r="C101" s="277">
        <v>44</v>
      </c>
      <c r="D101" s="140">
        <f t="shared" si="4"/>
        <v>55</v>
      </c>
      <c r="E101" s="140">
        <f t="shared" si="5"/>
        <v>10</v>
      </c>
      <c r="G101" s="332"/>
      <c r="H101" s="333"/>
    </row>
    <row r="102" spans="1:8" s="293" customFormat="1" x14ac:dyDescent="0.25">
      <c r="A102" s="275">
        <v>43924</v>
      </c>
      <c r="B102" s="277">
        <v>70</v>
      </c>
      <c r="C102" s="277">
        <v>53</v>
      </c>
      <c r="D102" s="140">
        <f t="shared" si="4"/>
        <v>61.5</v>
      </c>
      <c r="E102" s="140">
        <f t="shared" si="5"/>
        <v>3.5</v>
      </c>
      <c r="G102" s="332"/>
      <c r="H102" s="333"/>
    </row>
    <row r="103" spans="1:8" s="293" customFormat="1" x14ac:dyDescent="0.25">
      <c r="A103" s="275">
        <v>43925</v>
      </c>
      <c r="B103" s="277">
        <v>56</v>
      </c>
      <c r="C103" s="277">
        <v>47</v>
      </c>
      <c r="D103" s="140">
        <f t="shared" si="4"/>
        <v>51.5</v>
      </c>
      <c r="E103" s="140">
        <f t="shared" si="5"/>
        <v>13.5</v>
      </c>
      <c r="G103" s="332"/>
      <c r="H103" s="333"/>
    </row>
    <row r="104" spans="1:8" s="293" customFormat="1" x14ac:dyDescent="0.25">
      <c r="A104" s="275">
        <v>43926</v>
      </c>
      <c r="B104" s="277">
        <v>63</v>
      </c>
      <c r="C104" s="277">
        <v>47</v>
      </c>
      <c r="D104" s="140">
        <f t="shared" si="4"/>
        <v>55</v>
      </c>
      <c r="E104" s="140">
        <f t="shared" si="5"/>
        <v>10</v>
      </c>
      <c r="G104" s="332"/>
      <c r="H104" s="333"/>
    </row>
    <row r="105" spans="1:8" s="293" customFormat="1" x14ac:dyDescent="0.25">
      <c r="A105" s="275">
        <v>43927</v>
      </c>
      <c r="B105" s="277">
        <v>76</v>
      </c>
      <c r="C105" s="277">
        <v>45</v>
      </c>
      <c r="D105" s="140">
        <f t="shared" si="4"/>
        <v>60.5</v>
      </c>
      <c r="E105" s="140">
        <f t="shared" si="5"/>
        <v>4.5</v>
      </c>
      <c r="G105" s="332"/>
      <c r="H105" s="333"/>
    </row>
    <row r="106" spans="1:8" s="293" customFormat="1" x14ac:dyDescent="0.25">
      <c r="A106" s="275">
        <v>43928</v>
      </c>
      <c r="B106" s="277">
        <v>78</v>
      </c>
      <c r="C106" s="277">
        <v>56</v>
      </c>
      <c r="D106" s="140">
        <f t="shared" si="4"/>
        <v>67</v>
      </c>
      <c r="E106" s="140">
        <f t="shared" si="5"/>
        <v>0</v>
      </c>
      <c r="G106" s="332"/>
      <c r="H106" s="333"/>
    </row>
    <row r="107" spans="1:8" s="293" customFormat="1" x14ac:dyDescent="0.25">
      <c r="A107" s="275">
        <v>43929</v>
      </c>
      <c r="B107" s="277">
        <v>85</v>
      </c>
      <c r="C107" s="277">
        <v>61</v>
      </c>
      <c r="D107" s="140">
        <f t="shared" si="4"/>
        <v>73</v>
      </c>
      <c r="E107" s="140">
        <f t="shared" si="5"/>
        <v>0</v>
      </c>
      <c r="G107" s="332"/>
      <c r="H107" s="333"/>
    </row>
    <row r="108" spans="1:8" s="293" customFormat="1" x14ac:dyDescent="0.25">
      <c r="A108" s="275">
        <v>43930</v>
      </c>
      <c r="B108" s="277">
        <v>66</v>
      </c>
      <c r="C108" s="277">
        <v>44</v>
      </c>
      <c r="D108" s="140">
        <f t="shared" si="4"/>
        <v>55</v>
      </c>
      <c r="E108" s="140">
        <f t="shared" si="5"/>
        <v>10</v>
      </c>
      <c r="G108" s="332"/>
      <c r="H108" s="333"/>
    </row>
    <row r="109" spans="1:8" s="293" customFormat="1" x14ac:dyDescent="0.25">
      <c r="A109" s="275">
        <v>43931</v>
      </c>
      <c r="B109" s="277">
        <v>58</v>
      </c>
      <c r="C109" s="277">
        <v>36</v>
      </c>
      <c r="D109" s="140">
        <f t="shared" si="4"/>
        <v>47</v>
      </c>
      <c r="E109" s="140">
        <f t="shared" si="5"/>
        <v>18</v>
      </c>
      <c r="G109" s="332"/>
      <c r="H109" s="333"/>
    </row>
    <row r="110" spans="1:8" s="293" customFormat="1" x14ac:dyDescent="0.25">
      <c r="A110" s="275">
        <v>43932</v>
      </c>
      <c r="B110" s="277">
        <v>65</v>
      </c>
      <c r="C110" s="277">
        <v>40</v>
      </c>
      <c r="D110" s="140">
        <f t="shared" si="4"/>
        <v>52.5</v>
      </c>
      <c r="E110" s="140">
        <f t="shared" si="5"/>
        <v>12.5</v>
      </c>
      <c r="G110" s="332"/>
      <c r="H110" s="333"/>
    </row>
    <row r="111" spans="1:8" s="293" customFormat="1" x14ac:dyDescent="0.25">
      <c r="A111" s="275">
        <v>43933</v>
      </c>
      <c r="B111" s="277">
        <v>61</v>
      </c>
      <c r="C111" s="277">
        <v>54</v>
      </c>
      <c r="D111" s="140">
        <f t="shared" si="4"/>
        <v>57.5</v>
      </c>
      <c r="E111" s="140">
        <f t="shared" si="5"/>
        <v>7.5</v>
      </c>
      <c r="G111" s="332"/>
      <c r="H111" s="333"/>
    </row>
    <row r="112" spans="1:8" s="293" customFormat="1" x14ac:dyDescent="0.25">
      <c r="A112" s="275">
        <v>43934</v>
      </c>
      <c r="B112" s="277">
        <v>59</v>
      </c>
      <c r="C112" s="277">
        <v>40</v>
      </c>
      <c r="D112" s="140">
        <f t="shared" si="4"/>
        <v>49.5</v>
      </c>
      <c r="E112" s="140">
        <f t="shared" si="5"/>
        <v>15.5</v>
      </c>
      <c r="G112" s="332"/>
      <c r="H112" s="333"/>
    </row>
    <row r="113" spans="1:8" s="293" customFormat="1" x14ac:dyDescent="0.25">
      <c r="A113" s="275">
        <v>43935</v>
      </c>
      <c r="B113" s="277">
        <v>52</v>
      </c>
      <c r="C113" s="277">
        <v>34</v>
      </c>
      <c r="D113" s="140">
        <f t="shared" si="4"/>
        <v>43</v>
      </c>
      <c r="E113" s="140">
        <f t="shared" si="5"/>
        <v>22</v>
      </c>
      <c r="G113" s="332"/>
      <c r="H113" s="333"/>
    </row>
    <row r="114" spans="1:8" s="293" customFormat="1" x14ac:dyDescent="0.25">
      <c r="A114" s="275">
        <v>43936</v>
      </c>
      <c r="B114" s="277">
        <v>62</v>
      </c>
      <c r="C114" s="277">
        <v>31</v>
      </c>
      <c r="D114" s="140">
        <f t="shared" si="4"/>
        <v>46.5</v>
      </c>
      <c r="E114" s="140">
        <f t="shared" si="5"/>
        <v>18.5</v>
      </c>
      <c r="G114" s="332"/>
      <c r="H114" s="333"/>
    </row>
    <row r="115" spans="1:8" s="293" customFormat="1" x14ac:dyDescent="0.25">
      <c r="A115" s="275">
        <v>43937</v>
      </c>
      <c r="B115" s="277">
        <v>63</v>
      </c>
      <c r="C115" s="277">
        <v>35</v>
      </c>
      <c r="D115" s="140">
        <f t="shared" si="4"/>
        <v>49</v>
      </c>
      <c r="E115" s="140">
        <f t="shared" si="5"/>
        <v>16</v>
      </c>
      <c r="G115" s="332"/>
      <c r="H115" s="333"/>
    </row>
    <row r="116" spans="1:8" s="293" customFormat="1" x14ac:dyDescent="0.25">
      <c r="A116" s="275">
        <v>43938</v>
      </c>
      <c r="B116" s="277">
        <v>61</v>
      </c>
      <c r="C116" s="277">
        <v>42</v>
      </c>
      <c r="D116" s="140">
        <f t="shared" si="4"/>
        <v>51.5</v>
      </c>
      <c r="E116" s="140">
        <f t="shared" si="5"/>
        <v>13.5</v>
      </c>
      <c r="G116" s="332"/>
      <c r="H116" s="333"/>
    </row>
    <row r="117" spans="1:8" s="293" customFormat="1" x14ac:dyDescent="0.25">
      <c r="A117" s="275">
        <v>43939</v>
      </c>
      <c r="B117" s="277">
        <v>58</v>
      </c>
      <c r="C117" s="277">
        <v>30</v>
      </c>
      <c r="D117" s="140">
        <f t="shared" si="4"/>
        <v>44</v>
      </c>
      <c r="E117" s="140">
        <f t="shared" si="5"/>
        <v>21</v>
      </c>
      <c r="G117" s="332"/>
      <c r="H117" s="333"/>
    </row>
    <row r="118" spans="1:8" s="293" customFormat="1" x14ac:dyDescent="0.25">
      <c r="A118" s="275">
        <v>43940</v>
      </c>
      <c r="B118" s="277">
        <v>62</v>
      </c>
      <c r="C118" s="277">
        <v>46</v>
      </c>
      <c r="D118" s="140">
        <f t="shared" si="4"/>
        <v>54</v>
      </c>
      <c r="E118" s="140">
        <f t="shared" si="5"/>
        <v>11</v>
      </c>
      <c r="G118" s="332"/>
      <c r="H118" s="333"/>
    </row>
    <row r="119" spans="1:8" s="293" customFormat="1" x14ac:dyDescent="0.25">
      <c r="A119" s="275">
        <v>43941</v>
      </c>
      <c r="B119" s="277">
        <v>72</v>
      </c>
      <c r="C119" s="277">
        <v>39</v>
      </c>
      <c r="D119" s="140">
        <f t="shared" si="4"/>
        <v>55.5</v>
      </c>
      <c r="E119" s="140">
        <f t="shared" si="5"/>
        <v>9.5</v>
      </c>
      <c r="G119" s="332"/>
      <c r="H119" s="333"/>
    </row>
    <row r="120" spans="1:8" s="293" customFormat="1" x14ac:dyDescent="0.25">
      <c r="A120" s="275">
        <v>43942</v>
      </c>
      <c r="B120" s="277">
        <v>72</v>
      </c>
      <c r="C120" s="277">
        <v>43</v>
      </c>
      <c r="D120" s="140">
        <f t="shared" si="4"/>
        <v>57.5</v>
      </c>
      <c r="E120" s="140">
        <f t="shared" si="5"/>
        <v>7.5</v>
      </c>
      <c r="G120" s="332"/>
      <c r="H120" s="333"/>
    </row>
    <row r="121" spans="1:8" s="293" customFormat="1" x14ac:dyDescent="0.25">
      <c r="A121" s="275">
        <v>43943</v>
      </c>
      <c r="B121" s="277">
        <v>67</v>
      </c>
      <c r="C121" s="277">
        <v>38</v>
      </c>
      <c r="D121" s="140">
        <f t="shared" si="4"/>
        <v>52.5</v>
      </c>
      <c r="E121" s="140">
        <f t="shared" si="5"/>
        <v>12.5</v>
      </c>
      <c r="G121" s="332"/>
      <c r="H121" s="333"/>
    </row>
    <row r="122" spans="1:8" s="293" customFormat="1" x14ac:dyDescent="0.25">
      <c r="A122" s="275">
        <v>43944</v>
      </c>
      <c r="B122" s="277">
        <v>64</v>
      </c>
      <c r="C122" s="277">
        <v>50</v>
      </c>
      <c r="D122" s="140">
        <f t="shared" si="4"/>
        <v>57</v>
      </c>
      <c r="E122" s="140">
        <f t="shared" si="5"/>
        <v>8</v>
      </c>
      <c r="G122" s="332"/>
      <c r="H122" s="333"/>
    </row>
    <row r="123" spans="1:8" s="293" customFormat="1" x14ac:dyDescent="0.25">
      <c r="A123" s="275">
        <v>43945</v>
      </c>
      <c r="B123" s="277">
        <v>71</v>
      </c>
      <c r="C123" s="277">
        <v>44</v>
      </c>
      <c r="D123" s="140">
        <f t="shared" si="4"/>
        <v>57.5</v>
      </c>
      <c r="E123" s="140">
        <f t="shared" si="5"/>
        <v>7.5</v>
      </c>
      <c r="G123" s="332"/>
      <c r="H123" s="333"/>
    </row>
    <row r="124" spans="1:8" s="293" customFormat="1" x14ac:dyDescent="0.25">
      <c r="A124" s="275">
        <v>43946</v>
      </c>
      <c r="B124" s="277">
        <v>63</v>
      </c>
      <c r="C124" s="277">
        <v>52</v>
      </c>
      <c r="D124" s="140">
        <f t="shared" si="4"/>
        <v>57.5</v>
      </c>
      <c r="E124" s="140">
        <f t="shared" si="5"/>
        <v>7.5</v>
      </c>
      <c r="G124" s="332"/>
      <c r="H124" s="333"/>
    </row>
    <row r="125" spans="1:8" s="293" customFormat="1" x14ac:dyDescent="0.25">
      <c r="A125" s="275">
        <v>43947</v>
      </c>
      <c r="B125" s="277">
        <v>68</v>
      </c>
      <c r="C125" s="277">
        <v>42</v>
      </c>
      <c r="D125" s="140">
        <f t="shared" si="4"/>
        <v>55</v>
      </c>
      <c r="E125" s="140">
        <f t="shared" si="5"/>
        <v>10</v>
      </c>
      <c r="G125" s="332"/>
      <c r="H125" s="333"/>
    </row>
    <row r="126" spans="1:8" s="293" customFormat="1" x14ac:dyDescent="0.25">
      <c r="A126" s="275">
        <v>43948</v>
      </c>
      <c r="B126" s="277">
        <v>64</v>
      </c>
      <c r="C126" s="277">
        <v>41</v>
      </c>
      <c r="D126" s="140">
        <f t="shared" si="4"/>
        <v>52.5</v>
      </c>
      <c r="E126" s="140">
        <f t="shared" si="5"/>
        <v>12.5</v>
      </c>
      <c r="G126" s="332"/>
      <c r="H126" s="333"/>
    </row>
    <row r="127" spans="1:8" s="293" customFormat="1" x14ac:dyDescent="0.25">
      <c r="A127" s="275">
        <v>43949</v>
      </c>
      <c r="B127" s="277">
        <v>75</v>
      </c>
      <c r="C127" s="277">
        <v>54</v>
      </c>
      <c r="D127" s="140">
        <f t="shared" si="4"/>
        <v>64.5</v>
      </c>
      <c r="E127" s="140">
        <f t="shared" si="5"/>
        <v>0.5</v>
      </c>
      <c r="G127" s="332"/>
      <c r="H127" s="333"/>
    </row>
    <row r="128" spans="1:8" s="293" customFormat="1" x14ac:dyDescent="0.25">
      <c r="A128" s="275">
        <v>43950</v>
      </c>
      <c r="B128" s="277">
        <v>68</v>
      </c>
      <c r="C128" s="277">
        <v>53</v>
      </c>
      <c r="D128" s="140">
        <f t="shared" si="4"/>
        <v>60.5</v>
      </c>
      <c r="E128" s="140">
        <f t="shared" si="5"/>
        <v>4.5</v>
      </c>
      <c r="G128" s="332"/>
      <c r="H128" s="333"/>
    </row>
    <row r="129" spans="1:8" s="293" customFormat="1" x14ac:dyDescent="0.25">
      <c r="A129" s="275">
        <v>43951</v>
      </c>
      <c r="B129" s="277">
        <v>72</v>
      </c>
      <c r="C129" s="277">
        <v>47</v>
      </c>
      <c r="D129" s="140">
        <f t="shared" si="4"/>
        <v>59.5</v>
      </c>
      <c r="E129" s="140">
        <f t="shared" si="5"/>
        <v>5.5</v>
      </c>
      <c r="G129" s="332"/>
      <c r="H129" s="333"/>
    </row>
    <row r="130" spans="1:8" s="293" customFormat="1" x14ac:dyDescent="0.25">
      <c r="A130" s="275">
        <v>43952</v>
      </c>
      <c r="B130" s="277">
        <v>76</v>
      </c>
      <c r="C130" s="277">
        <v>42</v>
      </c>
      <c r="D130" s="140">
        <f t="shared" si="4"/>
        <v>59</v>
      </c>
      <c r="E130" s="140">
        <f t="shared" si="5"/>
        <v>6</v>
      </c>
      <c r="G130" s="332"/>
      <c r="H130" s="333"/>
    </row>
    <row r="131" spans="1:8" s="293" customFormat="1" x14ac:dyDescent="0.25">
      <c r="A131" s="275">
        <v>43953</v>
      </c>
      <c r="B131" s="277">
        <v>83</v>
      </c>
      <c r="C131" s="277">
        <v>59</v>
      </c>
      <c r="D131" s="140">
        <f t="shared" si="4"/>
        <v>71</v>
      </c>
      <c r="E131" s="140">
        <f t="shared" si="5"/>
        <v>0</v>
      </c>
      <c r="G131" s="332"/>
      <c r="H131" s="333"/>
    </row>
    <row r="132" spans="1:8" s="293" customFormat="1" x14ac:dyDescent="0.25">
      <c r="A132" s="275">
        <v>43954</v>
      </c>
      <c r="B132" s="277">
        <v>79</v>
      </c>
      <c r="C132" s="277">
        <v>57</v>
      </c>
      <c r="D132" s="140">
        <f t="shared" si="4"/>
        <v>68</v>
      </c>
      <c r="E132" s="140">
        <f t="shared" si="5"/>
        <v>0</v>
      </c>
      <c r="G132" s="332"/>
      <c r="H132" s="333"/>
    </row>
    <row r="133" spans="1:8" s="293" customFormat="1" x14ac:dyDescent="0.25">
      <c r="A133" s="275">
        <v>43955</v>
      </c>
      <c r="B133" s="277">
        <v>75</v>
      </c>
      <c r="C133" s="277">
        <v>51</v>
      </c>
      <c r="D133" s="140">
        <f t="shared" si="4"/>
        <v>63</v>
      </c>
      <c r="E133" s="140">
        <f t="shared" si="5"/>
        <v>2</v>
      </c>
      <c r="G133" s="332"/>
      <c r="H133" s="333"/>
    </row>
    <row r="134" spans="1:8" s="293" customFormat="1" x14ac:dyDescent="0.25">
      <c r="A134" s="275">
        <v>43956</v>
      </c>
      <c r="B134" s="277">
        <v>73</v>
      </c>
      <c r="C134" s="277">
        <v>55</v>
      </c>
      <c r="D134" s="140">
        <f t="shared" si="4"/>
        <v>64</v>
      </c>
      <c r="E134" s="140">
        <f t="shared" si="5"/>
        <v>1</v>
      </c>
      <c r="G134" s="332"/>
      <c r="H134" s="333"/>
    </row>
    <row r="135" spans="1:8" s="293" customFormat="1" x14ac:dyDescent="0.25">
      <c r="A135" s="275">
        <v>43957</v>
      </c>
      <c r="B135" s="277">
        <v>63</v>
      </c>
      <c r="C135" s="277">
        <v>43</v>
      </c>
      <c r="D135" s="140">
        <f t="shared" si="4"/>
        <v>53</v>
      </c>
      <c r="E135" s="140">
        <f t="shared" si="5"/>
        <v>12</v>
      </c>
      <c r="G135" s="332"/>
      <c r="H135" s="333"/>
    </row>
    <row r="136" spans="1:8" s="293" customFormat="1" x14ac:dyDescent="0.25">
      <c r="A136" s="275">
        <v>43958</v>
      </c>
      <c r="B136" s="277">
        <v>69</v>
      </c>
      <c r="C136" s="277">
        <v>39</v>
      </c>
      <c r="D136" s="140">
        <f t="shared" si="4"/>
        <v>54</v>
      </c>
      <c r="E136" s="140">
        <f t="shared" si="5"/>
        <v>11</v>
      </c>
      <c r="G136" s="332"/>
      <c r="H136" s="333"/>
    </row>
    <row r="137" spans="1:8" s="293" customFormat="1" x14ac:dyDescent="0.25">
      <c r="A137" s="275">
        <v>43959</v>
      </c>
      <c r="B137" s="277">
        <v>64</v>
      </c>
      <c r="C137" s="277">
        <v>41</v>
      </c>
      <c r="D137" s="140">
        <f t="shared" si="4"/>
        <v>52.5</v>
      </c>
      <c r="E137" s="140">
        <f t="shared" si="5"/>
        <v>12.5</v>
      </c>
      <c r="G137" s="332"/>
      <c r="H137" s="333"/>
    </row>
    <row r="138" spans="1:8" s="293" customFormat="1" x14ac:dyDescent="0.25">
      <c r="A138" s="275">
        <v>43960</v>
      </c>
      <c r="B138" s="277">
        <v>66</v>
      </c>
      <c r="C138" s="277">
        <v>36</v>
      </c>
      <c r="D138" s="140">
        <f t="shared" ref="D138:D201" si="6">(B138+C138)/2</f>
        <v>51</v>
      </c>
      <c r="E138" s="140">
        <f t="shared" ref="E138:E201" si="7">IF(65-D138&gt;0,65-D138,0)</f>
        <v>14</v>
      </c>
      <c r="G138" s="332"/>
      <c r="H138" s="333"/>
    </row>
    <row r="139" spans="1:8" s="293" customFormat="1" x14ac:dyDescent="0.25">
      <c r="A139" s="275">
        <v>43961</v>
      </c>
      <c r="B139" s="277">
        <v>70</v>
      </c>
      <c r="C139" s="277">
        <v>44</v>
      </c>
      <c r="D139" s="140">
        <f t="shared" si="6"/>
        <v>57</v>
      </c>
      <c r="E139" s="140">
        <f t="shared" si="7"/>
        <v>8</v>
      </c>
      <c r="G139" s="332"/>
      <c r="H139" s="333"/>
    </row>
    <row r="140" spans="1:8" s="293" customFormat="1" x14ac:dyDescent="0.25">
      <c r="A140" s="275">
        <v>43962</v>
      </c>
      <c r="B140" s="277">
        <v>65</v>
      </c>
      <c r="C140" s="277">
        <v>38</v>
      </c>
      <c r="D140" s="140">
        <f t="shared" si="6"/>
        <v>51.5</v>
      </c>
      <c r="E140" s="140">
        <f t="shared" si="7"/>
        <v>13.5</v>
      </c>
      <c r="G140" s="332"/>
      <c r="H140" s="333"/>
    </row>
    <row r="141" spans="1:8" s="293" customFormat="1" x14ac:dyDescent="0.25">
      <c r="A141" s="275">
        <v>43963</v>
      </c>
      <c r="B141" s="277">
        <v>54</v>
      </c>
      <c r="C141" s="277">
        <v>48</v>
      </c>
      <c r="D141" s="140">
        <f t="shared" si="6"/>
        <v>51</v>
      </c>
      <c r="E141" s="140">
        <f t="shared" si="7"/>
        <v>14</v>
      </c>
      <c r="G141" s="332"/>
      <c r="H141" s="333"/>
    </row>
    <row r="142" spans="1:8" s="293" customFormat="1" x14ac:dyDescent="0.25">
      <c r="A142" s="275">
        <v>43964</v>
      </c>
      <c r="B142" s="277">
        <v>64</v>
      </c>
      <c r="C142" s="277">
        <v>51</v>
      </c>
      <c r="D142" s="140">
        <f t="shared" si="6"/>
        <v>57.5</v>
      </c>
      <c r="E142" s="140">
        <f t="shared" si="7"/>
        <v>7.5</v>
      </c>
      <c r="G142" s="332"/>
      <c r="H142" s="333"/>
    </row>
    <row r="143" spans="1:8" s="293" customFormat="1" x14ac:dyDescent="0.25">
      <c r="A143" s="275">
        <v>43965</v>
      </c>
      <c r="B143" s="277">
        <v>81</v>
      </c>
      <c r="C143" s="277">
        <v>62</v>
      </c>
      <c r="D143" s="140">
        <f t="shared" si="6"/>
        <v>71.5</v>
      </c>
      <c r="E143" s="140">
        <f t="shared" si="7"/>
        <v>0</v>
      </c>
      <c r="G143" s="332"/>
      <c r="H143" s="333"/>
    </row>
    <row r="144" spans="1:8" s="293" customFormat="1" x14ac:dyDescent="0.25">
      <c r="A144" s="275">
        <v>43966</v>
      </c>
      <c r="B144" s="277">
        <v>76</v>
      </c>
      <c r="C144" s="277">
        <v>63</v>
      </c>
      <c r="D144" s="140">
        <f t="shared" si="6"/>
        <v>69.5</v>
      </c>
      <c r="E144" s="140">
        <f t="shared" si="7"/>
        <v>0</v>
      </c>
      <c r="G144" s="332"/>
      <c r="H144" s="333"/>
    </row>
    <row r="145" spans="1:8" s="293" customFormat="1" x14ac:dyDescent="0.25">
      <c r="A145" s="275">
        <v>43967</v>
      </c>
      <c r="B145" s="277">
        <v>81</v>
      </c>
      <c r="C145" s="277">
        <v>62</v>
      </c>
      <c r="D145" s="140">
        <f t="shared" si="6"/>
        <v>71.5</v>
      </c>
      <c r="E145" s="140">
        <f t="shared" si="7"/>
        <v>0</v>
      </c>
      <c r="G145" s="332"/>
      <c r="H145" s="333"/>
    </row>
    <row r="146" spans="1:8" s="293" customFormat="1" x14ac:dyDescent="0.25">
      <c r="A146" s="275">
        <v>43968</v>
      </c>
      <c r="B146" s="277">
        <v>80</v>
      </c>
      <c r="C146" s="277">
        <v>65</v>
      </c>
      <c r="D146" s="140">
        <f t="shared" si="6"/>
        <v>72.5</v>
      </c>
      <c r="E146" s="140">
        <f t="shared" si="7"/>
        <v>0</v>
      </c>
      <c r="G146" s="332"/>
      <c r="H146" s="333"/>
    </row>
    <row r="147" spans="1:8" s="293" customFormat="1" x14ac:dyDescent="0.25">
      <c r="A147" s="275">
        <v>43969</v>
      </c>
      <c r="B147" s="277">
        <v>67</v>
      </c>
      <c r="C147" s="277">
        <v>54</v>
      </c>
      <c r="D147" s="140">
        <f t="shared" si="6"/>
        <v>60.5</v>
      </c>
      <c r="E147" s="140">
        <f t="shared" si="7"/>
        <v>4.5</v>
      </c>
      <c r="G147" s="332"/>
      <c r="H147" s="333"/>
    </row>
    <row r="148" spans="1:8" s="293" customFormat="1" x14ac:dyDescent="0.25">
      <c r="A148" s="275">
        <v>43970</v>
      </c>
      <c r="B148" s="277">
        <v>72</v>
      </c>
      <c r="C148" s="277">
        <v>58</v>
      </c>
      <c r="D148" s="140">
        <f t="shared" si="6"/>
        <v>65</v>
      </c>
      <c r="E148" s="140">
        <f t="shared" si="7"/>
        <v>0</v>
      </c>
      <c r="G148" s="332"/>
      <c r="H148" s="333"/>
    </row>
    <row r="149" spans="1:8" s="293" customFormat="1" x14ac:dyDescent="0.25">
      <c r="A149" s="275">
        <v>43971</v>
      </c>
      <c r="B149" s="277">
        <v>72</v>
      </c>
      <c r="C149" s="277">
        <v>60</v>
      </c>
      <c r="D149" s="140">
        <f t="shared" si="6"/>
        <v>66</v>
      </c>
      <c r="E149" s="140">
        <f t="shared" si="7"/>
        <v>0</v>
      </c>
      <c r="G149" s="332"/>
      <c r="H149" s="333"/>
    </row>
    <row r="150" spans="1:8" s="293" customFormat="1" x14ac:dyDescent="0.25">
      <c r="A150" s="275">
        <v>43972</v>
      </c>
      <c r="B150" s="277">
        <v>75</v>
      </c>
      <c r="C150" s="277">
        <v>60</v>
      </c>
      <c r="D150" s="140">
        <f t="shared" si="6"/>
        <v>67.5</v>
      </c>
      <c r="E150" s="140">
        <f t="shared" si="7"/>
        <v>0</v>
      </c>
      <c r="G150" s="332"/>
      <c r="H150" s="333"/>
    </row>
    <row r="151" spans="1:8" s="293" customFormat="1" x14ac:dyDescent="0.25">
      <c r="A151" s="275">
        <v>43973</v>
      </c>
      <c r="B151" s="277">
        <v>79</v>
      </c>
      <c r="C151" s="277">
        <v>58</v>
      </c>
      <c r="D151" s="140">
        <f t="shared" si="6"/>
        <v>68.5</v>
      </c>
      <c r="E151" s="140">
        <f t="shared" si="7"/>
        <v>0</v>
      </c>
      <c r="G151" s="332"/>
      <c r="H151" s="333"/>
    </row>
    <row r="152" spans="1:8" s="293" customFormat="1" x14ac:dyDescent="0.25">
      <c r="A152" s="275">
        <v>43974</v>
      </c>
      <c r="B152" s="277">
        <v>84</v>
      </c>
      <c r="C152" s="277">
        <v>64</v>
      </c>
      <c r="D152" s="140">
        <f t="shared" si="6"/>
        <v>74</v>
      </c>
      <c r="E152" s="140">
        <f t="shared" si="7"/>
        <v>0</v>
      </c>
      <c r="G152" s="332"/>
      <c r="H152" s="333"/>
    </row>
    <row r="153" spans="1:8" s="293" customFormat="1" x14ac:dyDescent="0.25">
      <c r="A153" s="275">
        <v>43975</v>
      </c>
      <c r="B153" s="277">
        <v>87</v>
      </c>
      <c r="C153" s="277">
        <v>67</v>
      </c>
      <c r="D153" s="140">
        <f t="shared" si="6"/>
        <v>77</v>
      </c>
      <c r="E153" s="140">
        <f t="shared" si="7"/>
        <v>0</v>
      </c>
      <c r="G153" s="332"/>
      <c r="H153" s="333"/>
    </row>
    <row r="154" spans="1:8" s="293" customFormat="1" x14ac:dyDescent="0.25">
      <c r="A154" s="275">
        <v>43976</v>
      </c>
      <c r="B154" s="277">
        <v>88</v>
      </c>
      <c r="C154" s="277">
        <v>64</v>
      </c>
      <c r="D154" s="140">
        <f t="shared" si="6"/>
        <v>76</v>
      </c>
      <c r="E154" s="140">
        <f t="shared" si="7"/>
        <v>0</v>
      </c>
      <c r="G154" s="332"/>
      <c r="H154" s="333"/>
    </row>
    <row r="155" spans="1:8" s="293" customFormat="1" x14ac:dyDescent="0.25">
      <c r="A155" s="275">
        <v>43977</v>
      </c>
      <c r="B155" s="277">
        <v>81</v>
      </c>
      <c r="C155" s="277">
        <v>68</v>
      </c>
      <c r="D155" s="140">
        <f t="shared" si="6"/>
        <v>74.5</v>
      </c>
      <c r="E155" s="140">
        <f t="shared" si="7"/>
        <v>0</v>
      </c>
      <c r="G155" s="332"/>
      <c r="H155" s="333"/>
    </row>
    <row r="156" spans="1:8" s="293" customFormat="1" x14ac:dyDescent="0.25">
      <c r="A156" s="275">
        <v>43978</v>
      </c>
      <c r="B156" s="277">
        <v>80</v>
      </c>
      <c r="C156" s="277">
        <v>68</v>
      </c>
      <c r="D156" s="140">
        <f t="shared" si="6"/>
        <v>74</v>
      </c>
      <c r="E156" s="140">
        <f t="shared" si="7"/>
        <v>0</v>
      </c>
      <c r="G156" s="332"/>
      <c r="H156" s="333"/>
    </row>
    <row r="157" spans="1:8" s="293" customFormat="1" x14ac:dyDescent="0.25">
      <c r="A157" s="275">
        <v>43979</v>
      </c>
      <c r="B157" s="277">
        <v>80</v>
      </c>
      <c r="C157" s="277">
        <v>64</v>
      </c>
      <c r="D157" s="140">
        <f t="shared" si="6"/>
        <v>72</v>
      </c>
      <c r="E157" s="140">
        <f t="shared" si="7"/>
        <v>0</v>
      </c>
      <c r="G157" s="332"/>
      <c r="H157" s="333"/>
    </row>
    <row r="158" spans="1:8" s="293" customFormat="1" x14ac:dyDescent="0.25">
      <c r="A158" s="275">
        <v>43980</v>
      </c>
      <c r="B158" s="277">
        <v>82</v>
      </c>
      <c r="C158" s="277">
        <v>63</v>
      </c>
      <c r="D158" s="140">
        <f t="shared" si="6"/>
        <v>72.5</v>
      </c>
      <c r="E158" s="140">
        <f t="shared" si="7"/>
        <v>0</v>
      </c>
      <c r="G158" s="332"/>
      <c r="H158" s="333"/>
    </row>
    <row r="159" spans="1:8" s="293" customFormat="1" x14ac:dyDescent="0.25">
      <c r="A159" s="275">
        <v>43981</v>
      </c>
      <c r="B159" s="277">
        <v>78</v>
      </c>
      <c r="C159" s="277">
        <v>55</v>
      </c>
      <c r="D159" s="140">
        <f t="shared" si="6"/>
        <v>66.5</v>
      </c>
      <c r="E159" s="140">
        <f t="shared" si="7"/>
        <v>0</v>
      </c>
      <c r="G159" s="332"/>
      <c r="H159" s="333"/>
    </row>
    <row r="160" spans="1:8" s="293" customFormat="1" x14ac:dyDescent="0.25">
      <c r="A160" s="275">
        <v>43982</v>
      </c>
      <c r="B160" s="277">
        <v>81</v>
      </c>
      <c r="C160" s="277">
        <v>55</v>
      </c>
      <c r="D160" s="140">
        <f t="shared" si="6"/>
        <v>68</v>
      </c>
      <c r="E160" s="140">
        <f t="shared" si="7"/>
        <v>0</v>
      </c>
      <c r="G160" s="332"/>
      <c r="H160" s="333"/>
    </row>
    <row r="161" spans="1:8" s="293" customFormat="1" x14ac:dyDescent="0.25">
      <c r="A161" s="275">
        <v>43983</v>
      </c>
      <c r="B161" s="277">
        <v>83</v>
      </c>
      <c r="C161" s="277">
        <v>58</v>
      </c>
      <c r="D161" s="140">
        <f t="shared" si="6"/>
        <v>70.5</v>
      </c>
      <c r="E161" s="140">
        <f t="shared" si="7"/>
        <v>0</v>
      </c>
      <c r="G161" s="332"/>
      <c r="H161" s="333"/>
    </row>
    <row r="162" spans="1:8" s="293" customFormat="1" x14ac:dyDescent="0.25">
      <c r="A162" s="275">
        <v>43984</v>
      </c>
      <c r="B162" s="277">
        <v>88</v>
      </c>
      <c r="C162" s="277">
        <v>59</v>
      </c>
      <c r="D162" s="140">
        <f t="shared" si="6"/>
        <v>73.5</v>
      </c>
      <c r="E162" s="140">
        <f t="shared" si="7"/>
        <v>0</v>
      </c>
      <c r="G162" s="332"/>
      <c r="H162" s="333"/>
    </row>
    <row r="163" spans="1:8" s="293" customFormat="1" x14ac:dyDescent="0.25">
      <c r="A163" s="275">
        <v>43985</v>
      </c>
      <c r="B163" s="277">
        <v>90</v>
      </c>
      <c r="C163" s="277">
        <v>62</v>
      </c>
      <c r="D163" s="140">
        <f t="shared" si="6"/>
        <v>76</v>
      </c>
      <c r="E163" s="140">
        <f t="shared" si="7"/>
        <v>0</v>
      </c>
      <c r="G163" s="332"/>
      <c r="H163" s="333"/>
    </row>
    <row r="164" spans="1:8" s="293" customFormat="1" x14ac:dyDescent="0.25">
      <c r="A164" s="275">
        <v>43986</v>
      </c>
      <c r="B164" s="277">
        <v>80</v>
      </c>
      <c r="C164" s="277">
        <v>68</v>
      </c>
      <c r="D164" s="140">
        <f t="shared" si="6"/>
        <v>74</v>
      </c>
      <c r="E164" s="140">
        <f t="shared" si="7"/>
        <v>0</v>
      </c>
      <c r="G164" s="332"/>
      <c r="H164" s="333"/>
    </row>
    <row r="165" spans="1:8" s="293" customFormat="1" x14ac:dyDescent="0.25">
      <c r="A165" s="275">
        <v>43987</v>
      </c>
      <c r="B165" s="277">
        <v>85</v>
      </c>
      <c r="C165" s="277">
        <v>65</v>
      </c>
      <c r="D165" s="140">
        <f t="shared" si="6"/>
        <v>75</v>
      </c>
      <c r="E165" s="140">
        <f t="shared" si="7"/>
        <v>0</v>
      </c>
      <c r="G165" s="332"/>
      <c r="H165" s="333"/>
    </row>
    <row r="166" spans="1:8" s="293" customFormat="1" x14ac:dyDescent="0.25">
      <c r="A166" s="275">
        <v>43988</v>
      </c>
      <c r="B166" s="277">
        <v>93</v>
      </c>
      <c r="C166" s="277">
        <v>65</v>
      </c>
      <c r="D166" s="140">
        <f t="shared" si="6"/>
        <v>79</v>
      </c>
      <c r="E166" s="140">
        <f t="shared" si="7"/>
        <v>0</v>
      </c>
      <c r="G166" s="332"/>
      <c r="H166" s="333"/>
    </row>
    <row r="167" spans="1:8" s="293" customFormat="1" x14ac:dyDescent="0.25">
      <c r="A167" s="275">
        <v>43989</v>
      </c>
      <c r="B167" s="277">
        <v>92</v>
      </c>
      <c r="C167" s="277">
        <v>70</v>
      </c>
      <c r="D167" s="140">
        <f t="shared" si="6"/>
        <v>81</v>
      </c>
      <c r="E167" s="140">
        <f t="shared" si="7"/>
        <v>0</v>
      </c>
      <c r="G167" s="332"/>
      <c r="H167" s="333"/>
    </row>
    <row r="168" spans="1:8" s="293" customFormat="1" x14ac:dyDescent="0.25">
      <c r="A168" s="275">
        <v>43990</v>
      </c>
      <c r="B168" s="277">
        <v>87</v>
      </c>
      <c r="C168" s="277">
        <v>70</v>
      </c>
      <c r="D168" s="140">
        <f t="shared" si="6"/>
        <v>78.5</v>
      </c>
      <c r="E168" s="140">
        <f t="shared" si="7"/>
        <v>0</v>
      </c>
      <c r="G168" s="332"/>
      <c r="H168" s="333"/>
    </row>
    <row r="169" spans="1:8" s="293" customFormat="1" x14ac:dyDescent="0.25">
      <c r="A169" s="275">
        <v>43991</v>
      </c>
      <c r="B169" s="277">
        <v>88</v>
      </c>
      <c r="C169" s="277">
        <v>74</v>
      </c>
      <c r="D169" s="140">
        <f t="shared" si="6"/>
        <v>81</v>
      </c>
      <c r="E169" s="140">
        <f t="shared" si="7"/>
        <v>0</v>
      </c>
      <c r="G169" s="332"/>
      <c r="H169" s="333"/>
    </row>
    <row r="170" spans="1:8" s="293" customFormat="1" x14ac:dyDescent="0.25">
      <c r="A170" s="275">
        <v>43992</v>
      </c>
      <c r="B170" s="277">
        <v>83</v>
      </c>
      <c r="C170" s="277">
        <v>60</v>
      </c>
      <c r="D170" s="140">
        <f t="shared" si="6"/>
        <v>71.5</v>
      </c>
      <c r="E170" s="140">
        <f t="shared" si="7"/>
        <v>0</v>
      </c>
      <c r="G170" s="332"/>
      <c r="H170" s="333"/>
    </row>
    <row r="171" spans="1:8" s="293" customFormat="1" x14ac:dyDescent="0.25">
      <c r="A171" s="275">
        <v>43993</v>
      </c>
      <c r="B171" s="277">
        <v>85</v>
      </c>
      <c r="C171" s="277">
        <v>56</v>
      </c>
      <c r="D171" s="140">
        <f t="shared" si="6"/>
        <v>70.5</v>
      </c>
      <c r="E171" s="140">
        <f t="shared" si="7"/>
        <v>0</v>
      </c>
      <c r="G171" s="332"/>
      <c r="H171" s="333"/>
    </row>
    <row r="172" spans="1:8" s="293" customFormat="1" x14ac:dyDescent="0.25">
      <c r="A172" s="275">
        <v>43994</v>
      </c>
      <c r="B172" s="277">
        <v>90</v>
      </c>
      <c r="C172" s="277">
        <v>59</v>
      </c>
      <c r="D172" s="140">
        <f t="shared" si="6"/>
        <v>74.5</v>
      </c>
      <c r="E172" s="140">
        <f t="shared" si="7"/>
        <v>0</v>
      </c>
      <c r="G172" s="332"/>
      <c r="H172" s="333"/>
    </row>
    <row r="173" spans="1:8" s="293" customFormat="1" x14ac:dyDescent="0.25">
      <c r="A173" s="275">
        <v>43995</v>
      </c>
      <c r="B173" s="277">
        <v>90</v>
      </c>
      <c r="C173" s="277">
        <v>67</v>
      </c>
      <c r="D173" s="140">
        <f t="shared" si="6"/>
        <v>78.5</v>
      </c>
      <c r="E173" s="140">
        <f t="shared" si="7"/>
        <v>0</v>
      </c>
      <c r="G173" s="332"/>
      <c r="H173" s="333"/>
    </row>
    <row r="174" spans="1:8" s="293" customFormat="1" x14ac:dyDescent="0.25">
      <c r="A174" s="275">
        <v>43996</v>
      </c>
      <c r="B174" s="277">
        <v>83</v>
      </c>
      <c r="C174" s="277">
        <v>65</v>
      </c>
      <c r="D174" s="140">
        <f t="shared" si="6"/>
        <v>74</v>
      </c>
      <c r="E174" s="140">
        <f t="shared" si="7"/>
        <v>0</v>
      </c>
      <c r="G174" s="332"/>
      <c r="H174" s="333"/>
    </row>
    <row r="175" spans="1:8" s="293" customFormat="1" x14ac:dyDescent="0.25">
      <c r="A175" s="275">
        <v>43997</v>
      </c>
      <c r="B175" s="277">
        <v>82</v>
      </c>
      <c r="C175" s="277">
        <v>59</v>
      </c>
      <c r="D175" s="140">
        <f t="shared" si="6"/>
        <v>70.5</v>
      </c>
      <c r="E175" s="140">
        <f t="shared" si="7"/>
        <v>0</v>
      </c>
      <c r="G175" s="332"/>
      <c r="H175" s="333"/>
    </row>
    <row r="176" spans="1:8" s="293" customFormat="1" x14ac:dyDescent="0.25">
      <c r="A176" s="275">
        <v>43998</v>
      </c>
      <c r="B176" s="277">
        <v>84</v>
      </c>
      <c r="C176" s="277">
        <v>56</v>
      </c>
      <c r="D176" s="140">
        <f t="shared" si="6"/>
        <v>70</v>
      </c>
      <c r="E176" s="140">
        <f t="shared" si="7"/>
        <v>0</v>
      </c>
      <c r="G176" s="332"/>
      <c r="H176" s="333"/>
    </row>
    <row r="177" spans="1:8" s="293" customFormat="1" x14ac:dyDescent="0.25">
      <c r="A177" s="275">
        <v>43999</v>
      </c>
      <c r="B177" s="277">
        <v>86</v>
      </c>
      <c r="C177" s="277">
        <v>60</v>
      </c>
      <c r="D177" s="140">
        <f t="shared" si="6"/>
        <v>73</v>
      </c>
      <c r="E177" s="140">
        <f t="shared" si="7"/>
        <v>0</v>
      </c>
      <c r="G177" s="332"/>
      <c r="H177" s="333"/>
    </row>
    <row r="178" spans="1:8" s="293" customFormat="1" x14ac:dyDescent="0.25">
      <c r="A178" s="275">
        <v>44000</v>
      </c>
      <c r="B178" s="277">
        <v>89</v>
      </c>
      <c r="C178" s="277">
        <v>60</v>
      </c>
      <c r="D178" s="140">
        <f t="shared" si="6"/>
        <v>74.5</v>
      </c>
      <c r="E178" s="140">
        <f t="shared" si="7"/>
        <v>0</v>
      </c>
      <c r="G178" s="332"/>
      <c r="H178" s="333"/>
    </row>
    <row r="179" spans="1:8" s="293" customFormat="1" x14ac:dyDescent="0.25">
      <c r="A179" s="275">
        <v>44001</v>
      </c>
      <c r="B179" s="277">
        <v>91</v>
      </c>
      <c r="C179" s="277">
        <v>64</v>
      </c>
      <c r="D179" s="140">
        <f t="shared" si="6"/>
        <v>77.5</v>
      </c>
      <c r="E179" s="140">
        <f t="shared" si="7"/>
        <v>0</v>
      </c>
      <c r="G179" s="332"/>
      <c r="H179" s="333"/>
    </row>
    <row r="180" spans="1:8" s="293" customFormat="1" x14ac:dyDescent="0.25">
      <c r="A180" s="275">
        <v>44002</v>
      </c>
      <c r="B180" s="277">
        <v>92</v>
      </c>
      <c r="C180" s="277">
        <v>64</v>
      </c>
      <c r="D180" s="140">
        <f t="shared" si="6"/>
        <v>78</v>
      </c>
      <c r="E180" s="140">
        <f t="shared" si="7"/>
        <v>0</v>
      </c>
      <c r="G180" s="332"/>
      <c r="H180" s="333"/>
    </row>
    <row r="181" spans="1:8" s="293" customFormat="1" x14ac:dyDescent="0.25">
      <c r="A181" s="275">
        <v>44003</v>
      </c>
      <c r="B181" s="277">
        <v>85</v>
      </c>
      <c r="C181" s="277">
        <v>68</v>
      </c>
      <c r="D181" s="140">
        <f t="shared" si="6"/>
        <v>76.5</v>
      </c>
      <c r="E181" s="140">
        <f t="shared" si="7"/>
        <v>0</v>
      </c>
      <c r="G181" s="332"/>
      <c r="H181" s="333"/>
    </row>
    <row r="182" spans="1:8" s="293" customFormat="1" x14ac:dyDescent="0.25">
      <c r="A182" s="275">
        <v>44004</v>
      </c>
      <c r="B182" s="277">
        <v>82</v>
      </c>
      <c r="C182" s="277">
        <v>69</v>
      </c>
      <c r="D182" s="140">
        <f t="shared" si="6"/>
        <v>75.5</v>
      </c>
      <c r="E182" s="140">
        <f t="shared" si="7"/>
        <v>0</v>
      </c>
      <c r="G182" s="332"/>
      <c r="H182" s="333"/>
    </row>
    <row r="183" spans="1:8" s="293" customFormat="1" x14ac:dyDescent="0.25">
      <c r="A183" s="275">
        <v>44005</v>
      </c>
      <c r="B183" s="277">
        <v>83</v>
      </c>
      <c r="C183" s="277">
        <v>66</v>
      </c>
      <c r="D183" s="140">
        <f t="shared" si="6"/>
        <v>74.5</v>
      </c>
      <c r="E183" s="140">
        <f t="shared" si="7"/>
        <v>0</v>
      </c>
      <c r="G183" s="332"/>
      <c r="H183" s="333"/>
    </row>
    <row r="184" spans="1:8" s="293" customFormat="1" x14ac:dyDescent="0.25">
      <c r="A184" s="275">
        <v>44006</v>
      </c>
      <c r="B184" s="277">
        <v>85</v>
      </c>
      <c r="C184" s="277">
        <v>63</v>
      </c>
      <c r="D184" s="140">
        <f t="shared" si="6"/>
        <v>74</v>
      </c>
      <c r="E184" s="140">
        <f t="shared" si="7"/>
        <v>0</v>
      </c>
      <c r="G184" s="332"/>
      <c r="H184" s="333"/>
    </row>
    <row r="185" spans="1:8" s="293" customFormat="1" x14ac:dyDescent="0.25">
      <c r="A185" s="275">
        <v>44007</v>
      </c>
      <c r="B185" s="277">
        <v>89</v>
      </c>
      <c r="C185" s="277">
        <v>60</v>
      </c>
      <c r="D185" s="140">
        <f t="shared" si="6"/>
        <v>74.5</v>
      </c>
      <c r="E185" s="140">
        <f t="shared" si="7"/>
        <v>0</v>
      </c>
      <c r="G185" s="332"/>
      <c r="H185" s="333"/>
    </row>
    <row r="186" spans="1:8" s="293" customFormat="1" x14ac:dyDescent="0.25">
      <c r="A186" s="275">
        <v>44008</v>
      </c>
      <c r="B186" s="277">
        <v>89</v>
      </c>
      <c r="C186" s="277">
        <v>68</v>
      </c>
      <c r="D186" s="140">
        <f t="shared" si="6"/>
        <v>78.5</v>
      </c>
      <c r="E186" s="140">
        <f t="shared" si="7"/>
        <v>0</v>
      </c>
      <c r="G186" s="332"/>
      <c r="H186" s="333"/>
    </row>
    <row r="187" spans="1:8" s="293" customFormat="1" x14ac:dyDescent="0.25">
      <c r="A187" s="275">
        <v>44009</v>
      </c>
      <c r="B187" s="277">
        <v>90</v>
      </c>
      <c r="C187" s="277">
        <v>73</v>
      </c>
      <c r="D187" s="140">
        <f t="shared" si="6"/>
        <v>81.5</v>
      </c>
      <c r="E187" s="140">
        <f t="shared" si="7"/>
        <v>0</v>
      </c>
      <c r="G187" s="332"/>
      <c r="H187" s="333"/>
    </row>
    <row r="188" spans="1:8" s="293" customFormat="1" x14ac:dyDescent="0.25">
      <c r="A188" s="275">
        <v>44010</v>
      </c>
      <c r="B188" s="277">
        <v>94</v>
      </c>
      <c r="C188" s="277">
        <v>78</v>
      </c>
      <c r="D188" s="140">
        <f t="shared" si="6"/>
        <v>86</v>
      </c>
      <c r="E188" s="140">
        <f t="shared" si="7"/>
        <v>0</v>
      </c>
      <c r="G188" s="332"/>
      <c r="H188" s="333"/>
    </row>
    <row r="189" spans="1:8" s="293" customFormat="1" x14ac:dyDescent="0.25">
      <c r="A189" s="275">
        <v>44011</v>
      </c>
      <c r="B189" s="277">
        <v>93</v>
      </c>
      <c r="C189" s="277">
        <v>75</v>
      </c>
      <c r="D189" s="140">
        <f t="shared" si="6"/>
        <v>84</v>
      </c>
      <c r="E189" s="140">
        <f t="shared" si="7"/>
        <v>0</v>
      </c>
      <c r="G189" s="332"/>
      <c r="H189" s="333"/>
    </row>
    <row r="190" spans="1:8" s="293" customFormat="1" x14ac:dyDescent="0.25">
      <c r="A190" s="275">
        <v>44012</v>
      </c>
      <c r="B190" s="277">
        <v>88</v>
      </c>
      <c r="C190" s="277">
        <v>70</v>
      </c>
      <c r="D190" s="140">
        <f t="shared" si="6"/>
        <v>79</v>
      </c>
      <c r="E190" s="140">
        <f t="shared" si="7"/>
        <v>0</v>
      </c>
      <c r="G190" s="332"/>
      <c r="H190" s="333"/>
    </row>
    <row r="191" spans="1:8" s="293" customFormat="1" x14ac:dyDescent="0.25">
      <c r="A191" s="275">
        <v>44013</v>
      </c>
      <c r="B191" s="277">
        <v>85</v>
      </c>
      <c r="C191" s="277">
        <v>70</v>
      </c>
      <c r="D191" s="140">
        <f t="shared" si="6"/>
        <v>77.5</v>
      </c>
      <c r="E191" s="140">
        <f t="shared" si="7"/>
        <v>0</v>
      </c>
      <c r="G191" s="332"/>
      <c r="H191" s="333"/>
    </row>
    <row r="192" spans="1:8" s="293" customFormat="1" x14ac:dyDescent="0.25">
      <c r="A192" s="275">
        <v>44014</v>
      </c>
      <c r="B192" s="277">
        <v>88</v>
      </c>
      <c r="C192" s="277">
        <v>70</v>
      </c>
      <c r="D192" s="140">
        <f t="shared" si="6"/>
        <v>79</v>
      </c>
      <c r="E192" s="140">
        <f t="shared" si="7"/>
        <v>0</v>
      </c>
      <c r="G192" s="332"/>
      <c r="H192" s="333"/>
    </row>
    <row r="193" spans="1:8" s="293" customFormat="1" x14ac:dyDescent="0.25">
      <c r="A193" s="275">
        <v>44015</v>
      </c>
      <c r="B193" s="277">
        <v>92</v>
      </c>
      <c r="C193" s="277">
        <v>71</v>
      </c>
      <c r="D193" s="140">
        <f t="shared" si="6"/>
        <v>81.5</v>
      </c>
      <c r="E193" s="140">
        <f t="shared" si="7"/>
        <v>0</v>
      </c>
      <c r="G193" s="332"/>
      <c r="H193" s="333"/>
    </row>
    <row r="194" spans="1:8" s="293" customFormat="1" x14ac:dyDescent="0.25">
      <c r="A194" s="275">
        <v>44016</v>
      </c>
      <c r="B194" s="277">
        <v>91</v>
      </c>
      <c r="C194" s="277">
        <v>68</v>
      </c>
      <c r="D194" s="140">
        <f t="shared" si="6"/>
        <v>79.5</v>
      </c>
      <c r="E194" s="140">
        <f t="shared" si="7"/>
        <v>0</v>
      </c>
      <c r="G194" s="332"/>
      <c r="H194" s="333"/>
    </row>
    <row r="195" spans="1:8" s="293" customFormat="1" x14ac:dyDescent="0.25">
      <c r="A195" s="275">
        <v>44017</v>
      </c>
      <c r="B195" s="277">
        <v>92</v>
      </c>
      <c r="C195" s="277">
        <v>69</v>
      </c>
      <c r="D195" s="140">
        <f t="shared" si="6"/>
        <v>80.5</v>
      </c>
      <c r="E195" s="140">
        <f t="shared" si="7"/>
        <v>0</v>
      </c>
      <c r="G195" s="332"/>
      <c r="H195" s="333"/>
    </row>
    <row r="196" spans="1:8" s="293" customFormat="1" x14ac:dyDescent="0.25">
      <c r="A196" s="275">
        <v>44018</v>
      </c>
      <c r="B196" s="277">
        <v>93</v>
      </c>
      <c r="C196" s="277">
        <v>71</v>
      </c>
      <c r="D196" s="140">
        <f t="shared" si="6"/>
        <v>82</v>
      </c>
      <c r="E196" s="140">
        <f t="shared" si="7"/>
        <v>0</v>
      </c>
      <c r="G196" s="332"/>
      <c r="H196" s="333"/>
    </row>
    <row r="197" spans="1:8" s="293" customFormat="1" x14ac:dyDescent="0.25">
      <c r="A197" s="275">
        <v>44019</v>
      </c>
      <c r="B197" s="277">
        <v>94</v>
      </c>
      <c r="C197" s="277">
        <v>72</v>
      </c>
      <c r="D197" s="140">
        <f t="shared" si="6"/>
        <v>83</v>
      </c>
      <c r="E197" s="140">
        <f t="shared" si="7"/>
        <v>0</v>
      </c>
      <c r="G197" s="332"/>
      <c r="H197" s="333"/>
    </row>
    <row r="198" spans="1:8" s="293" customFormat="1" x14ac:dyDescent="0.25">
      <c r="A198" s="275">
        <v>44020</v>
      </c>
      <c r="B198" s="277">
        <v>92</v>
      </c>
      <c r="C198" s="277">
        <v>71</v>
      </c>
      <c r="D198" s="140">
        <f t="shared" si="6"/>
        <v>81.5</v>
      </c>
      <c r="E198" s="140">
        <f t="shared" si="7"/>
        <v>0</v>
      </c>
      <c r="G198" s="332"/>
      <c r="H198" s="333"/>
    </row>
    <row r="199" spans="1:8" s="293" customFormat="1" x14ac:dyDescent="0.25">
      <c r="A199" s="275">
        <v>44021</v>
      </c>
      <c r="B199" s="277">
        <v>94</v>
      </c>
      <c r="C199" s="277">
        <v>72</v>
      </c>
      <c r="D199" s="140">
        <f t="shared" si="6"/>
        <v>83</v>
      </c>
      <c r="E199" s="140">
        <f t="shared" si="7"/>
        <v>0</v>
      </c>
      <c r="G199" s="332"/>
      <c r="H199" s="333"/>
    </row>
    <row r="200" spans="1:8" s="293" customFormat="1" x14ac:dyDescent="0.25">
      <c r="A200" s="275">
        <v>44022</v>
      </c>
      <c r="B200" s="277">
        <v>91</v>
      </c>
      <c r="C200" s="277">
        <v>70</v>
      </c>
      <c r="D200" s="140">
        <f t="shared" si="6"/>
        <v>80.5</v>
      </c>
      <c r="E200" s="140">
        <f t="shared" si="7"/>
        <v>0</v>
      </c>
      <c r="G200" s="332"/>
      <c r="H200" s="333"/>
    </row>
    <row r="201" spans="1:8" s="293" customFormat="1" x14ac:dyDescent="0.25">
      <c r="A201" s="275">
        <v>44023</v>
      </c>
      <c r="B201" s="277">
        <v>95</v>
      </c>
      <c r="C201" s="277">
        <v>66</v>
      </c>
      <c r="D201" s="140">
        <f t="shared" si="6"/>
        <v>80.5</v>
      </c>
      <c r="E201" s="140">
        <f t="shared" si="7"/>
        <v>0</v>
      </c>
      <c r="G201" s="332"/>
      <c r="H201" s="333"/>
    </row>
    <row r="202" spans="1:8" s="293" customFormat="1" x14ac:dyDescent="0.25">
      <c r="A202" s="275">
        <v>44024</v>
      </c>
      <c r="B202" s="277">
        <v>91</v>
      </c>
      <c r="C202" s="277">
        <v>69</v>
      </c>
      <c r="D202" s="140">
        <f t="shared" ref="D202:D222" si="8">(B202+C202)/2</f>
        <v>80</v>
      </c>
      <c r="E202" s="140">
        <f t="shared" ref="E202:E222" si="9">IF(65-D202&gt;0,65-D202,0)</f>
        <v>0</v>
      </c>
      <c r="G202" s="332"/>
      <c r="H202" s="333"/>
    </row>
    <row r="203" spans="1:8" s="293" customFormat="1" x14ac:dyDescent="0.25">
      <c r="A203" s="275">
        <v>44025</v>
      </c>
      <c r="B203" s="277">
        <v>90</v>
      </c>
      <c r="C203" s="277">
        <v>66</v>
      </c>
      <c r="D203" s="140">
        <f t="shared" si="8"/>
        <v>78</v>
      </c>
      <c r="E203" s="140">
        <f t="shared" si="9"/>
        <v>0</v>
      </c>
      <c r="G203" s="332"/>
      <c r="H203" s="333"/>
    </row>
    <row r="204" spans="1:8" s="293" customFormat="1" x14ac:dyDescent="0.25">
      <c r="A204" s="275">
        <v>44026</v>
      </c>
      <c r="B204" s="277">
        <v>91</v>
      </c>
      <c r="C204" s="277">
        <v>65</v>
      </c>
      <c r="D204" s="140">
        <f t="shared" si="8"/>
        <v>78</v>
      </c>
      <c r="E204" s="140">
        <f t="shared" si="9"/>
        <v>0</v>
      </c>
      <c r="G204" s="332"/>
      <c r="H204" s="333"/>
    </row>
    <row r="205" spans="1:8" s="293" customFormat="1" x14ac:dyDescent="0.25">
      <c r="A205" s="275">
        <v>44027</v>
      </c>
      <c r="B205" s="277">
        <v>94</v>
      </c>
      <c r="C205" s="277">
        <v>72</v>
      </c>
      <c r="D205" s="140">
        <f t="shared" si="8"/>
        <v>83</v>
      </c>
      <c r="E205" s="140">
        <f t="shared" si="9"/>
        <v>0</v>
      </c>
      <c r="G205" s="332"/>
      <c r="H205" s="333"/>
    </row>
    <row r="206" spans="1:8" s="293" customFormat="1" x14ac:dyDescent="0.25">
      <c r="A206" s="275">
        <v>44028</v>
      </c>
      <c r="B206" s="277">
        <v>87</v>
      </c>
      <c r="C206" s="277">
        <v>73</v>
      </c>
      <c r="D206" s="140">
        <f t="shared" si="8"/>
        <v>80</v>
      </c>
      <c r="E206" s="140">
        <f t="shared" si="9"/>
        <v>0</v>
      </c>
      <c r="G206" s="332"/>
      <c r="H206" s="333"/>
    </row>
    <row r="207" spans="1:8" s="293" customFormat="1" x14ac:dyDescent="0.25">
      <c r="A207" s="275">
        <v>44029</v>
      </c>
      <c r="B207" s="277">
        <v>93</v>
      </c>
      <c r="C207" s="277">
        <v>73</v>
      </c>
      <c r="D207" s="140">
        <f t="shared" si="8"/>
        <v>83</v>
      </c>
      <c r="E207" s="140">
        <f t="shared" si="9"/>
        <v>0</v>
      </c>
      <c r="G207" s="332"/>
      <c r="H207" s="333"/>
    </row>
    <row r="208" spans="1:8" s="293" customFormat="1" x14ac:dyDescent="0.25">
      <c r="A208" s="275">
        <v>44030</v>
      </c>
      <c r="B208" s="277">
        <v>92</v>
      </c>
      <c r="C208" s="277">
        <v>73</v>
      </c>
      <c r="D208" s="140">
        <f t="shared" si="8"/>
        <v>82.5</v>
      </c>
      <c r="E208" s="140">
        <f t="shared" si="9"/>
        <v>0</v>
      </c>
      <c r="G208" s="332"/>
      <c r="H208" s="333"/>
    </row>
    <row r="209" spans="1:8" s="293" customFormat="1" x14ac:dyDescent="0.25">
      <c r="A209" s="275">
        <v>44031</v>
      </c>
      <c r="B209" s="277">
        <v>93</v>
      </c>
      <c r="C209" s="277">
        <v>74</v>
      </c>
      <c r="D209" s="140">
        <f t="shared" si="8"/>
        <v>83.5</v>
      </c>
      <c r="E209" s="140">
        <f t="shared" si="9"/>
        <v>0</v>
      </c>
      <c r="G209" s="332"/>
      <c r="H209" s="333"/>
    </row>
    <row r="210" spans="1:8" s="293" customFormat="1" x14ac:dyDescent="0.25">
      <c r="A210" s="275">
        <v>44032</v>
      </c>
      <c r="B210" s="277">
        <v>93</v>
      </c>
      <c r="C210" s="277">
        <v>72</v>
      </c>
      <c r="D210" s="140">
        <f t="shared" si="8"/>
        <v>82.5</v>
      </c>
      <c r="E210" s="140">
        <f t="shared" si="9"/>
        <v>0</v>
      </c>
      <c r="G210" s="332"/>
      <c r="H210" s="333"/>
    </row>
    <row r="211" spans="1:8" s="293" customFormat="1" x14ac:dyDescent="0.25">
      <c r="A211" s="275">
        <v>44033</v>
      </c>
      <c r="B211" s="277">
        <v>92</v>
      </c>
      <c r="C211" s="277">
        <v>70</v>
      </c>
      <c r="D211" s="140">
        <f t="shared" si="8"/>
        <v>81</v>
      </c>
      <c r="E211" s="140">
        <f t="shared" si="9"/>
        <v>0</v>
      </c>
      <c r="G211" s="332"/>
      <c r="H211" s="333"/>
    </row>
    <row r="212" spans="1:8" s="293" customFormat="1" x14ac:dyDescent="0.25">
      <c r="A212" s="275">
        <v>44034</v>
      </c>
      <c r="B212" s="277">
        <v>90</v>
      </c>
      <c r="C212" s="277">
        <v>72</v>
      </c>
      <c r="D212" s="140">
        <f t="shared" si="8"/>
        <v>81</v>
      </c>
      <c r="E212" s="140">
        <f t="shared" si="9"/>
        <v>0</v>
      </c>
      <c r="G212" s="332"/>
      <c r="H212" s="333"/>
    </row>
    <row r="213" spans="1:8" s="293" customFormat="1" x14ac:dyDescent="0.25">
      <c r="A213" s="275">
        <v>44035</v>
      </c>
      <c r="B213" s="277">
        <v>94</v>
      </c>
      <c r="C213" s="277">
        <v>72</v>
      </c>
      <c r="D213" s="140">
        <f t="shared" si="8"/>
        <v>83</v>
      </c>
      <c r="E213" s="140">
        <f t="shared" si="9"/>
        <v>0</v>
      </c>
      <c r="G213" s="332"/>
      <c r="H213" s="333"/>
    </row>
    <row r="214" spans="1:8" s="293" customFormat="1" x14ac:dyDescent="0.25">
      <c r="A214" s="275">
        <v>44036</v>
      </c>
      <c r="B214" s="277">
        <v>93</v>
      </c>
      <c r="C214" s="277">
        <v>70</v>
      </c>
      <c r="D214" s="140">
        <f t="shared" si="8"/>
        <v>81.5</v>
      </c>
      <c r="E214" s="140">
        <f t="shared" si="9"/>
        <v>0</v>
      </c>
      <c r="G214" s="332"/>
      <c r="H214" s="333"/>
    </row>
    <row r="215" spans="1:8" s="293" customFormat="1" x14ac:dyDescent="0.25">
      <c r="A215" s="275">
        <v>44037</v>
      </c>
      <c r="B215" s="277">
        <v>93</v>
      </c>
      <c r="C215" s="277">
        <v>71</v>
      </c>
      <c r="D215" s="140">
        <f t="shared" si="8"/>
        <v>82</v>
      </c>
      <c r="E215" s="140">
        <f t="shared" si="9"/>
        <v>0</v>
      </c>
      <c r="G215" s="332"/>
      <c r="H215" s="333"/>
    </row>
    <row r="216" spans="1:8" s="293" customFormat="1" x14ac:dyDescent="0.25">
      <c r="A216" s="275">
        <v>44038</v>
      </c>
      <c r="B216" s="277">
        <v>92</v>
      </c>
      <c r="C216" s="277">
        <v>73</v>
      </c>
      <c r="D216" s="140">
        <f t="shared" si="8"/>
        <v>82.5</v>
      </c>
      <c r="E216" s="140">
        <f t="shared" si="9"/>
        <v>0</v>
      </c>
      <c r="G216" s="332"/>
      <c r="H216" s="333"/>
    </row>
    <row r="217" spans="1:8" s="293" customFormat="1" x14ac:dyDescent="0.25">
      <c r="A217" s="275">
        <v>44039</v>
      </c>
      <c r="B217" s="277">
        <v>93</v>
      </c>
      <c r="C217" s="277">
        <v>73</v>
      </c>
      <c r="D217" s="140">
        <f t="shared" si="8"/>
        <v>83</v>
      </c>
      <c r="E217" s="140">
        <f t="shared" si="9"/>
        <v>0</v>
      </c>
      <c r="G217" s="332"/>
      <c r="H217" s="333"/>
    </row>
    <row r="218" spans="1:8" s="293" customFormat="1" x14ac:dyDescent="0.25">
      <c r="A218" s="275">
        <v>44040</v>
      </c>
      <c r="B218" s="277">
        <v>89</v>
      </c>
      <c r="C218" s="277">
        <v>73</v>
      </c>
      <c r="D218" s="140">
        <f t="shared" si="8"/>
        <v>81</v>
      </c>
      <c r="E218" s="140">
        <f t="shared" si="9"/>
        <v>0</v>
      </c>
      <c r="G218" s="332"/>
      <c r="H218" s="333"/>
    </row>
    <row r="219" spans="1:8" s="293" customFormat="1" x14ac:dyDescent="0.25">
      <c r="A219" s="275">
        <v>44041</v>
      </c>
      <c r="B219" s="277">
        <v>89</v>
      </c>
      <c r="C219" s="277">
        <v>72</v>
      </c>
      <c r="D219" s="140">
        <f t="shared" si="8"/>
        <v>80.5</v>
      </c>
      <c r="E219" s="140">
        <f t="shared" si="9"/>
        <v>0</v>
      </c>
      <c r="G219" s="332"/>
      <c r="H219" s="333"/>
    </row>
    <row r="220" spans="1:8" x14ac:dyDescent="0.25">
      <c r="A220" s="275">
        <v>44042</v>
      </c>
      <c r="B220" s="277">
        <v>91</v>
      </c>
      <c r="C220" s="277">
        <v>73</v>
      </c>
      <c r="D220" s="140">
        <f t="shared" si="8"/>
        <v>82</v>
      </c>
      <c r="E220" s="140">
        <f t="shared" si="9"/>
        <v>0</v>
      </c>
      <c r="G220" s="332"/>
      <c r="H220" s="333"/>
    </row>
    <row r="221" spans="1:8" x14ac:dyDescent="0.25">
      <c r="A221" s="275">
        <v>44043</v>
      </c>
      <c r="B221" s="277">
        <v>85</v>
      </c>
      <c r="C221" s="277">
        <v>73</v>
      </c>
      <c r="D221" s="140">
        <f t="shared" si="8"/>
        <v>79</v>
      </c>
      <c r="E221" s="140">
        <f t="shared" si="9"/>
        <v>0</v>
      </c>
      <c r="G221" s="332"/>
      <c r="H221" s="333"/>
    </row>
    <row r="222" spans="1:8" x14ac:dyDescent="0.25">
      <c r="A222" s="275">
        <v>44044</v>
      </c>
      <c r="B222" s="277">
        <v>75</v>
      </c>
      <c r="C222" s="277">
        <v>62</v>
      </c>
      <c r="D222" s="140">
        <f t="shared" si="8"/>
        <v>68.5</v>
      </c>
      <c r="E222" s="140">
        <f t="shared" si="9"/>
        <v>0</v>
      </c>
      <c r="G222" s="332"/>
      <c r="H222" s="333"/>
    </row>
    <row r="223" spans="1:8" x14ac:dyDescent="0.25">
      <c r="A223" s="275">
        <v>44045</v>
      </c>
      <c r="B223" s="277">
        <v>84</v>
      </c>
      <c r="C223" s="277">
        <v>62</v>
      </c>
      <c r="D223" s="140">
        <f t="shared" ref="D223:D286" si="10">(B223+C223)/2</f>
        <v>73</v>
      </c>
      <c r="E223" s="140">
        <f t="shared" ref="E223:E286" si="11">IF(65-D223&gt;0,65-D223,0)</f>
        <v>0</v>
      </c>
      <c r="G223" s="332"/>
      <c r="H223" s="333"/>
    </row>
    <row r="224" spans="1:8" x14ac:dyDescent="0.25">
      <c r="A224" s="275">
        <v>44046</v>
      </c>
      <c r="B224" s="277">
        <v>85</v>
      </c>
      <c r="C224" s="277">
        <v>66</v>
      </c>
      <c r="D224" s="140">
        <f t="shared" si="10"/>
        <v>75.5</v>
      </c>
      <c r="E224" s="140">
        <f t="shared" si="11"/>
        <v>0</v>
      </c>
      <c r="G224" s="332"/>
      <c r="H224" s="333"/>
    </row>
    <row r="225" spans="1:8" x14ac:dyDescent="0.25">
      <c r="A225" s="275">
        <v>44047</v>
      </c>
      <c r="B225" s="277">
        <v>79</v>
      </c>
      <c r="C225" s="277">
        <v>59</v>
      </c>
      <c r="D225" s="140">
        <f t="shared" si="10"/>
        <v>69</v>
      </c>
      <c r="E225" s="140">
        <f t="shared" si="11"/>
        <v>0</v>
      </c>
      <c r="G225" s="332"/>
      <c r="H225" s="333"/>
    </row>
    <row r="226" spans="1:8" x14ac:dyDescent="0.25">
      <c r="A226" s="275">
        <v>44048</v>
      </c>
      <c r="B226" s="277">
        <v>80</v>
      </c>
      <c r="C226" s="277">
        <v>56</v>
      </c>
      <c r="D226" s="140">
        <f t="shared" si="10"/>
        <v>68</v>
      </c>
      <c r="E226" s="140">
        <f t="shared" si="11"/>
        <v>0</v>
      </c>
      <c r="G226" s="332"/>
      <c r="H226" s="333"/>
    </row>
    <row r="227" spans="1:8" x14ac:dyDescent="0.25">
      <c r="A227" s="275">
        <v>44049</v>
      </c>
      <c r="B227" s="277">
        <v>82</v>
      </c>
      <c r="C227" s="277">
        <v>55</v>
      </c>
      <c r="D227" s="140">
        <f t="shared" si="10"/>
        <v>68.5</v>
      </c>
      <c r="E227" s="140">
        <f t="shared" si="11"/>
        <v>0</v>
      </c>
      <c r="G227" s="332"/>
      <c r="H227" s="333"/>
    </row>
    <row r="228" spans="1:8" x14ac:dyDescent="0.25">
      <c r="A228" s="275">
        <v>44050</v>
      </c>
      <c r="B228" s="277">
        <v>86</v>
      </c>
      <c r="C228" s="277">
        <v>61</v>
      </c>
      <c r="D228" s="140">
        <f t="shared" si="10"/>
        <v>73.5</v>
      </c>
      <c r="E228" s="140">
        <f t="shared" si="11"/>
        <v>0</v>
      </c>
      <c r="G228" s="332"/>
      <c r="H228" s="333"/>
    </row>
    <row r="229" spans="1:8" x14ac:dyDescent="0.25">
      <c r="A229" s="275">
        <v>44051</v>
      </c>
      <c r="B229" s="277">
        <v>89</v>
      </c>
      <c r="C229" s="277">
        <v>64</v>
      </c>
      <c r="D229" s="140">
        <f t="shared" si="10"/>
        <v>76.5</v>
      </c>
      <c r="E229" s="140">
        <f t="shared" si="11"/>
        <v>0</v>
      </c>
      <c r="G229" s="332"/>
      <c r="H229" s="333"/>
    </row>
    <row r="230" spans="1:8" x14ac:dyDescent="0.25">
      <c r="A230" s="275">
        <v>44052</v>
      </c>
      <c r="B230" s="277">
        <v>89</v>
      </c>
      <c r="C230" s="277">
        <v>74</v>
      </c>
      <c r="D230" s="140">
        <f t="shared" si="10"/>
        <v>81.5</v>
      </c>
      <c r="E230" s="140">
        <f t="shared" si="11"/>
        <v>0</v>
      </c>
      <c r="G230" s="332"/>
      <c r="H230" s="333"/>
    </row>
    <row r="231" spans="1:8" x14ac:dyDescent="0.25">
      <c r="A231" s="275">
        <v>44053</v>
      </c>
      <c r="B231" s="277">
        <v>91</v>
      </c>
      <c r="C231" s="277">
        <v>71</v>
      </c>
      <c r="D231" s="140">
        <f t="shared" si="10"/>
        <v>81</v>
      </c>
      <c r="E231" s="140">
        <f t="shared" si="11"/>
        <v>0</v>
      </c>
      <c r="G231" s="332"/>
      <c r="H231" s="333"/>
    </row>
    <row r="232" spans="1:8" x14ac:dyDescent="0.25">
      <c r="A232" s="275">
        <v>44054</v>
      </c>
      <c r="B232" s="277">
        <v>83</v>
      </c>
      <c r="C232" s="277">
        <v>69</v>
      </c>
      <c r="D232" s="140">
        <f t="shared" si="10"/>
        <v>76</v>
      </c>
      <c r="E232" s="140">
        <f t="shared" si="11"/>
        <v>0</v>
      </c>
      <c r="G232" s="332"/>
      <c r="H232" s="333"/>
    </row>
    <row r="233" spans="1:8" x14ac:dyDescent="0.25">
      <c r="A233" s="275">
        <v>44055</v>
      </c>
      <c r="B233" s="277">
        <v>86</v>
      </c>
      <c r="C233" s="277">
        <v>73</v>
      </c>
      <c r="D233" s="140">
        <f t="shared" si="10"/>
        <v>79.5</v>
      </c>
      <c r="E233" s="140">
        <f t="shared" si="11"/>
        <v>0</v>
      </c>
      <c r="G233" s="332"/>
      <c r="H233" s="333"/>
    </row>
    <row r="234" spans="1:8" x14ac:dyDescent="0.25">
      <c r="A234" s="275">
        <v>44056</v>
      </c>
      <c r="B234" s="277">
        <v>87</v>
      </c>
      <c r="C234" s="277">
        <v>72</v>
      </c>
      <c r="D234" s="140">
        <f t="shared" si="10"/>
        <v>79.5</v>
      </c>
      <c r="E234" s="140">
        <f t="shared" si="11"/>
        <v>0</v>
      </c>
      <c r="G234" s="332"/>
      <c r="H234" s="333"/>
    </row>
    <row r="235" spans="1:8" x14ac:dyDescent="0.25">
      <c r="A235" s="275">
        <v>44057</v>
      </c>
      <c r="B235" s="277">
        <v>88</v>
      </c>
      <c r="C235" s="277">
        <v>68</v>
      </c>
      <c r="D235" s="140">
        <f t="shared" si="10"/>
        <v>78</v>
      </c>
      <c r="E235" s="140">
        <f t="shared" si="11"/>
        <v>0</v>
      </c>
      <c r="G235" s="332"/>
      <c r="H235" s="333"/>
    </row>
    <row r="236" spans="1:8" x14ac:dyDescent="0.25">
      <c r="A236" s="275">
        <v>44058</v>
      </c>
      <c r="B236" s="277">
        <v>91</v>
      </c>
      <c r="C236" s="277">
        <v>65</v>
      </c>
      <c r="D236" s="140">
        <f t="shared" si="10"/>
        <v>78</v>
      </c>
      <c r="E236" s="140">
        <f t="shared" si="11"/>
        <v>0</v>
      </c>
      <c r="G236" s="332"/>
      <c r="H236" s="333"/>
    </row>
    <row r="237" spans="1:8" x14ac:dyDescent="0.25">
      <c r="A237" s="275">
        <v>44059</v>
      </c>
      <c r="B237" s="277">
        <v>85</v>
      </c>
      <c r="C237" s="277">
        <v>63</v>
      </c>
      <c r="D237" s="140">
        <f t="shared" si="10"/>
        <v>74</v>
      </c>
      <c r="E237" s="140">
        <f t="shared" si="11"/>
        <v>0</v>
      </c>
      <c r="G237" s="332"/>
      <c r="H237" s="333"/>
    </row>
    <row r="238" spans="1:8" x14ac:dyDescent="0.25">
      <c r="A238" s="275">
        <v>44060</v>
      </c>
      <c r="B238" s="277">
        <v>86</v>
      </c>
      <c r="C238" s="277">
        <v>59</v>
      </c>
      <c r="D238" s="140">
        <f t="shared" si="10"/>
        <v>72.5</v>
      </c>
      <c r="E238" s="140">
        <f t="shared" si="11"/>
        <v>0</v>
      </c>
      <c r="G238" s="332"/>
      <c r="H238" s="333"/>
    </row>
    <row r="239" spans="1:8" x14ac:dyDescent="0.25">
      <c r="A239" s="275">
        <v>44061</v>
      </c>
      <c r="B239" s="277">
        <v>84</v>
      </c>
      <c r="C239" s="277">
        <v>64</v>
      </c>
      <c r="D239" s="140">
        <f t="shared" si="10"/>
        <v>74</v>
      </c>
      <c r="E239" s="140">
        <f t="shared" si="11"/>
        <v>0</v>
      </c>
      <c r="G239" s="332"/>
      <c r="H239" s="333"/>
    </row>
    <row r="240" spans="1:8" x14ac:dyDescent="0.25">
      <c r="A240" s="275">
        <v>44062</v>
      </c>
      <c r="B240" s="277">
        <v>82</v>
      </c>
      <c r="C240" s="277">
        <v>59</v>
      </c>
      <c r="D240" s="140">
        <f t="shared" si="10"/>
        <v>70.5</v>
      </c>
      <c r="E240" s="140">
        <f t="shared" si="11"/>
        <v>0</v>
      </c>
      <c r="G240" s="332"/>
      <c r="H240" s="333"/>
    </row>
    <row r="241" spans="1:8" x14ac:dyDescent="0.25">
      <c r="A241" s="275">
        <v>44063</v>
      </c>
      <c r="B241" s="277">
        <v>85</v>
      </c>
      <c r="C241" s="277">
        <v>58</v>
      </c>
      <c r="D241" s="140">
        <f t="shared" si="10"/>
        <v>71.5</v>
      </c>
      <c r="E241" s="140">
        <f t="shared" si="11"/>
        <v>0</v>
      </c>
      <c r="G241" s="332"/>
      <c r="H241" s="333"/>
    </row>
    <row r="242" spans="1:8" x14ac:dyDescent="0.25">
      <c r="A242" s="275">
        <v>44064</v>
      </c>
      <c r="B242" s="277">
        <v>86</v>
      </c>
      <c r="C242" s="277">
        <v>60</v>
      </c>
      <c r="D242" s="140">
        <f t="shared" si="10"/>
        <v>73</v>
      </c>
      <c r="E242" s="140">
        <f t="shared" si="11"/>
        <v>0</v>
      </c>
      <c r="G242" s="332"/>
      <c r="H242" s="333"/>
    </row>
    <row r="243" spans="1:8" x14ac:dyDescent="0.25">
      <c r="A243" s="275">
        <v>44065</v>
      </c>
      <c r="B243" s="277">
        <v>88</v>
      </c>
      <c r="C243" s="277">
        <v>62</v>
      </c>
      <c r="D243" s="140">
        <f t="shared" si="10"/>
        <v>75</v>
      </c>
      <c r="E243" s="140">
        <f t="shared" si="11"/>
        <v>0</v>
      </c>
      <c r="G243" s="332"/>
      <c r="H243" s="333"/>
    </row>
    <row r="244" spans="1:8" x14ac:dyDescent="0.25">
      <c r="A244" s="275">
        <v>44066</v>
      </c>
      <c r="B244" s="277">
        <v>90</v>
      </c>
      <c r="C244" s="277">
        <v>62</v>
      </c>
      <c r="D244" s="140">
        <f t="shared" si="10"/>
        <v>76</v>
      </c>
      <c r="E244" s="140">
        <f t="shared" si="11"/>
        <v>0</v>
      </c>
      <c r="G244" s="332"/>
      <c r="H244" s="333"/>
    </row>
    <row r="245" spans="1:8" x14ac:dyDescent="0.25">
      <c r="A245" s="275">
        <v>44067</v>
      </c>
      <c r="B245" s="277">
        <v>92</v>
      </c>
      <c r="C245" s="277">
        <v>66</v>
      </c>
      <c r="D245" s="140">
        <f t="shared" si="10"/>
        <v>79</v>
      </c>
      <c r="E245" s="140">
        <f t="shared" si="11"/>
        <v>0</v>
      </c>
      <c r="G245" s="332"/>
      <c r="H245" s="333"/>
    </row>
    <row r="246" spans="1:8" x14ac:dyDescent="0.25">
      <c r="A246" s="275">
        <v>44068</v>
      </c>
      <c r="B246" s="277">
        <v>92</v>
      </c>
      <c r="C246" s="277">
        <v>65</v>
      </c>
      <c r="D246" s="140">
        <f t="shared" si="10"/>
        <v>78.5</v>
      </c>
      <c r="E246" s="140">
        <f t="shared" si="11"/>
        <v>0</v>
      </c>
      <c r="G246" s="332"/>
      <c r="H246" s="333"/>
    </row>
    <row r="247" spans="1:8" x14ac:dyDescent="0.25">
      <c r="A247" s="275">
        <v>44069</v>
      </c>
      <c r="B247" s="277">
        <v>87</v>
      </c>
      <c r="C247" s="277">
        <v>69</v>
      </c>
      <c r="D247" s="140">
        <f t="shared" si="10"/>
        <v>78</v>
      </c>
      <c r="E247" s="140">
        <f t="shared" si="11"/>
        <v>0</v>
      </c>
      <c r="G247" s="332"/>
      <c r="H247" s="333"/>
    </row>
    <row r="248" spans="1:8" x14ac:dyDescent="0.25">
      <c r="A248" s="275">
        <v>44070</v>
      </c>
      <c r="B248" s="277">
        <v>86</v>
      </c>
      <c r="C248" s="277">
        <v>74</v>
      </c>
      <c r="D248" s="140">
        <f t="shared" si="10"/>
        <v>80</v>
      </c>
      <c r="E248" s="140">
        <f t="shared" si="11"/>
        <v>0</v>
      </c>
      <c r="G248" s="332"/>
      <c r="H248" s="333"/>
    </row>
    <row r="249" spans="1:8" x14ac:dyDescent="0.25">
      <c r="A249" s="275">
        <v>44071</v>
      </c>
      <c r="B249" s="277">
        <v>82</v>
      </c>
      <c r="C249" s="277">
        <v>72</v>
      </c>
      <c r="D249" s="140">
        <f t="shared" si="10"/>
        <v>77</v>
      </c>
      <c r="E249" s="140">
        <f t="shared" si="11"/>
        <v>0</v>
      </c>
      <c r="G249" s="332"/>
      <c r="H249" s="333"/>
    </row>
    <row r="250" spans="1:8" x14ac:dyDescent="0.25">
      <c r="A250" s="275">
        <v>44072</v>
      </c>
      <c r="B250" s="277">
        <v>89</v>
      </c>
      <c r="C250" s="277">
        <v>69</v>
      </c>
      <c r="D250" s="140">
        <f t="shared" si="10"/>
        <v>79</v>
      </c>
      <c r="E250" s="140">
        <f t="shared" si="11"/>
        <v>0</v>
      </c>
      <c r="G250" s="332"/>
      <c r="H250" s="333"/>
    </row>
    <row r="251" spans="1:8" x14ac:dyDescent="0.25">
      <c r="A251" s="275">
        <v>44073</v>
      </c>
      <c r="B251" s="277">
        <v>78</v>
      </c>
      <c r="C251" s="277">
        <v>68</v>
      </c>
      <c r="D251" s="140">
        <f t="shared" si="10"/>
        <v>73</v>
      </c>
      <c r="E251" s="140">
        <f t="shared" si="11"/>
        <v>0</v>
      </c>
      <c r="G251" s="332"/>
      <c r="H251" s="333"/>
    </row>
    <row r="252" spans="1:8" x14ac:dyDescent="0.25">
      <c r="A252" s="275">
        <v>44074</v>
      </c>
      <c r="B252" s="277">
        <v>86</v>
      </c>
      <c r="C252" s="277">
        <v>65</v>
      </c>
      <c r="D252" s="140">
        <f t="shared" si="10"/>
        <v>75.5</v>
      </c>
      <c r="E252" s="140">
        <f t="shared" si="11"/>
        <v>0</v>
      </c>
      <c r="G252" s="332"/>
      <c r="H252" s="333"/>
    </row>
    <row r="253" spans="1:8" x14ac:dyDescent="0.25">
      <c r="A253" s="275">
        <v>44075</v>
      </c>
      <c r="B253" s="277">
        <v>77</v>
      </c>
      <c r="C253" s="277">
        <v>65</v>
      </c>
      <c r="D253" s="140">
        <f t="shared" si="10"/>
        <v>71</v>
      </c>
      <c r="E253" s="140">
        <f t="shared" si="11"/>
        <v>0</v>
      </c>
      <c r="G253" s="332"/>
      <c r="H253" s="333"/>
    </row>
    <row r="254" spans="1:8" x14ac:dyDescent="0.25">
      <c r="A254" s="275">
        <v>44076</v>
      </c>
      <c r="B254" s="277">
        <v>83</v>
      </c>
      <c r="C254" s="277">
        <v>70</v>
      </c>
      <c r="D254" s="140">
        <f t="shared" si="10"/>
        <v>76.5</v>
      </c>
      <c r="E254" s="140">
        <f t="shared" si="11"/>
        <v>0</v>
      </c>
      <c r="G254" s="332"/>
      <c r="H254" s="333"/>
    </row>
    <row r="255" spans="1:8" x14ac:dyDescent="0.25">
      <c r="A255" s="275">
        <v>44077</v>
      </c>
      <c r="B255" s="277">
        <v>84</v>
      </c>
      <c r="C255" s="277">
        <v>72</v>
      </c>
      <c r="D255" s="140">
        <f t="shared" si="10"/>
        <v>78</v>
      </c>
      <c r="E255" s="140">
        <f t="shared" si="11"/>
        <v>0</v>
      </c>
      <c r="G255" s="332"/>
      <c r="H255" s="333"/>
    </row>
    <row r="256" spans="1:8" x14ac:dyDescent="0.25">
      <c r="A256" s="275">
        <v>44078</v>
      </c>
      <c r="B256" s="277">
        <v>81</v>
      </c>
      <c r="C256" s="277">
        <v>59</v>
      </c>
      <c r="D256" s="140">
        <f t="shared" si="10"/>
        <v>70</v>
      </c>
      <c r="E256" s="140">
        <f t="shared" si="11"/>
        <v>0</v>
      </c>
      <c r="G256" s="332"/>
      <c r="H256" s="333"/>
    </row>
    <row r="257" spans="1:8" x14ac:dyDescent="0.25">
      <c r="A257" s="275">
        <v>44079</v>
      </c>
      <c r="B257" s="277">
        <v>84</v>
      </c>
      <c r="C257" s="277">
        <v>55</v>
      </c>
      <c r="D257" s="140">
        <f t="shared" si="10"/>
        <v>69.5</v>
      </c>
      <c r="E257" s="140">
        <f t="shared" si="11"/>
        <v>0</v>
      </c>
      <c r="G257" s="332"/>
      <c r="H257" s="333"/>
    </row>
    <row r="258" spans="1:8" x14ac:dyDescent="0.25">
      <c r="A258" s="275">
        <v>44080</v>
      </c>
      <c r="B258" s="277">
        <v>86</v>
      </c>
      <c r="C258" s="277">
        <v>57</v>
      </c>
      <c r="D258" s="140">
        <f t="shared" si="10"/>
        <v>71.5</v>
      </c>
      <c r="E258" s="140">
        <f t="shared" si="11"/>
        <v>0</v>
      </c>
      <c r="G258" s="332"/>
      <c r="H258" s="333"/>
    </row>
    <row r="259" spans="1:8" x14ac:dyDescent="0.25">
      <c r="A259" s="275">
        <v>44081</v>
      </c>
      <c r="B259" s="277">
        <v>87</v>
      </c>
      <c r="C259" s="277">
        <v>67</v>
      </c>
      <c r="D259" s="140">
        <f t="shared" si="10"/>
        <v>77</v>
      </c>
      <c r="E259" s="140">
        <f t="shared" si="11"/>
        <v>0</v>
      </c>
      <c r="G259" s="332"/>
      <c r="H259" s="333"/>
    </row>
    <row r="260" spans="1:8" x14ac:dyDescent="0.25">
      <c r="A260" s="275">
        <v>44082</v>
      </c>
      <c r="B260" s="277">
        <v>87</v>
      </c>
      <c r="C260" s="277">
        <v>67</v>
      </c>
      <c r="D260" s="140">
        <f t="shared" si="10"/>
        <v>77</v>
      </c>
      <c r="E260" s="140">
        <f t="shared" si="11"/>
        <v>0</v>
      </c>
      <c r="G260" s="332"/>
      <c r="H260" s="333"/>
    </row>
    <row r="261" spans="1:8" x14ac:dyDescent="0.25">
      <c r="A261" s="275">
        <v>44083</v>
      </c>
      <c r="B261" s="277">
        <v>89</v>
      </c>
      <c r="C261" s="277">
        <v>63</v>
      </c>
      <c r="D261" s="140">
        <f t="shared" si="10"/>
        <v>76</v>
      </c>
      <c r="E261" s="140">
        <f t="shared" si="11"/>
        <v>0</v>
      </c>
      <c r="G261" s="332"/>
      <c r="H261" s="333"/>
    </row>
    <row r="262" spans="1:8" x14ac:dyDescent="0.25">
      <c r="A262" s="275">
        <v>44084</v>
      </c>
      <c r="B262" s="277">
        <v>89</v>
      </c>
      <c r="C262" s="277">
        <v>63</v>
      </c>
      <c r="D262" s="140">
        <f t="shared" si="10"/>
        <v>76</v>
      </c>
      <c r="E262" s="140">
        <f t="shared" si="11"/>
        <v>0</v>
      </c>
      <c r="G262" s="332"/>
      <c r="H262" s="333"/>
    </row>
    <row r="263" spans="1:8" x14ac:dyDescent="0.25">
      <c r="A263" s="275">
        <v>44085</v>
      </c>
      <c r="B263" s="277">
        <v>88</v>
      </c>
      <c r="C263" s="277">
        <v>65</v>
      </c>
      <c r="D263" s="140">
        <f t="shared" si="10"/>
        <v>76.5</v>
      </c>
      <c r="E263" s="140">
        <f t="shared" si="11"/>
        <v>0</v>
      </c>
      <c r="G263" s="332"/>
      <c r="H263" s="333"/>
    </row>
    <row r="264" spans="1:8" x14ac:dyDescent="0.25">
      <c r="A264" s="275">
        <v>44086</v>
      </c>
      <c r="B264" s="277">
        <v>87</v>
      </c>
      <c r="C264" s="277">
        <v>66</v>
      </c>
      <c r="D264" s="140">
        <f t="shared" si="10"/>
        <v>76.5</v>
      </c>
      <c r="E264" s="140">
        <f t="shared" si="11"/>
        <v>0</v>
      </c>
      <c r="G264" s="332"/>
      <c r="H264" s="333"/>
    </row>
    <row r="265" spans="1:8" x14ac:dyDescent="0.25">
      <c r="A265" s="275">
        <v>44087</v>
      </c>
      <c r="B265" s="277">
        <v>83</v>
      </c>
      <c r="C265" s="277">
        <v>64</v>
      </c>
      <c r="D265" s="140">
        <f t="shared" si="10"/>
        <v>73.5</v>
      </c>
      <c r="E265" s="140">
        <f t="shared" si="11"/>
        <v>0</v>
      </c>
      <c r="G265" s="332"/>
      <c r="H265" s="333"/>
    </row>
    <row r="266" spans="1:8" x14ac:dyDescent="0.25">
      <c r="A266" s="275">
        <v>44088</v>
      </c>
      <c r="B266" s="277">
        <v>83</v>
      </c>
      <c r="C266" s="277">
        <v>58</v>
      </c>
      <c r="D266" s="140">
        <f t="shared" si="10"/>
        <v>70.5</v>
      </c>
      <c r="E266" s="140">
        <f t="shared" si="11"/>
        <v>0</v>
      </c>
      <c r="G266" s="332"/>
      <c r="H266" s="333"/>
    </row>
    <row r="267" spans="1:8" x14ac:dyDescent="0.25">
      <c r="A267" s="275">
        <v>44089</v>
      </c>
      <c r="B267" s="277">
        <v>82</v>
      </c>
      <c r="C267" s="277">
        <v>56</v>
      </c>
      <c r="D267" s="140">
        <f t="shared" si="10"/>
        <v>69</v>
      </c>
      <c r="E267" s="140">
        <f t="shared" si="11"/>
        <v>0</v>
      </c>
      <c r="G267" s="332"/>
      <c r="H267" s="333"/>
    </row>
    <row r="268" spans="1:8" x14ac:dyDescent="0.25">
      <c r="A268" s="275">
        <v>44090</v>
      </c>
      <c r="B268" s="277">
        <v>85</v>
      </c>
      <c r="C268" s="277">
        <v>60</v>
      </c>
      <c r="D268" s="140">
        <f t="shared" si="10"/>
        <v>72.5</v>
      </c>
      <c r="E268" s="140">
        <f t="shared" si="11"/>
        <v>0</v>
      </c>
      <c r="G268" s="332"/>
      <c r="H268" s="333"/>
    </row>
    <row r="269" spans="1:8" x14ac:dyDescent="0.25">
      <c r="A269" s="275">
        <v>44091</v>
      </c>
      <c r="B269" s="277">
        <v>84</v>
      </c>
      <c r="C269" s="277">
        <v>53</v>
      </c>
      <c r="D269" s="140">
        <f t="shared" si="10"/>
        <v>68.5</v>
      </c>
      <c r="E269" s="140">
        <f t="shared" si="11"/>
        <v>0</v>
      </c>
      <c r="G269" s="332"/>
      <c r="H269" s="333"/>
    </row>
    <row r="270" spans="1:8" x14ac:dyDescent="0.25">
      <c r="A270" s="275">
        <v>44092</v>
      </c>
      <c r="B270" s="277">
        <v>75</v>
      </c>
      <c r="C270" s="277">
        <v>54</v>
      </c>
      <c r="D270" s="140">
        <f t="shared" si="10"/>
        <v>64.5</v>
      </c>
      <c r="E270" s="140">
        <f t="shared" si="11"/>
        <v>0.5</v>
      </c>
      <c r="G270" s="332"/>
      <c r="H270" s="333"/>
    </row>
    <row r="271" spans="1:8" x14ac:dyDescent="0.25">
      <c r="A271" s="275">
        <v>44093</v>
      </c>
      <c r="B271" s="277">
        <v>73</v>
      </c>
      <c r="C271" s="277">
        <v>46</v>
      </c>
      <c r="D271" s="140">
        <f t="shared" si="10"/>
        <v>59.5</v>
      </c>
      <c r="E271" s="140">
        <f t="shared" si="11"/>
        <v>5.5</v>
      </c>
      <c r="G271" s="332"/>
      <c r="H271" s="333"/>
    </row>
    <row r="272" spans="1:8" x14ac:dyDescent="0.25">
      <c r="A272" s="275">
        <v>44094</v>
      </c>
      <c r="B272" s="277">
        <v>78</v>
      </c>
      <c r="C272" s="277">
        <v>43</v>
      </c>
      <c r="D272" s="140">
        <f t="shared" si="10"/>
        <v>60.5</v>
      </c>
      <c r="E272" s="140">
        <f t="shared" si="11"/>
        <v>4.5</v>
      </c>
      <c r="G272" s="332"/>
      <c r="H272" s="333"/>
    </row>
    <row r="273" spans="1:8" x14ac:dyDescent="0.25">
      <c r="A273" s="275">
        <v>44095</v>
      </c>
      <c r="B273" s="277">
        <v>78</v>
      </c>
      <c r="C273" s="277">
        <v>49</v>
      </c>
      <c r="D273" s="140">
        <f t="shared" si="10"/>
        <v>63.5</v>
      </c>
      <c r="E273" s="140">
        <f t="shared" si="11"/>
        <v>1.5</v>
      </c>
      <c r="G273" s="332"/>
      <c r="H273" s="333"/>
    </row>
    <row r="274" spans="1:8" x14ac:dyDescent="0.25">
      <c r="A274" s="275">
        <v>44096</v>
      </c>
      <c r="B274" s="277">
        <v>71</v>
      </c>
      <c r="C274" s="277">
        <v>51</v>
      </c>
      <c r="D274" s="140">
        <f t="shared" si="10"/>
        <v>61</v>
      </c>
      <c r="E274" s="140">
        <f t="shared" si="11"/>
        <v>4</v>
      </c>
      <c r="G274" s="332"/>
      <c r="H274" s="333"/>
    </row>
    <row r="275" spans="1:8" x14ac:dyDescent="0.25">
      <c r="A275" s="275">
        <v>44097</v>
      </c>
      <c r="B275" s="277">
        <v>69</v>
      </c>
      <c r="C275" s="277">
        <v>55</v>
      </c>
      <c r="D275" s="140">
        <f t="shared" si="10"/>
        <v>62</v>
      </c>
      <c r="E275" s="140">
        <f t="shared" si="11"/>
        <v>3</v>
      </c>
      <c r="G275" s="332"/>
      <c r="H275" s="333"/>
    </row>
    <row r="276" spans="1:8" x14ac:dyDescent="0.25">
      <c r="A276" s="275">
        <v>44098</v>
      </c>
      <c r="B276" s="277">
        <v>71</v>
      </c>
      <c r="C276" s="277">
        <v>54</v>
      </c>
      <c r="D276" s="140">
        <f t="shared" si="10"/>
        <v>62.5</v>
      </c>
      <c r="E276" s="140">
        <f t="shared" si="11"/>
        <v>2.5</v>
      </c>
      <c r="G276" s="332"/>
      <c r="H276" s="333"/>
    </row>
    <row r="277" spans="1:8" x14ac:dyDescent="0.25">
      <c r="A277" s="275">
        <v>44099</v>
      </c>
      <c r="B277" s="277">
        <v>71</v>
      </c>
      <c r="C277" s="277">
        <v>55</v>
      </c>
      <c r="D277" s="140">
        <f t="shared" si="10"/>
        <v>63</v>
      </c>
      <c r="E277" s="140">
        <f t="shared" si="11"/>
        <v>2</v>
      </c>
      <c r="G277" s="332"/>
      <c r="H277" s="333"/>
    </row>
    <row r="278" spans="1:8" x14ac:dyDescent="0.25">
      <c r="A278" s="275">
        <v>44100</v>
      </c>
      <c r="B278" s="277">
        <v>78</v>
      </c>
      <c r="C278" s="277">
        <v>63</v>
      </c>
      <c r="D278" s="140">
        <f t="shared" si="10"/>
        <v>70.5</v>
      </c>
      <c r="E278" s="140">
        <f t="shared" si="11"/>
        <v>0</v>
      </c>
      <c r="G278" s="332"/>
      <c r="H278" s="333"/>
    </row>
    <row r="279" spans="1:8" x14ac:dyDescent="0.25">
      <c r="A279" s="275">
        <v>44101</v>
      </c>
      <c r="B279" s="277">
        <v>81</v>
      </c>
      <c r="C279" s="277">
        <v>61</v>
      </c>
      <c r="D279" s="140">
        <f t="shared" si="10"/>
        <v>71</v>
      </c>
      <c r="E279" s="140">
        <f t="shared" si="11"/>
        <v>0</v>
      </c>
      <c r="G279" s="332"/>
      <c r="H279" s="333"/>
    </row>
    <row r="280" spans="1:8" x14ac:dyDescent="0.25">
      <c r="A280" s="275">
        <v>44102</v>
      </c>
      <c r="B280" s="277">
        <v>71</v>
      </c>
      <c r="C280" s="277">
        <v>48</v>
      </c>
      <c r="D280" s="140">
        <f t="shared" si="10"/>
        <v>59.5</v>
      </c>
      <c r="E280" s="140">
        <f t="shared" si="11"/>
        <v>5.5</v>
      </c>
      <c r="G280" s="332"/>
      <c r="H280" s="333"/>
    </row>
    <row r="281" spans="1:8" x14ac:dyDescent="0.25">
      <c r="A281" s="275">
        <v>44103</v>
      </c>
      <c r="B281" s="277">
        <v>68</v>
      </c>
      <c r="C281" s="277">
        <v>42</v>
      </c>
      <c r="D281" s="140">
        <f t="shared" si="10"/>
        <v>55</v>
      </c>
      <c r="E281" s="140">
        <f t="shared" si="11"/>
        <v>10</v>
      </c>
      <c r="G281" s="332"/>
      <c r="H281" s="333"/>
    </row>
    <row r="282" spans="1:8" x14ac:dyDescent="0.25">
      <c r="A282" s="275">
        <v>44104</v>
      </c>
      <c r="B282" s="277">
        <v>82</v>
      </c>
      <c r="C282" s="277">
        <v>44</v>
      </c>
      <c r="D282" s="140">
        <f t="shared" si="10"/>
        <v>63</v>
      </c>
      <c r="E282" s="140">
        <f t="shared" si="11"/>
        <v>2</v>
      </c>
      <c r="G282" s="332"/>
      <c r="H282" s="333"/>
    </row>
    <row r="283" spans="1:8" x14ac:dyDescent="0.25">
      <c r="A283" s="275">
        <v>44105</v>
      </c>
      <c r="B283" s="277">
        <v>73</v>
      </c>
      <c r="C283" s="277">
        <v>41</v>
      </c>
      <c r="D283" s="140">
        <f t="shared" si="10"/>
        <v>57</v>
      </c>
      <c r="E283" s="140">
        <f t="shared" si="11"/>
        <v>8</v>
      </c>
      <c r="G283" s="332"/>
      <c r="H283" s="333"/>
    </row>
    <row r="284" spans="1:8" x14ac:dyDescent="0.25">
      <c r="A284" s="275">
        <v>44106</v>
      </c>
      <c r="B284" s="277">
        <v>65</v>
      </c>
      <c r="C284" s="277">
        <v>36</v>
      </c>
      <c r="D284" s="140">
        <f t="shared" si="10"/>
        <v>50.5</v>
      </c>
      <c r="E284" s="140">
        <f t="shared" si="11"/>
        <v>14.5</v>
      </c>
      <c r="G284" s="332"/>
      <c r="H284" s="333"/>
    </row>
    <row r="285" spans="1:8" x14ac:dyDescent="0.25">
      <c r="A285" s="275">
        <v>44107</v>
      </c>
      <c r="B285" s="277">
        <v>67</v>
      </c>
      <c r="C285" s="277">
        <v>38</v>
      </c>
      <c r="D285" s="140">
        <f t="shared" si="10"/>
        <v>52.5</v>
      </c>
      <c r="E285" s="140">
        <f t="shared" si="11"/>
        <v>12.5</v>
      </c>
      <c r="G285" s="332"/>
      <c r="H285" s="333"/>
    </row>
    <row r="286" spans="1:8" x14ac:dyDescent="0.25">
      <c r="A286" s="275">
        <v>44108</v>
      </c>
      <c r="B286" s="277">
        <v>65</v>
      </c>
      <c r="C286" s="277">
        <v>35</v>
      </c>
      <c r="D286" s="140">
        <f t="shared" si="10"/>
        <v>50</v>
      </c>
      <c r="E286" s="140">
        <f t="shared" si="11"/>
        <v>15</v>
      </c>
      <c r="G286" s="332"/>
      <c r="H286" s="333"/>
    </row>
    <row r="287" spans="1:8" x14ac:dyDescent="0.25">
      <c r="A287" s="275">
        <v>44109</v>
      </c>
      <c r="B287" s="277">
        <v>68</v>
      </c>
      <c r="C287" s="277">
        <v>31</v>
      </c>
      <c r="D287" s="140">
        <f t="shared" ref="D287:D350" si="12">(B287+C287)/2</f>
        <v>49.5</v>
      </c>
      <c r="E287" s="140">
        <f t="shared" ref="E287:E350" si="13">IF(65-D287&gt;0,65-D287,0)</f>
        <v>15.5</v>
      </c>
      <c r="G287" s="332"/>
      <c r="H287" s="333"/>
    </row>
    <row r="288" spans="1:8" x14ac:dyDescent="0.25">
      <c r="A288" s="275">
        <v>44110</v>
      </c>
      <c r="B288" s="277">
        <v>78</v>
      </c>
      <c r="C288" s="277">
        <v>36</v>
      </c>
      <c r="D288" s="140">
        <f t="shared" si="12"/>
        <v>57</v>
      </c>
      <c r="E288" s="140">
        <f t="shared" si="13"/>
        <v>8</v>
      </c>
      <c r="G288" s="332"/>
      <c r="H288" s="333"/>
    </row>
    <row r="289" spans="1:8" x14ac:dyDescent="0.25">
      <c r="A289" s="275">
        <v>44111</v>
      </c>
      <c r="B289" s="277">
        <v>86</v>
      </c>
      <c r="C289" s="277">
        <v>45</v>
      </c>
      <c r="D289" s="140">
        <f t="shared" si="12"/>
        <v>65.5</v>
      </c>
      <c r="E289" s="140">
        <f t="shared" si="13"/>
        <v>0</v>
      </c>
      <c r="G289" s="332"/>
      <c r="H289" s="333"/>
    </row>
    <row r="290" spans="1:8" x14ac:dyDescent="0.25">
      <c r="A290" s="275">
        <v>44112</v>
      </c>
      <c r="B290" s="277">
        <v>80</v>
      </c>
      <c r="C290" s="277">
        <v>50</v>
      </c>
      <c r="D290" s="140">
        <f t="shared" si="12"/>
        <v>65</v>
      </c>
      <c r="E290" s="140">
        <f t="shared" si="13"/>
        <v>0</v>
      </c>
      <c r="G290" s="332"/>
      <c r="H290" s="333"/>
    </row>
    <row r="291" spans="1:8" x14ac:dyDescent="0.25">
      <c r="A291" s="275">
        <v>44113</v>
      </c>
      <c r="B291" s="277">
        <v>81</v>
      </c>
      <c r="C291" s="277">
        <v>50</v>
      </c>
      <c r="D291" s="140">
        <f t="shared" si="12"/>
        <v>65.5</v>
      </c>
      <c r="E291" s="140">
        <f t="shared" si="13"/>
        <v>0</v>
      </c>
      <c r="G291" s="332"/>
      <c r="H291" s="333"/>
    </row>
    <row r="292" spans="1:8" x14ac:dyDescent="0.25">
      <c r="A292" s="275">
        <v>44114</v>
      </c>
      <c r="B292" s="277">
        <v>78</v>
      </c>
      <c r="C292" s="277">
        <v>61</v>
      </c>
      <c r="D292" s="140">
        <f t="shared" si="12"/>
        <v>69.5</v>
      </c>
      <c r="E292" s="140">
        <f t="shared" si="13"/>
        <v>0</v>
      </c>
      <c r="G292" s="332"/>
      <c r="H292" s="333"/>
    </row>
    <row r="293" spans="1:8" x14ac:dyDescent="0.25">
      <c r="A293" s="275">
        <v>44115</v>
      </c>
      <c r="B293" s="277">
        <v>84</v>
      </c>
      <c r="C293" s="277">
        <v>58</v>
      </c>
      <c r="D293" s="140">
        <f t="shared" si="12"/>
        <v>71</v>
      </c>
      <c r="E293" s="140">
        <f t="shared" si="13"/>
        <v>0</v>
      </c>
      <c r="G293" s="332"/>
      <c r="H293" s="333"/>
    </row>
    <row r="294" spans="1:8" x14ac:dyDescent="0.25">
      <c r="A294" s="275">
        <v>44116</v>
      </c>
      <c r="B294" s="277">
        <v>80</v>
      </c>
      <c r="C294" s="277">
        <v>42</v>
      </c>
      <c r="D294" s="140">
        <f t="shared" si="12"/>
        <v>61</v>
      </c>
      <c r="E294" s="140">
        <f t="shared" si="13"/>
        <v>4</v>
      </c>
      <c r="G294" s="332"/>
      <c r="H294" s="333"/>
    </row>
    <row r="295" spans="1:8" x14ac:dyDescent="0.25">
      <c r="A295" s="275">
        <v>44117</v>
      </c>
      <c r="B295" s="277">
        <v>76</v>
      </c>
      <c r="C295" s="277">
        <v>36</v>
      </c>
      <c r="D295" s="140">
        <f t="shared" si="12"/>
        <v>56</v>
      </c>
      <c r="E295" s="140">
        <f t="shared" si="13"/>
        <v>9</v>
      </c>
      <c r="G295" s="332"/>
      <c r="H295" s="333"/>
    </row>
    <row r="296" spans="1:8" x14ac:dyDescent="0.25">
      <c r="A296" s="275">
        <v>44118</v>
      </c>
      <c r="B296" s="277">
        <v>82</v>
      </c>
      <c r="C296" s="277">
        <v>39</v>
      </c>
      <c r="D296" s="140">
        <f t="shared" si="12"/>
        <v>60.5</v>
      </c>
      <c r="E296" s="140">
        <f t="shared" si="13"/>
        <v>4.5</v>
      </c>
      <c r="G296" s="332"/>
      <c r="H296" s="333"/>
    </row>
    <row r="297" spans="1:8" x14ac:dyDescent="0.25">
      <c r="A297" s="275">
        <v>44119</v>
      </c>
      <c r="B297" s="277">
        <v>64</v>
      </c>
      <c r="C297" s="277">
        <v>49</v>
      </c>
      <c r="D297" s="140">
        <f t="shared" si="12"/>
        <v>56.5</v>
      </c>
      <c r="E297" s="140">
        <f t="shared" si="13"/>
        <v>8.5</v>
      </c>
      <c r="G297" s="332"/>
      <c r="H297" s="333"/>
    </row>
    <row r="298" spans="1:8" x14ac:dyDescent="0.25">
      <c r="A298" s="275">
        <v>44120</v>
      </c>
      <c r="B298" s="277">
        <v>65</v>
      </c>
      <c r="C298" s="277">
        <v>31</v>
      </c>
      <c r="D298" s="140">
        <f t="shared" si="12"/>
        <v>48</v>
      </c>
      <c r="E298" s="140">
        <f t="shared" si="13"/>
        <v>17</v>
      </c>
      <c r="G298" s="332"/>
      <c r="H298" s="333"/>
    </row>
    <row r="299" spans="1:8" x14ac:dyDescent="0.25">
      <c r="A299" s="275">
        <v>44121</v>
      </c>
      <c r="B299" s="277">
        <v>70</v>
      </c>
      <c r="C299" s="277">
        <v>34</v>
      </c>
      <c r="D299" s="140">
        <f t="shared" si="12"/>
        <v>52</v>
      </c>
      <c r="E299" s="140">
        <f t="shared" si="13"/>
        <v>13</v>
      </c>
      <c r="G299" s="332"/>
      <c r="H299" s="333"/>
    </row>
    <row r="300" spans="1:8" x14ac:dyDescent="0.25">
      <c r="A300" s="275">
        <v>44122</v>
      </c>
      <c r="B300" s="277">
        <v>69</v>
      </c>
      <c r="C300" s="277">
        <v>53</v>
      </c>
      <c r="D300" s="140">
        <f t="shared" si="12"/>
        <v>61</v>
      </c>
      <c r="E300" s="140">
        <f t="shared" si="13"/>
        <v>4</v>
      </c>
      <c r="G300" s="332"/>
      <c r="H300" s="333"/>
    </row>
    <row r="301" spans="1:8" x14ac:dyDescent="0.25">
      <c r="A301" s="275">
        <v>44123</v>
      </c>
      <c r="B301" s="277">
        <v>53</v>
      </c>
      <c r="C301" s="277">
        <v>48</v>
      </c>
      <c r="D301" s="140">
        <f t="shared" si="12"/>
        <v>50.5</v>
      </c>
      <c r="E301" s="140">
        <f t="shared" si="13"/>
        <v>14.5</v>
      </c>
      <c r="G301" s="332"/>
      <c r="H301" s="333"/>
    </row>
    <row r="302" spans="1:8" x14ac:dyDescent="0.25">
      <c r="A302" s="275">
        <v>44124</v>
      </c>
      <c r="B302" s="277">
        <v>62</v>
      </c>
      <c r="C302" s="277">
        <v>52</v>
      </c>
      <c r="D302" s="140">
        <f t="shared" si="12"/>
        <v>57</v>
      </c>
      <c r="E302" s="140">
        <f t="shared" si="13"/>
        <v>8</v>
      </c>
      <c r="G302" s="332"/>
      <c r="H302" s="333"/>
    </row>
    <row r="303" spans="1:8" x14ac:dyDescent="0.25">
      <c r="A303" s="275">
        <v>44125</v>
      </c>
      <c r="B303" s="277">
        <v>82</v>
      </c>
      <c r="C303" s="277">
        <v>54</v>
      </c>
      <c r="D303" s="140">
        <f t="shared" si="12"/>
        <v>68</v>
      </c>
      <c r="E303" s="140">
        <f t="shared" si="13"/>
        <v>0</v>
      </c>
      <c r="G303" s="332"/>
      <c r="H303" s="333"/>
    </row>
    <row r="304" spans="1:8" x14ac:dyDescent="0.25">
      <c r="A304" s="275">
        <v>44126</v>
      </c>
      <c r="B304" s="277">
        <v>84</v>
      </c>
      <c r="C304" s="277">
        <v>58</v>
      </c>
      <c r="D304" s="140">
        <f t="shared" si="12"/>
        <v>71</v>
      </c>
      <c r="E304" s="140">
        <f t="shared" si="13"/>
        <v>0</v>
      </c>
      <c r="G304" s="332"/>
      <c r="H304" s="333"/>
    </row>
    <row r="305" spans="1:8" x14ac:dyDescent="0.25">
      <c r="A305" s="275">
        <v>44127</v>
      </c>
      <c r="B305" s="277">
        <v>82</v>
      </c>
      <c r="C305" s="277">
        <v>46</v>
      </c>
      <c r="D305" s="140">
        <f t="shared" si="12"/>
        <v>64</v>
      </c>
      <c r="E305" s="140">
        <f t="shared" si="13"/>
        <v>1</v>
      </c>
      <c r="G305" s="332"/>
      <c r="H305" s="333"/>
    </row>
    <row r="306" spans="1:8" x14ac:dyDescent="0.25">
      <c r="A306" s="275">
        <v>44128</v>
      </c>
      <c r="B306" s="277">
        <v>50</v>
      </c>
      <c r="C306" s="277">
        <v>45</v>
      </c>
      <c r="D306" s="140">
        <f t="shared" si="12"/>
        <v>47.5</v>
      </c>
      <c r="E306" s="140">
        <f t="shared" si="13"/>
        <v>17.5</v>
      </c>
      <c r="G306" s="332"/>
      <c r="H306" s="333"/>
    </row>
    <row r="307" spans="1:8" x14ac:dyDescent="0.25">
      <c r="A307" s="275">
        <v>44129</v>
      </c>
      <c r="B307" s="277">
        <v>56</v>
      </c>
      <c r="C307" s="277">
        <v>49</v>
      </c>
      <c r="D307" s="140">
        <f t="shared" si="12"/>
        <v>52.5</v>
      </c>
      <c r="E307" s="140">
        <f t="shared" si="13"/>
        <v>12.5</v>
      </c>
      <c r="G307" s="332"/>
      <c r="H307" s="333"/>
    </row>
    <row r="308" spans="1:8" x14ac:dyDescent="0.25">
      <c r="A308" s="275">
        <v>44130</v>
      </c>
      <c r="B308" s="277">
        <v>53</v>
      </c>
      <c r="C308" s="277">
        <v>43</v>
      </c>
      <c r="D308" s="140">
        <f t="shared" si="12"/>
        <v>48</v>
      </c>
      <c r="E308" s="140">
        <f t="shared" si="13"/>
        <v>17</v>
      </c>
      <c r="G308" s="332"/>
      <c r="H308" s="333"/>
    </row>
    <row r="309" spans="1:8" x14ac:dyDescent="0.25">
      <c r="A309" s="275">
        <v>44131</v>
      </c>
      <c r="B309" s="277">
        <v>46</v>
      </c>
      <c r="C309" s="277">
        <v>42</v>
      </c>
      <c r="D309" s="140">
        <f t="shared" si="12"/>
        <v>44</v>
      </c>
      <c r="E309" s="140">
        <f t="shared" si="13"/>
        <v>21</v>
      </c>
      <c r="G309" s="332"/>
      <c r="H309" s="333"/>
    </row>
    <row r="310" spans="1:8" x14ac:dyDescent="0.25">
      <c r="A310" s="275">
        <v>44132</v>
      </c>
      <c r="B310" s="277">
        <v>54</v>
      </c>
      <c r="C310" s="277">
        <v>45</v>
      </c>
      <c r="D310" s="140">
        <f t="shared" si="12"/>
        <v>49.5</v>
      </c>
      <c r="E310" s="140">
        <f t="shared" si="13"/>
        <v>15.5</v>
      </c>
      <c r="G310" s="332"/>
      <c r="H310" s="333"/>
    </row>
    <row r="311" spans="1:8" x14ac:dyDescent="0.25">
      <c r="A311" s="275">
        <v>44133</v>
      </c>
      <c r="B311" s="277">
        <v>54</v>
      </c>
      <c r="C311" s="277">
        <v>42</v>
      </c>
      <c r="D311" s="140">
        <f t="shared" si="12"/>
        <v>48</v>
      </c>
      <c r="E311" s="140">
        <f t="shared" si="13"/>
        <v>17</v>
      </c>
      <c r="G311" s="332"/>
      <c r="H311" s="333"/>
    </row>
    <row r="312" spans="1:8" x14ac:dyDescent="0.25">
      <c r="A312" s="275">
        <v>44134</v>
      </c>
      <c r="B312" s="277">
        <v>56</v>
      </c>
      <c r="C312" s="277">
        <v>35</v>
      </c>
      <c r="D312" s="140">
        <f t="shared" si="12"/>
        <v>45.5</v>
      </c>
      <c r="E312" s="140">
        <f t="shared" si="13"/>
        <v>19.5</v>
      </c>
      <c r="G312" s="332"/>
      <c r="H312" s="333"/>
    </row>
    <row r="313" spans="1:8" x14ac:dyDescent="0.25">
      <c r="A313" s="275">
        <v>44135</v>
      </c>
      <c r="B313" s="277">
        <v>64</v>
      </c>
      <c r="C313" s="277">
        <v>35</v>
      </c>
      <c r="D313" s="140">
        <f t="shared" si="12"/>
        <v>49.5</v>
      </c>
      <c r="E313" s="140">
        <f t="shared" si="13"/>
        <v>15.5</v>
      </c>
      <c r="G313" s="332"/>
      <c r="H313" s="333"/>
    </row>
    <row r="314" spans="1:8" x14ac:dyDescent="0.25">
      <c r="A314" s="275">
        <v>44136</v>
      </c>
      <c r="B314" s="277">
        <v>58</v>
      </c>
      <c r="C314" s="277">
        <v>28</v>
      </c>
      <c r="D314" s="140">
        <f t="shared" si="12"/>
        <v>43</v>
      </c>
      <c r="E314" s="140">
        <f t="shared" si="13"/>
        <v>22</v>
      </c>
      <c r="G314" s="332"/>
      <c r="H314" s="333"/>
    </row>
    <row r="315" spans="1:8" x14ac:dyDescent="0.25">
      <c r="A315" s="275">
        <v>44137</v>
      </c>
      <c r="B315" s="277">
        <v>55</v>
      </c>
      <c r="C315" s="277">
        <v>24</v>
      </c>
      <c r="D315" s="140">
        <f t="shared" si="12"/>
        <v>39.5</v>
      </c>
      <c r="E315" s="140">
        <f t="shared" si="13"/>
        <v>25.5</v>
      </c>
      <c r="G315" s="332"/>
      <c r="H315" s="333"/>
    </row>
    <row r="316" spans="1:8" x14ac:dyDescent="0.25">
      <c r="A316" s="275">
        <v>44138</v>
      </c>
      <c r="B316" s="277">
        <v>69</v>
      </c>
      <c r="C316" s="277">
        <v>33</v>
      </c>
      <c r="D316" s="140">
        <f t="shared" si="12"/>
        <v>51</v>
      </c>
      <c r="E316" s="140">
        <f t="shared" si="13"/>
        <v>14</v>
      </c>
      <c r="G316" s="332"/>
      <c r="H316" s="333"/>
    </row>
    <row r="317" spans="1:8" x14ac:dyDescent="0.25">
      <c r="A317" s="275">
        <v>44139</v>
      </c>
      <c r="B317" s="277">
        <v>74</v>
      </c>
      <c r="C317" s="277">
        <v>40</v>
      </c>
      <c r="D317" s="140">
        <f t="shared" si="12"/>
        <v>57</v>
      </c>
      <c r="E317" s="140">
        <f t="shared" si="13"/>
        <v>8</v>
      </c>
      <c r="G317" s="332"/>
      <c r="H317" s="333"/>
    </row>
    <row r="318" spans="1:8" x14ac:dyDescent="0.25">
      <c r="A318" s="275">
        <v>44140</v>
      </c>
      <c r="B318" s="277">
        <v>71</v>
      </c>
      <c r="C318" s="277">
        <v>44</v>
      </c>
      <c r="D318" s="140">
        <f t="shared" si="12"/>
        <v>57.5</v>
      </c>
      <c r="E318" s="140">
        <f t="shared" si="13"/>
        <v>7.5</v>
      </c>
      <c r="G318" s="332"/>
      <c r="H318" s="333"/>
    </row>
    <row r="319" spans="1:8" x14ac:dyDescent="0.25">
      <c r="A319" s="275">
        <v>44141</v>
      </c>
      <c r="B319" s="277">
        <v>72</v>
      </c>
      <c r="C319" s="277">
        <v>39</v>
      </c>
      <c r="D319" s="140">
        <f t="shared" si="12"/>
        <v>55.5</v>
      </c>
      <c r="E319" s="140">
        <f t="shared" si="13"/>
        <v>9.5</v>
      </c>
      <c r="G319" s="332"/>
      <c r="H319" s="333"/>
    </row>
    <row r="320" spans="1:8" x14ac:dyDescent="0.25">
      <c r="A320" s="275">
        <v>44142</v>
      </c>
      <c r="B320" s="277">
        <v>76</v>
      </c>
      <c r="C320" s="277">
        <v>41</v>
      </c>
      <c r="D320" s="140">
        <f t="shared" si="12"/>
        <v>58.5</v>
      </c>
      <c r="E320" s="140">
        <f t="shared" si="13"/>
        <v>6.5</v>
      </c>
      <c r="G320" s="332"/>
      <c r="H320" s="333"/>
    </row>
    <row r="321" spans="1:8" x14ac:dyDescent="0.25">
      <c r="A321" s="275">
        <v>44143</v>
      </c>
      <c r="B321" s="277">
        <v>80</v>
      </c>
      <c r="C321" s="277">
        <v>62</v>
      </c>
      <c r="D321" s="140">
        <f t="shared" si="12"/>
        <v>71</v>
      </c>
      <c r="E321" s="140">
        <f t="shared" si="13"/>
        <v>0</v>
      </c>
      <c r="G321" s="332"/>
      <c r="H321" s="333"/>
    </row>
    <row r="322" spans="1:8" x14ac:dyDescent="0.25">
      <c r="A322" s="275">
        <v>44144</v>
      </c>
      <c r="B322" s="277">
        <v>77</v>
      </c>
      <c r="C322" s="277">
        <v>64</v>
      </c>
      <c r="D322" s="140">
        <f t="shared" si="12"/>
        <v>70.5</v>
      </c>
      <c r="E322" s="140">
        <f t="shared" si="13"/>
        <v>0</v>
      </c>
      <c r="G322" s="332"/>
      <c r="H322" s="333"/>
    </row>
    <row r="323" spans="1:8" x14ac:dyDescent="0.25">
      <c r="A323" s="275">
        <v>44145</v>
      </c>
      <c r="B323" s="277">
        <v>80</v>
      </c>
      <c r="C323" s="277">
        <v>57</v>
      </c>
      <c r="D323" s="140">
        <f t="shared" si="12"/>
        <v>68.5</v>
      </c>
      <c r="E323" s="140">
        <f t="shared" si="13"/>
        <v>0</v>
      </c>
      <c r="G323" s="332"/>
      <c r="H323" s="333"/>
    </row>
    <row r="324" spans="1:8" x14ac:dyDescent="0.25">
      <c r="A324" s="275">
        <v>44146</v>
      </c>
      <c r="B324" s="277">
        <v>58</v>
      </c>
      <c r="C324" s="277">
        <v>36</v>
      </c>
      <c r="D324" s="140">
        <f t="shared" si="12"/>
        <v>47</v>
      </c>
      <c r="E324" s="140">
        <f t="shared" si="13"/>
        <v>18</v>
      </c>
      <c r="G324" s="332"/>
      <c r="H324" s="333"/>
    </row>
    <row r="325" spans="1:8" x14ac:dyDescent="0.25">
      <c r="A325" s="275">
        <v>44147</v>
      </c>
      <c r="B325" s="277">
        <v>63</v>
      </c>
      <c r="C325" s="277">
        <v>32</v>
      </c>
      <c r="D325" s="140">
        <f t="shared" si="12"/>
        <v>47.5</v>
      </c>
      <c r="E325" s="140">
        <f t="shared" si="13"/>
        <v>17.5</v>
      </c>
      <c r="G325" s="332"/>
      <c r="H325" s="333"/>
    </row>
    <row r="326" spans="1:8" x14ac:dyDescent="0.25">
      <c r="A326" s="275">
        <v>44148</v>
      </c>
      <c r="B326" s="277">
        <v>55</v>
      </c>
      <c r="C326" s="277">
        <v>37</v>
      </c>
      <c r="D326" s="140">
        <f t="shared" si="12"/>
        <v>46</v>
      </c>
      <c r="E326" s="140">
        <f t="shared" si="13"/>
        <v>19</v>
      </c>
      <c r="G326" s="332"/>
      <c r="H326" s="333"/>
    </row>
    <row r="327" spans="1:8" x14ac:dyDescent="0.25">
      <c r="A327" s="275">
        <v>44149</v>
      </c>
      <c r="B327" s="277">
        <v>70</v>
      </c>
      <c r="C327" s="277">
        <v>38</v>
      </c>
      <c r="D327" s="140">
        <f t="shared" si="12"/>
        <v>54</v>
      </c>
      <c r="E327" s="140">
        <f t="shared" si="13"/>
        <v>11</v>
      </c>
      <c r="G327" s="332"/>
      <c r="H327" s="333"/>
    </row>
    <row r="328" spans="1:8" x14ac:dyDescent="0.25">
      <c r="A328" s="275">
        <v>44150</v>
      </c>
      <c r="B328" s="277">
        <v>69</v>
      </c>
      <c r="C328" s="277">
        <v>36</v>
      </c>
      <c r="D328" s="140">
        <f t="shared" si="12"/>
        <v>52.5</v>
      </c>
      <c r="E328" s="140">
        <f t="shared" si="13"/>
        <v>12.5</v>
      </c>
      <c r="G328" s="332"/>
      <c r="H328" s="333"/>
    </row>
    <row r="329" spans="1:8" x14ac:dyDescent="0.25">
      <c r="A329" s="275">
        <v>44151</v>
      </c>
      <c r="B329" s="277">
        <v>62</v>
      </c>
      <c r="C329" s="277">
        <v>28</v>
      </c>
      <c r="D329" s="140">
        <f t="shared" si="12"/>
        <v>45</v>
      </c>
      <c r="E329" s="140">
        <f t="shared" si="13"/>
        <v>20</v>
      </c>
      <c r="G329" s="332"/>
      <c r="H329" s="333"/>
    </row>
    <row r="330" spans="1:8" x14ac:dyDescent="0.25">
      <c r="A330" s="275">
        <v>44152</v>
      </c>
      <c r="B330" s="277">
        <v>53</v>
      </c>
      <c r="C330" s="277">
        <v>31</v>
      </c>
      <c r="D330" s="140">
        <f t="shared" si="12"/>
        <v>42</v>
      </c>
      <c r="E330" s="140">
        <f t="shared" si="13"/>
        <v>23</v>
      </c>
      <c r="G330" s="332"/>
      <c r="H330" s="333"/>
    </row>
    <row r="331" spans="1:8" x14ac:dyDescent="0.25">
      <c r="A331" s="275">
        <v>44153</v>
      </c>
      <c r="B331" s="277">
        <v>58</v>
      </c>
      <c r="C331" s="277">
        <v>32</v>
      </c>
      <c r="D331" s="140">
        <f t="shared" si="12"/>
        <v>45</v>
      </c>
      <c r="E331" s="140">
        <f t="shared" si="13"/>
        <v>20</v>
      </c>
      <c r="G331" s="332"/>
      <c r="H331" s="333"/>
    </row>
    <row r="332" spans="1:8" x14ac:dyDescent="0.25">
      <c r="A332" s="275">
        <v>44154</v>
      </c>
      <c r="B332" s="277">
        <v>67</v>
      </c>
      <c r="C332" s="277">
        <v>39</v>
      </c>
      <c r="D332" s="140">
        <f t="shared" si="12"/>
        <v>53</v>
      </c>
      <c r="E332" s="140">
        <f t="shared" si="13"/>
        <v>12</v>
      </c>
      <c r="G332" s="332"/>
      <c r="H332" s="333"/>
    </row>
    <row r="333" spans="1:8" x14ac:dyDescent="0.25">
      <c r="A333" s="275">
        <v>44155</v>
      </c>
      <c r="B333" s="277">
        <v>70</v>
      </c>
      <c r="C333" s="277">
        <v>49</v>
      </c>
      <c r="D333" s="140">
        <f t="shared" si="12"/>
        <v>59.5</v>
      </c>
      <c r="E333" s="140">
        <f t="shared" si="13"/>
        <v>5.5</v>
      </c>
      <c r="G333" s="332"/>
      <c r="H333" s="333"/>
    </row>
    <row r="334" spans="1:8" x14ac:dyDescent="0.25">
      <c r="A334" s="275">
        <v>44156</v>
      </c>
      <c r="B334" s="277">
        <v>57</v>
      </c>
      <c r="C334" s="277">
        <v>51</v>
      </c>
      <c r="D334" s="140">
        <f t="shared" si="12"/>
        <v>54</v>
      </c>
      <c r="E334" s="140">
        <f t="shared" si="13"/>
        <v>11</v>
      </c>
      <c r="G334" s="332"/>
      <c r="H334" s="333"/>
    </row>
    <row r="335" spans="1:8" x14ac:dyDescent="0.25">
      <c r="A335" s="275">
        <v>44157</v>
      </c>
      <c r="B335" s="277">
        <v>51</v>
      </c>
      <c r="C335" s="277">
        <v>33</v>
      </c>
      <c r="D335" s="140">
        <f t="shared" si="12"/>
        <v>42</v>
      </c>
      <c r="E335" s="140">
        <f t="shared" si="13"/>
        <v>23</v>
      </c>
      <c r="G335" s="332"/>
      <c r="H335" s="333"/>
    </row>
    <row r="336" spans="1:8" x14ac:dyDescent="0.25">
      <c r="A336" s="275">
        <v>44158</v>
      </c>
      <c r="B336" s="277">
        <v>55</v>
      </c>
      <c r="C336" s="277">
        <v>29</v>
      </c>
      <c r="D336" s="140">
        <f t="shared" si="12"/>
        <v>42</v>
      </c>
      <c r="E336" s="140">
        <f t="shared" si="13"/>
        <v>23</v>
      </c>
      <c r="G336" s="332"/>
      <c r="H336" s="333"/>
    </row>
    <row r="337" spans="1:8" x14ac:dyDescent="0.25">
      <c r="A337" s="275">
        <v>44159</v>
      </c>
      <c r="B337" s="277">
        <v>54</v>
      </c>
      <c r="C337" s="277">
        <v>42</v>
      </c>
      <c r="D337" s="140">
        <f t="shared" si="12"/>
        <v>48</v>
      </c>
      <c r="E337" s="140">
        <f t="shared" si="13"/>
        <v>17</v>
      </c>
      <c r="G337" s="332"/>
      <c r="H337" s="333"/>
    </row>
    <row r="338" spans="1:8" x14ac:dyDescent="0.25">
      <c r="A338" s="275">
        <v>44160</v>
      </c>
      <c r="B338" s="277">
        <v>62</v>
      </c>
      <c r="C338" s="277">
        <v>48</v>
      </c>
      <c r="D338" s="140">
        <f t="shared" si="12"/>
        <v>55</v>
      </c>
      <c r="E338" s="140">
        <f t="shared" si="13"/>
        <v>10</v>
      </c>
      <c r="G338" s="332"/>
      <c r="H338" s="333"/>
    </row>
    <row r="339" spans="1:8" x14ac:dyDescent="0.25">
      <c r="A339" s="275">
        <v>44161</v>
      </c>
      <c r="B339" s="277">
        <v>51</v>
      </c>
      <c r="C339" s="277">
        <v>37</v>
      </c>
      <c r="D339" s="140">
        <f t="shared" si="12"/>
        <v>44</v>
      </c>
      <c r="E339" s="140">
        <f t="shared" si="13"/>
        <v>21</v>
      </c>
      <c r="G339" s="332"/>
      <c r="H339" s="333"/>
    </row>
    <row r="340" spans="1:8" x14ac:dyDescent="0.25">
      <c r="A340" s="275">
        <v>44162</v>
      </c>
      <c r="B340" s="277">
        <v>59</v>
      </c>
      <c r="C340" s="277">
        <v>34</v>
      </c>
      <c r="D340" s="140">
        <f t="shared" si="12"/>
        <v>46.5</v>
      </c>
      <c r="E340" s="140">
        <f t="shared" si="13"/>
        <v>18.5</v>
      </c>
      <c r="G340" s="332"/>
      <c r="H340" s="333"/>
    </row>
    <row r="341" spans="1:8" x14ac:dyDescent="0.25">
      <c r="A341" s="275">
        <v>44163</v>
      </c>
      <c r="B341" s="277">
        <v>54</v>
      </c>
      <c r="C341" s="277">
        <v>30</v>
      </c>
      <c r="D341" s="140">
        <f t="shared" si="12"/>
        <v>42</v>
      </c>
      <c r="E341" s="140">
        <f t="shared" si="13"/>
        <v>23</v>
      </c>
      <c r="G341" s="332"/>
      <c r="H341" s="333"/>
    </row>
    <row r="342" spans="1:8" x14ac:dyDescent="0.25">
      <c r="A342" s="275">
        <v>44164</v>
      </c>
      <c r="B342" s="277">
        <v>49</v>
      </c>
      <c r="C342" s="277">
        <v>27</v>
      </c>
      <c r="D342" s="140">
        <f t="shared" si="12"/>
        <v>38</v>
      </c>
      <c r="E342" s="140">
        <f t="shared" si="13"/>
        <v>27</v>
      </c>
      <c r="G342" s="332"/>
      <c r="H342" s="333"/>
    </row>
    <row r="343" spans="1:8" x14ac:dyDescent="0.25">
      <c r="A343" s="275">
        <v>44165</v>
      </c>
      <c r="B343" s="277">
        <v>40</v>
      </c>
      <c r="C343" s="277">
        <v>26</v>
      </c>
      <c r="D343" s="140">
        <f t="shared" si="12"/>
        <v>33</v>
      </c>
      <c r="E343" s="140">
        <f t="shared" si="13"/>
        <v>32</v>
      </c>
      <c r="G343" s="332"/>
      <c r="H343" s="333"/>
    </row>
    <row r="344" spans="1:8" x14ac:dyDescent="0.25">
      <c r="A344" s="275">
        <v>44166</v>
      </c>
      <c r="B344" s="277">
        <v>42</v>
      </c>
      <c r="C344" s="277">
        <v>22</v>
      </c>
      <c r="D344" s="140">
        <f t="shared" si="12"/>
        <v>32</v>
      </c>
      <c r="E344" s="140">
        <f t="shared" si="13"/>
        <v>33</v>
      </c>
      <c r="G344" s="332"/>
      <c r="H344" s="333"/>
    </row>
    <row r="345" spans="1:8" x14ac:dyDescent="0.25">
      <c r="A345" s="275">
        <v>44167</v>
      </c>
      <c r="B345" s="277">
        <v>50</v>
      </c>
      <c r="C345" s="277">
        <v>21</v>
      </c>
      <c r="D345" s="140">
        <f t="shared" si="12"/>
        <v>35.5</v>
      </c>
      <c r="E345" s="140">
        <f t="shared" si="13"/>
        <v>29.5</v>
      </c>
      <c r="G345" s="332"/>
      <c r="H345" s="333"/>
    </row>
    <row r="346" spans="1:8" x14ac:dyDescent="0.25">
      <c r="A346" s="275">
        <v>44168</v>
      </c>
      <c r="B346" s="277">
        <v>47</v>
      </c>
      <c r="C346" s="277">
        <v>31</v>
      </c>
      <c r="D346" s="140">
        <f t="shared" si="12"/>
        <v>39</v>
      </c>
      <c r="E346" s="140">
        <f t="shared" si="13"/>
        <v>26</v>
      </c>
      <c r="G346" s="332"/>
      <c r="H346" s="333"/>
    </row>
    <row r="347" spans="1:8" x14ac:dyDescent="0.25">
      <c r="A347" s="275">
        <v>44169</v>
      </c>
      <c r="B347" s="277">
        <v>51</v>
      </c>
      <c r="C347" s="277">
        <v>29</v>
      </c>
      <c r="D347" s="140">
        <f t="shared" si="12"/>
        <v>40</v>
      </c>
      <c r="E347" s="140">
        <f t="shared" si="13"/>
        <v>25</v>
      </c>
      <c r="G347" s="332"/>
      <c r="H347" s="333"/>
    </row>
    <row r="348" spans="1:8" x14ac:dyDescent="0.25">
      <c r="A348" s="275">
        <v>44170</v>
      </c>
      <c r="B348" s="277">
        <v>57</v>
      </c>
      <c r="C348" s="277">
        <v>27</v>
      </c>
      <c r="D348" s="140">
        <f t="shared" si="12"/>
        <v>42</v>
      </c>
      <c r="E348" s="140">
        <f t="shared" si="13"/>
        <v>23</v>
      </c>
      <c r="G348" s="332"/>
      <c r="H348" s="333"/>
    </row>
    <row r="349" spans="1:8" x14ac:dyDescent="0.25">
      <c r="A349" s="275">
        <v>44171</v>
      </c>
      <c r="B349" s="277">
        <v>51</v>
      </c>
      <c r="C349" s="277">
        <v>27</v>
      </c>
      <c r="D349" s="140">
        <f t="shared" si="12"/>
        <v>39</v>
      </c>
      <c r="E349" s="140">
        <f t="shared" si="13"/>
        <v>26</v>
      </c>
      <c r="G349" s="332"/>
      <c r="H349" s="333"/>
    </row>
    <row r="350" spans="1:8" x14ac:dyDescent="0.25">
      <c r="A350" s="275">
        <v>44172</v>
      </c>
      <c r="B350" s="277">
        <v>46</v>
      </c>
      <c r="C350" s="277">
        <v>26</v>
      </c>
      <c r="D350" s="140">
        <f t="shared" si="12"/>
        <v>36</v>
      </c>
      <c r="E350" s="140">
        <f t="shared" si="13"/>
        <v>29</v>
      </c>
      <c r="G350" s="332"/>
      <c r="H350" s="333"/>
    </row>
    <row r="351" spans="1:8" x14ac:dyDescent="0.25">
      <c r="A351" s="275">
        <v>44173</v>
      </c>
      <c r="B351" s="277">
        <v>51</v>
      </c>
      <c r="C351" s="277">
        <v>23</v>
      </c>
      <c r="D351" s="140">
        <f t="shared" ref="D351:D375" si="14">(B351+C351)/2</f>
        <v>37</v>
      </c>
      <c r="E351" s="140">
        <f t="shared" ref="E351:E375" si="15">IF(65-D351&gt;0,65-D351,0)</f>
        <v>28</v>
      </c>
      <c r="G351" s="332"/>
      <c r="H351" s="333"/>
    </row>
    <row r="352" spans="1:8" x14ac:dyDescent="0.25">
      <c r="A352" s="275">
        <v>44174</v>
      </c>
      <c r="B352" s="277">
        <v>64</v>
      </c>
      <c r="C352" s="277">
        <v>30</v>
      </c>
      <c r="D352" s="140">
        <f t="shared" si="14"/>
        <v>47</v>
      </c>
      <c r="E352" s="140">
        <f t="shared" si="15"/>
        <v>18</v>
      </c>
      <c r="G352" s="332"/>
      <c r="H352" s="333"/>
    </row>
    <row r="353" spans="1:8" x14ac:dyDescent="0.25">
      <c r="A353" s="275">
        <v>44175</v>
      </c>
      <c r="B353" s="277">
        <v>65</v>
      </c>
      <c r="C353" s="277">
        <v>32</v>
      </c>
      <c r="D353" s="140">
        <f t="shared" si="14"/>
        <v>48.5</v>
      </c>
      <c r="E353" s="140">
        <f t="shared" si="15"/>
        <v>16.5</v>
      </c>
      <c r="G353" s="332"/>
      <c r="H353" s="333"/>
    </row>
    <row r="354" spans="1:8" x14ac:dyDescent="0.25">
      <c r="A354" s="275">
        <v>44176</v>
      </c>
      <c r="B354" s="277">
        <v>63</v>
      </c>
      <c r="C354" s="277">
        <v>43</v>
      </c>
      <c r="D354" s="140">
        <f t="shared" si="14"/>
        <v>53</v>
      </c>
      <c r="E354" s="140">
        <f t="shared" si="15"/>
        <v>12</v>
      </c>
      <c r="G354" s="332"/>
      <c r="H354" s="333"/>
    </row>
    <row r="355" spans="1:8" x14ac:dyDescent="0.25">
      <c r="A355" s="275">
        <v>44177</v>
      </c>
      <c r="B355" s="277">
        <v>58</v>
      </c>
      <c r="C355" s="277">
        <v>42</v>
      </c>
      <c r="D355" s="140">
        <f t="shared" si="14"/>
        <v>50</v>
      </c>
      <c r="E355" s="140">
        <f t="shared" si="15"/>
        <v>15</v>
      </c>
      <c r="G355" s="332"/>
      <c r="H355" s="333"/>
    </row>
    <row r="356" spans="1:8" x14ac:dyDescent="0.25">
      <c r="A356" s="275">
        <v>44178</v>
      </c>
      <c r="B356" s="277">
        <v>43</v>
      </c>
      <c r="C356" s="277">
        <v>37</v>
      </c>
      <c r="D356" s="140">
        <f t="shared" si="14"/>
        <v>40</v>
      </c>
      <c r="E356" s="140">
        <f t="shared" si="15"/>
        <v>25</v>
      </c>
      <c r="G356" s="332"/>
      <c r="H356" s="333"/>
    </row>
    <row r="357" spans="1:8" x14ac:dyDescent="0.25">
      <c r="A357" s="275">
        <v>44179</v>
      </c>
      <c r="B357" s="277">
        <v>42</v>
      </c>
      <c r="C357" s="277">
        <v>27</v>
      </c>
      <c r="D357" s="140">
        <f t="shared" si="14"/>
        <v>34.5</v>
      </c>
      <c r="E357" s="140">
        <f t="shared" si="15"/>
        <v>30.5</v>
      </c>
      <c r="G357" s="332"/>
      <c r="H357" s="333"/>
    </row>
    <row r="358" spans="1:8" x14ac:dyDescent="0.25">
      <c r="A358" s="275">
        <v>44180</v>
      </c>
      <c r="B358" s="277">
        <v>37</v>
      </c>
      <c r="C358" s="277">
        <v>25</v>
      </c>
      <c r="D358" s="140">
        <f t="shared" si="14"/>
        <v>31</v>
      </c>
      <c r="E358" s="140">
        <f t="shared" si="15"/>
        <v>34</v>
      </c>
      <c r="G358" s="332"/>
      <c r="H358" s="333"/>
    </row>
    <row r="359" spans="1:8" x14ac:dyDescent="0.25">
      <c r="A359" s="275">
        <v>44181</v>
      </c>
      <c r="B359" s="277">
        <v>37</v>
      </c>
      <c r="C359" s="277">
        <v>24</v>
      </c>
      <c r="D359" s="140">
        <f t="shared" si="14"/>
        <v>30.5</v>
      </c>
      <c r="E359" s="140">
        <f t="shared" si="15"/>
        <v>34.5</v>
      </c>
      <c r="G359" s="332"/>
      <c r="H359" s="333"/>
    </row>
    <row r="360" spans="1:8" x14ac:dyDescent="0.25">
      <c r="A360" s="275">
        <v>44182</v>
      </c>
      <c r="B360" s="277">
        <v>37</v>
      </c>
      <c r="C360" s="277">
        <v>20</v>
      </c>
      <c r="D360" s="140">
        <f t="shared" si="14"/>
        <v>28.5</v>
      </c>
      <c r="E360" s="140">
        <f t="shared" si="15"/>
        <v>36.5</v>
      </c>
      <c r="G360" s="332"/>
      <c r="H360" s="333"/>
    </row>
    <row r="361" spans="1:8" x14ac:dyDescent="0.25">
      <c r="A361" s="275">
        <v>44183</v>
      </c>
      <c r="B361" s="277">
        <v>46</v>
      </c>
      <c r="C361" s="277">
        <v>26</v>
      </c>
      <c r="D361" s="140">
        <f t="shared" si="14"/>
        <v>36</v>
      </c>
      <c r="E361" s="140">
        <f t="shared" si="15"/>
        <v>29</v>
      </c>
      <c r="G361" s="332"/>
      <c r="H361" s="333"/>
    </row>
    <row r="362" spans="1:8" x14ac:dyDescent="0.25">
      <c r="A362" s="275">
        <v>44184</v>
      </c>
      <c r="B362" s="277">
        <v>43</v>
      </c>
      <c r="C362" s="277">
        <v>36</v>
      </c>
      <c r="D362" s="140">
        <f t="shared" si="14"/>
        <v>39.5</v>
      </c>
      <c r="E362" s="140">
        <f t="shared" si="15"/>
        <v>25.5</v>
      </c>
      <c r="G362" s="332"/>
      <c r="H362" s="333"/>
    </row>
    <row r="363" spans="1:8" x14ac:dyDescent="0.25">
      <c r="A363" s="275">
        <v>44185</v>
      </c>
      <c r="B363" s="277">
        <v>48</v>
      </c>
      <c r="C363" s="277">
        <v>36</v>
      </c>
      <c r="D363" s="140">
        <f t="shared" si="14"/>
        <v>42</v>
      </c>
      <c r="E363" s="140">
        <f t="shared" si="15"/>
        <v>23</v>
      </c>
      <c r="G363" s="332"/>
      <c r="H363" s="333"/>
    </row>
    <row r="364" spans="1:8" x14ac:dyDescent="0.25">
      <c r="A364" s="275">
        <v>44186</v>
      </c>
      <c r="B364" s="277">
        <v>63</v>
      </c>
      <c r="C364" s="277">
        <v>35</v>
      </c>
      <c r="D364" s="140">
        <f t="shared" si="14"/>
        <v>49</v>
      </c>
      <c r="E364" s="140">
        <f t="shared" si="15"/>
        <v>16</v>
      </c>
      <c r="G364" s="332"/>
      <c r="H364" s="333"/>
    </row>
    <row r="365" spans="1:8" x14ac:dyDescent="0.25">
      <c r="A365" s="275">
        <v>44187</v>
      </c>
      <c r="B365" s="277">
        <v>54</v>
      </c>
      <c r="C365" s="277">
        <v>30</v>
      </c>
      <c r="D365" s="140">
        <f t="shared" si="14"/>
        <v>42</v>
      </c>
      <c r="E365" s="140">
        <f t="shared" si="15"/>
        <v>23</v>
      </c>
      <c r="G365" s="332"/>
      <c r="H365" s="333"/>
    </row>
    <row r="366" spans="1:8" x14ac:dyDescent="0.25">
      <c r="A366" s="275">
        <v>44188</v>
      </c>
      <c r="B366" s="277">
        <v>57</v>
      </c>
      <c r="C366" s="277">
        <v>36</v>
      </c>
      <c r="D366" s="140">
        <f t="shared" si="14"/>
        <v>46.5</v>
      </c>
      <c r="E366" s="140">
        <f t="shared" si="15"/>
        <v>18.5</v>
      </c>
      <c r="G366" s="332"/>
      <c r="H366" s="333"/>
    </row>
    <row r="367" spans="1:8" x14ac:dyDescent="0.25">
      <c r="A367" s="275">
        <v>44189</v>
      </c>
      <c r="B367" s="277">
        <v>35</v>
      </c>
      <c r="C367" s="277">
        <v>17</v>
      </c>
      <c r="D367" s="140">
        <f t="shared" si="14"/>
        <v>26</v>
      </c>
      <c r="E367" s="140">
        <f t="shared" si="15"/>
        <v>39</v>
      </c>
      <c r="G367" s="332"/>
      <c r="H367" s="333"/>
    </row>
    <row r="368" spans="1:8" x14ac:dyDescent="0.25">
      <c r="A368" s="275">
        <v>44190</v>
      </c>
      <c r="B368" s="277">
        <v>29</v>
      </c>
      <c r="C368" s="277">
        <v>14</v>
      </c>
      <c r="D368" s="140">
        <f t="shared" si="14"/>
        <v>21.5</v>
      </c>
      <c r="E368" s="140">
        <f t="shared" si="15"/>
        <v>43.5</v>
      </c>
      <c r="G368" s="332"/>
      <c r="H368" s="333"/>
    </row>
    <row r="369" spans="1:8" x14ac:dyDescent="0.25">
      <c r="A369" s="275">
        <v>44191</v>
      </c>
      <c r="B369" s="277">
        <v>48</v>
      </c>
      <c r="C369" s="277">
        <v>19</v>
      </c>
      <c r="D369" s="140">
        <f t="shared" si="14"/>
        <v>33.5</v>
      </c>
      <c r="E369" s="140">
        <f t="shared" si="15"/>
        <v>31.5</v>
      </c>
      <c r="G369" s="332"/>
      <c r="H369" s="333"/>
    </row>
    <row r="370" spans="1:8" x14ac:dyDescent="0.25">
      <c r="A370" s="275">
        <v>44192</v>
      </c>
      <c r="B370" s="277">
        <v>56</v>
      </c>
      <c r="C370" s="277">
        <v>33</v>
      </c>
      <c r="D370" s="140">
        <f t="shared" si="14"/>
        <v>44.5</v>
      </c>
      <c r="E370" s="140">
        <f t="shared" si="15"/>
        <v>20.5</v>
      </c>
      <c r="G370" s="332"/>
      <c r="H370" s="333"/>
    </row>
    <row r="371" spans="1:8" x14ac:dyDescent="0.25">
      <c r="A371" s="275">
        <v>44193</v>
      </c>
      <c r="B371" s="277">
        <v>47</v>
      </c>
      <c r="C371" s="277">
        <v>26</v>
      </c>
      <c r="D371" s="140">
        <f t="shared" si="14"/>
        <v>36.5</v>
      </c>
      <c r="E371" s="140">
        <f t="shared" si="15"/>
        <v>28.5</v>
      </c>
      <c r="G371" s="332"/>
      <c r="H371" s="333"/>
    </row>
    <row r="372" spans="1:8" x14ac:dyDescent="0.25">
      <c r="A372" s="275">
        <v>44194</v>
      </c>
      <c r="B372" s="277">
        <v>44</v>
      </c>
      <c r="C372" s="277">
        <v>27</v>
      </c>
      <c r="D372" s="140">
        <f t="shared" si="14"/>
        <v>35.5</v>
      </c>
      <c r="E372" s="140">
        <f t="shared" si="15"/>
        <v>29.5</v>
      </c>
      <c r="G372" s="332"/>
      <c r="H372" s="333"/>
    </row>
    <row r="373" spans="1:8" x14ac:dyDescent="0.25">
      <c r="A373" s="275">
        <v>44195</v>
      </c>
      <c r="B373" s="277">
        <v>52</v>
      </c>
      <c r="C373" s="277">
        <v>35</v>
      </c>
      <c r="D373" s="140">
        <f t="shared" si="14"/>
        <v>43.5</v>
      </c>
      <c r="E373" s="140">
        <f t="shared" si="15"/>
        <v>21.5</v>
      </c>
      <c r="G373" s="332"/>
      <c r="H373" s="333"/>
    </row>
    <row r="374" spans="1:8" x14ac:dyDescent="0.25">
      <c r="A374" s="275">
        <v>44196</v>
      </c>
      <c r="B374" s="277">
        <v>36</v>
      </c>
      <c r="C374" s="277">
        <v>31</v>
      </c>
      <c r="D374" s="140">
        <f t="shared" si="14"/>
        <v>33.5</v>
      </c>
      <c r="E374" s="140">
        <f t="shared" si="15"/>
        <v>31.5</v>
      </c>
      <c r="G374" s="332"/>
      <c r="H374" s="333"/>
    </row>
    <row r="375" spans="1:8" x14ac:dyDescent="0.25">
      <c r="A375" s="275">
        <v>44197</v>
      </c>
      <c r="B375" s="277" t="e">
        <v>#N/A</v>
      </c>
      <c r="C375" s="277" t="e">
        <v>#N/A</v>
      </c>
      <c r="D375" s="140" t="e">
        <f t="shared" si="14"/>
        <v>#N/A</v>
      </c>
      <c r="E375" s="140" t="e">
        <f t="shared" si="15"/>
        <v>#N/A</v>
      </c>
    </row>
    <row r="376" spans="1:8" x14ac:dyDescent="0.25">
      <c r="A376" s="275"/>
    </row>
    <row r="377" spans="1:8" x14ac:dyDescent="0.25">
      <c r="A377" s="275"/>
    </row>
    <row r="378" spans="1:8" x14ac:dyDescent="0.25">
      <c r="A378" s="275"/>
    </row>
    <row r="379" spans="1:8" x14ac:dyDescent="0.25">
      <c r="A379" s="275"/>
    </row>
    <row r="380" spans="1:8" x14ac:dyDescent="0.25">
      <c r="A380" s="275"/>
    </row>
    <row r="381" spans="1:8" x14ac:dyDescent="0.25">
      <c r="A381" s="275"/>
    </row>
    <row r="382" spans="1:8" x14ac:dyDescent="0.25">
      <c r="A382" s="275"/>
    </row>
    <row r="383" spans="1:8" x14ac:dyDescent="0.25">
      <c r="A383" s="275"/>
    </row>
    <row r="384" spans="1:8" x14ac:dyDescent="0.25">
      <c r="A384" s="275"/>
    </row>
    <row r="385" spans="1:1" x14ac:dyDescent="0.25">
      <c r="A385" s="275"/>
    </row>
    <row r="386" spans="1:1" x14ac:dyDescent="0.25">
      <c r="A386" s="275"/>
    </row>
    <row r="387" spans="1:1" x14ac:dyDescent="0.25">
      <c r="A387" s="275"/>
    </row>
    <row r="388" spans="1:1" x14ac:dyDescent="0.25">
      <c r="A388" s="275"/>
    </row>
    <row r="389" spans="1:1" x14ac:dyDescent="0.25">
      <c r="A389" s="275"/>
    </row>
    <row r="390" spans="1:1" x14ac:dyDescent="0.25">
      <c r="A390" s="275"/>
    </row>
    <row r="391" spans="1:1" x14ac:dyDescent="0.25">
      <c r="A391" s="55"/>
    </row>
    <row r="392" spans="1:1" x14ac:dyDescent="0.25">
      <c r="A392" s="55"/>
    </row>
    <row r="393" spans="1:1" x14ac:dyDescent="0.25">
      <c r="A393" s="55"/>
    </row>
    <row r="394" spans="1:1" x14ac:dyDescent="0.25">
      <c r="A394" s="55"/>
    </row>
    <row r="395" spans="1:1" x14ac:dyDescent="0.25">
      <c r="A395" s="55"/>
    </row>
    <row r="396" spans="1:1" x14ac:dyDescent="0.25">
      <c r="A396" s="55"/>
    </row>
    <row r="397" spans="1:1" x14ac:dyDescent="0.25">
      <c r="A397" s="55"/>
    </row>
    <row r="398" spans="1:1" x14ac:dyDescent="0.25">
      <c r="A398" s="55"/>
    </row>
    <row r="399" spans="1:1" x14ac:dyDescent="0.25">
      <c r="A399" s="55"/>
    </row>
    <row r="400" spans="1:1" x14ac:dyDescent="0.25">
      <c r="A400" s="55"/>
    </row>
    <row r="401" spans="1:1" x14ac:dyDescent="0.25">
      <c r="A401" s="55"/>
    </row>
    <row r="402" spans="1:1" x14ac:dyDescent="0.25">
      <c r="A402" s="55"/>
    </row>
    <row r="403" spans="1:1" x14ac:dyDescent="0.25">
      <c r="A403" s="55"/>
    </row>
    <row r="404" spans="1:1" x14ac:dyDescent="0.25">
      <c r="A404" s="55"/>
    </row>
    <row r="405" spans="1:1" x14ac:dyDescent="0.25">
      <c r="A405" s="55"/>
    </row>
    <row r="406" spans="1:1" x14ac:dyDescent="0.25">
      <c r="A406" s="55"/>
    </row>
    <row r="407" spans="1:1" x14ac:dyDescent="0.25">
      <c r="A407" s="55"/>
    </row>
    <row r="408" spans="1:1" x14ac:dyDescent="0.25">
      <c r="A408" s="55"/>
    </row>
    <row r="409" spans="1:1" x14ac:dyDescent="0.25">
      <c r="A409" s="55"/>
    </row>
    <row r="410" spans="1:1" x14ac:dyDescent="0.25">
      <c r="A410" s="55"/>
    </row>
    <row r="411" spans="1:1" x14ac:dyDescent="0.25">
      <c r="A411" s="55"/>
    </row>
    <row r="412" spans="1:1" x14ac:dyDescent="0.25">
      <c r="A412" s="55"/>
    </row>
    <row r="413" spans="1:1" x14ac:dyDescent="0.25">
      <c r="A413" s="55"/>
    </row>
    <row r="414" spans="1:1" x14ac:dyDescent="0.25">
      <c r="A414" s="55"/>
    </row>
    <row r="415" spans="1:1" x14ac:dyDescent="0.25">
      <c r="A415" s="55"/>
    </row>
    <row r="416" spans="1:1" x14ac:dyDescent="0.25">
      <c r="A416" s="55"/>
    </row>
    <row r="417" spans="1:1" x14ac:dyDescent="0.25">
      <c r="A417" s="55"/>
    </row>
    <row r="418" spans="1:1" x14ac:dyDescent="0.25">
      <c r="A418" s="55"/>
    </row>
    <row r="419" spans="1:1" x14ac:dyDescent="0.25">
      <c r="A419" s="55"/>
    </row>
    <row r="420" spans="1:1" x14ac:dyDescent="0.25">
      <c r="A420" s="55"/>
    </row>
    <row r="421" spans="1:1" x14ac:dyDescent="0.25">
      <c r="A421" s="55"/>
    </row>
    <row r="422" spans="1:1" x14ac:dyDescent="0.25">
      <c r="A422" s="55"/>
    </row>
    <row r="423" spans="1:1" x14ac:dyDescent="0.25">
      <c r="A423" s="55"/>
    </row>
    <row r="424" spans="1:1" x14ac:dyDescent="0.25">
      <c r="A424" s="55"/>
    </row>
    <row r="425" spans="1:1" x14ac:dyDescent="0.25">
      <c r="A425" s="55"/>
    </row>
    <row r="426" spans="1:1" x14ac:dyDescent="0.25">
      <c r="A426" s="55"/>
    </row>
    <row r="427" spans="1:1" x14ac:dyDescent="0.25">
      <c r="A427" s="55"/>
    </row>
    <row r="428" spans="1:1" x14ac:dyDescent="0.25">
      <c r="A428" s="55"/>
    </row>
    <row r="429" spans="1:1" x14ac:dyDescent="0.25">
      <c r="A429" s="55"/>
    </row>
    <row r="430" spans="1:1" x14ac:dyDescent="0.25">
      <c r="A430" s="55"/>
    </row>
    <row r="431" spans="1:1" x14ac:dyDescent="0.25">
      <c r="A431" s="55"/>
    </row>
    <row r="432" spans="1:1" x14ac:dyDescent="0.25">
      <c r="A432" s="55"/>
    </row>
    <row r="433" spans="1:1" x14ac:dyDescent="0.25">
      <c r="A433" s="55"/>
    </row>
    <row r="434" spans="1:1" x14ac:dyDescent="0.25">
      <c r="A434" s="55"/>
    </row>
    <row r="435" spans="1:1" x14ac:dyDescent="0.25">
      <c r="A435" s="55"/>
    </row>
    <row r="436" spans="1:1" x14ac:dyDescent="0.25">
      <c r="A436" s="55"/>
    </row>
  </sheetData>
  <hyperlinks>
    <hyperlink ref="A7" r:id="rId1" xr:uid="{00000000-0004-0000-1900-000000000000}"/>
  </hyperlinks>
  <pageMargins left="0.45" right="0.45" top="0.75" bottom="0.5" header="0.3" footer="0.3"/>
  <pageSetup scale="75" orientation="portrait" horizontalDpi="72" verticalDpi="72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AF165"/>
  <sheetViews>
    <sheetView zoomScale="85" zoomScaleNormal="85" workbookViewId="0">
      <selection activeCell="AE20" sqref="AE20"/>
    </sheetView>
  </sheetViews>
  <sheetFormatPr defaultColWidth="12.7109375" defaultRowHeight="15" x14ac:dyDescent="0.2"/>
  <cols>
    <col min="1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D5" si="1">C4</f>
        <v>0</v>
      </c>
      <c r="C5" s="35" t="str">
        <f t="shared" si="1"/>
        <v>22020</v>
      </c>
      <c r="D5" s="35">
        <f t="shared" si="1"/>
        <v>0</v>
      </c>
      <c r="E5" s="340">
        <v>32020</v>
      </c>
      <c r="F5" s="35">
        <f>G4</f>
        <v>0</v>
      </c>
      <c r="G5" s="340">
        <v>42020</v>
      </c>
      <c r="H5" s="35">
        <f>I4</f>
        <v>0</v>
      </c>
      <c r="I5" s="340">
        <v>52020</v>
      </c>
      <c r="J5" s="35">
        <f>K4</f>
        <v>0</v>
      </c>
      <c r="K5" s="340">
        <v>62020</v>
      </c>
      <c r="L5" s="35">
        <f>M4</f>
        <v>0</v>
      </c>
      <c r="M5" s="340">
        <v>72020</v>
      </c>
      <c r="N5" s="35">
        <f>O4</f>
        <v>0</v>
      </c>
      <c r="O5" s="340">
        <v>82020</v>
      </c>
      <c r="P5" s="35">
        <f>Q4</f>
        <v>0</v>
      </c>
      <c r="Q5" s="340">
        <v>92020</v>
      </c>
      <c r="R5" s="35">
        <f>S4</f>
        <v>0</v>
      </c>
      <c r="S5" s="340">
        <v>102020</v>
      </c>
      <c r="T5" s="35">
        <f>U4</f>
        <v>0</v>
      </c>
      <c r="U5" s="340">
        <v>112020</v>
      </c>
      <c r="V5" s="35">
        <f>W4</f>
        <v>0</v>
      </c>
      <c r="W5" s="340">
        <v>122020</v>
      </c>
      <c r="X5" s="35">
        <f>Y4</f>
        <v>0</v>
      </c>
      <c r="Y5" s="340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41" t="s">
        <v>46</v>
      </c>
      <c r="C7" s="341"/>
      <c r="D7" s="341" t="s">
        <v>47</v>
      </c>
      <c r="E7" s="341"/>
      <c r="F7" s="341" t="s">
        <v>48</v>
      </c>
      <c r="G7" s="341"/>
      <c r="H7" s="341" t="s">
        <v>49</v>
      </c>
      <c r="I7" s="341"/>
      <c r="J7" s="341" t="s">
        <v>50</v>
      </c>
      <c r="K7" s="341"/>
      <c r="L7" s="341" t="s">
        <v>216</v>
      </c>
      <c r="M7" s="341"/>
      <c r="N7" s="341" t="s">
        <v>217</v>
      </c>
      <c r="O7" s="341"/>
      <c r="P7" s="342" t="s">
        <v>51</v>
      </c>
      <c r="Q7" s="342"/>
      <c r="R7" s="342" t="s">
        <v>279</v>
      </c>
      <c r="S7" s="342"/>
      <c r="T7" s="342" t="s">
        <v>52</v>
      </c>
      <c r="U7" s="342"/>
      <c r="V7" s="342" t="s">
        <v>53</v>
      </c>
      <c r="W7" s="342"/>
      <c r="X7" s="342" t="s">
        <v>280</v>
      </c>
      <c r="Y7" s="343"/>
      <c r="Z7" s="343" t="s">
        <v>46</v>
      </c>
      <c r="AA7" s="215" t="s">
        <v>187</v>
      </c>
      <c r="AC7" s="404" t="s">
        <v>186</v>
      </c>
      <c r="AD7" s="404"/>
      <c r="AE7" s="404"/>
      <c r="AF7" s="404"/>
    </row>
    <row r="8" spans="1:32" s="35" customFormat="1" ht="21.95" customHeight="1" x14ac:dyDescent="0.25">
      <c r="A8" s="41"/>
      <c r="B8" s="344">
        <v>2020</v>
      </c>
      <c r="C8" s="344"/>
      <c r="D8" s="344">
        <v>2020</v>
      </c>
      <c r="E8" s="344"/>
      <c r="F8" s="344">
        <v>2020</v>
      </c>
      <c r="G8" s="344"/>
      <c r="H8" s="344">
        <v>2020</v>
      </c>
      <c r="I8" s="344"/>
      <c r="J8" s="344">
        <v>2020</v>
      </c>
      <c r="K8" s="344"/>
      <c r="L8" s="344">
        <v>2020</v>
      </c>
      <c r="M8" s="344"/>
      <c r="N8" s="344">
        <v>2020</v>
      </c>
      <c r="O8" s="344"/>
      <c r="P8" s="344">
        <v>2020</v>
      </c>
      <c r="Q8" s="344"/>
      <c r="R8" s="344">
        <v>2020</v>
      </c>
      <c r="S8" s="344"/>
      <c r="T8" s="344">
        <v>2020</v>
      </c>
      <c r="U8" s="344"/>
      <c r="V8" s="344">
        <v>2020</v>
      </c>
      <c r="W8" s="344"/>
      <c r="X8" s="344">
        <v>2020</v>
      </c>
      <c r="Y8" s="345"/>
      <c r="Z8" s="345">
        <v>2021</v>
      </c>
      <c r="AC8" s="404"/>
      <c r="AD8" s="404"/>
      <c r="AE8" s="404"/>
      <c r="AF8" s="404"/>
    </row>
    <row r="9" spans="1:32" s="35" customFormat="1" ht="21.95" customHeight="1" x14ac:dyDescent="0.25">
      <c r="A9" s="42" t="s">
        <v>44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346"/>
      <c r="Z9" s="346"/>
      <c r="AC9" s="404"/>
      <c r="AD9" s="404"/>
      <c r="AE9" s="404"/>
      <c r="AF9" s="404"/>
    </row>
    <row r="10" spans="1:32" s="35" customFormat="1" ht="21.95" customHeight="1" x14ac:dyDescent="0.25">
      <c r="A10" s="30">
        <v>1</v>
      </c>
      <c r="B10" s="264">
        <v>43830</v>
      </c>
      <c r="C10" s="347">
        <f t="shared" ref="C10:C28" si="2">D10-B10</f>
        <v>31</v>
      </c>
      <c r="D10" s="264">
        <v>43861</v>
      </c>
      <c r="E10" s="347">
        <f t="shared" ref="E10:E28" si="3">F10-D10</f>
        <v>28</v>
      </c>
      <c r="F10" s="264">
        <v>43889</v>
      </c>
      <c r="G10" s="347">
        <f t="shared" ref="G10:G28" si="4">H10-F10</f>
        <v>32</v>
      </c>
      <c r="H10" s="264">
        <v>43921</v>
      </c>
      <c r="I10" s="347">
        <f t="shared" ref="I10:I28" si="5">J10-H10</f>
        <v>30</v>
      </c>
      <c r="J10" s="264">
        <v>43951</v>
      </c>
      <c r="K10" s="347">
        <f t="shared" ref="K10:K28" si="6">L10-J10</f>
        <v>31</v>
      </c>
      <c r="L10" s="264">
        <v>43982</v>
      </c>
      <c r="M10" s="347">
        <f t="shared" ref="M10:M28" si="7">N10-L10</f>
        <v>30</v>
      </c>
      <c r="N10" s="264">
        <v>44012</v>
      </c>
      <c r="O10" s="347">
        <f t="shared" ref="O10:O28" si="8">P10-N10</f>
        <v>31</v>
      </c>
      <c r="P10" s="264">
        <v>44043</v>
      </c>
      <c r="Q10" s="347">
        <f t="shared" ref="Q10:Q28" si="9">R10-P10</f>
        <v>31</v>
      </c>
      <c r="R10" s="264">
        <v>44074</v>
      </c>
      <c r="S10" s="347">
        <f t="shared" ref="S10:S28" si="10">T10-R10</f>
        <v>30</v>
      </c>
      <c r="T10" s="264">
        <v>44104</v>
      </c>
      <c r="U10" s="347">
        <f t="shared" ref="U10:U28" si="11">V10-T10</f>
        <v>31</v>
      </c>
      <c r="V10" s="264">
        <v>44135</v>
      </c>
      <c r="W10" s="347">
        <f t="shared" ref="W10:W28" si="12">X10-V10</f>
        <v>30</v>
      </c>
      <c r="X10" s="264">
        <v>44165</v>
      </c>
      <c r="Y10" s="348">
        <f t="shared" ref="Y10:Y28" si="13">Z10-X10</f>
        <v>31</v>
      </c>
      <c r="Z10" s="349">
        <v>44196</v>
      </c>
    </row>
    <row r="11" spans="1:32" s="35" customFormat="1" ht="21.95" customHeight="1" x14ac:dyDescent="0.25">
      <c r="A11" s="30">
        <v>2</v>
      </c>
      <c r="B11" s="264">
        <v>43830</v>
      </c>
      <c r="C11" s="347">
        <f t="shared" si="2"/>
        <v>31</v>
      </c>
      <c r="D11" s="264">
        <v>43861</v>
      </c>
      <c r="E11" s="347">
        <f t="shared" si="3"/>
        <v>28</v>
      </c>
      <c r="F11" s="264">
        <v>43889</v>
      </c>
      <c r="G11" s="347">
        <f t="shared" si="4"/>
        <v>32</v>
      </c>
      <c r="H11" s="264">
        <v>43921</v>
      </c>
      <c r="I11" s="347">
        <f t="shared" si="5"/>
        <v>30</v>
      </c>
      <c r="J11" s="264">
        <v>43951</v>
      </c>
      <c r="K11" s="347">
        <f t="shared" si="6"/>
        <v>31</v>
      </c>
      <c r="L11" s="264">
        <v>43982</v>
      </c>
      <c r="M11" s="347">
        <f t="shared" si="7"/>
        <v>30</v>
      </c>
      <c r="N11" s="264">
        <v>44012</v>
      </c>
      <c r="O11" s="347">
        <f t="shared" si="8"/>
        <v>31</v>
      </c>
      <c r="P11" s="264">
        <v>44043</v>
      </c>
      <c r="Q11" s="347">
        <f t="shared" si="9"/>
        <v>31</v>
      </c>
      <c r="R11" s="264">
        <v>44074</v>
      </c>
      <c r="S11" s="347">
        <f t="shared" si="10"/>
        <v>30</v>
      </c>
      <c r="T11" s="264">
        <v>44104</v>
      </c>
      <c r="U11" s="347">
        <f t="shared" si="11"/>
        <v>31</v>
      </c>
      <c r="V11" s="264">
        <v>44135</v>
      </c>
      <c r="W11" s="347">
        <f t="shared" si="12"/>
        <v>30</v>
      </c>
      <c r="X11" s="264">
        <v>44165</v>
      </c>
      <c r="Y11" s="348">
        <f t="shared" si="13"/>
        <v>31</v>
      </c>
      <c r="Z11" s="349">
        <v>44196</v>
      </c>
    </row>
    <row r="12" spans="1:32" s="35" customFormat="1" ht="21.95" customHeight="1" x14ac:dyDescent="0.25">
      <c r="A12" s="30">
        <v>3</v>
      </c>
      <c r="B12" s="264">
        <v>43830</v>
      </c>
      <c r="C12" s="347">
        <f t="shared" si="2"/>
        <v>31</v>
      </c>
      <c r="D12" s="264">
        <v>43861</v>
      </c>
      <c r="E12" s="347">
        <f t="shared" si="3"/>
        <v>28</v>
      </c>
      <c r="F12" s="264">
        <v>43889</v>
      </c>
      <c r="G12" s="347">
        <f t="shared" si="4"/>
        <v>32</v>
      </c>
      <c r="H12" s="264">
        <v>43921</v>
      </c>
      <c r="I12" s="347">
        <f t="shared" si="5"/>
        <v>30</v>
      </c>
      <c r="J12" s="264">
        <v>43951</v>
      </c>
      <c r="K12" s="347">
        <f t="shared" si="6"/>
        <v>31</v>
      </c>
      <c r="L12" s="264">
        <v>43982</v>
      </c>
      <c r="M12" s="347">
        <f t="shared" si="7"/>
        <v>30</v>
      </c>
      <c r="N12" s="264">
        <v>44012</v>
      </c>
      <c r="O12" s="347">
        <f t="shared" si="8"/>
        <v>31</v>
      </c>
      <c r="P12" s="264">
        <v>44043</v>
      </c>
      <c r="Q12" s="347">
        <f t="shared" si="9"/>
        <v>31</v>
      </c>
      <c r="R12" s="264">
        <v>44074</v>
      </c>
      <c r="S12" s="347">
        <f t="shared" si="10"/>
        <v>30</v>
      </c>
      <c r="T12" s="264">
        <v>44104</v>
      </c>
      <c r="U12" s="347">
        <f t="shared" si="11"/>
        <v>31</v>
      </c>
      <c r="V12" s="264">
        <v>44135</v>
      </c>
      <c r="W12" s="347">
        <f t="shared" si="12"/>
        <v>30</v>
      </c>
      <c r="X12" s="264">
        <v>44165</v>
      </c>
      <c r="Y12" s="348">
        <f t="shared" si="13"/>
        <v>31</v>
      </c>
      <c r="Z12" s="349">
        <v>44196</v>
      </c>
    </row>
    <row r="13" spans="1:32" s="35" customFormat="1" ht="21.95" customHeight="1" x14ac:dyDescent="0.25">
      <c r="A13" s="30">
        <v>4</v>
      </c>
      <c r="B13" s="264">
        <v>43830</v>
      </c>
      <c r="C13" s="347">
        <f t="shared" si="2"/>
        <v>31</v>
      </c>
      <c r="D13" s="264">
        <v>43861</v>
      </c>
      <c r="E13" s="347">
        <f t="shared" si="3"/>
        <v>28</v>
      </c>
      <c r="F13" s="264">
        <v>43889</v>
      </c>
      <c r="G13" s="347">
        <f t="shared" si="4"/>
        <v>32</v>
      </c>
      <c r="H13" s="264">
        <v>43921</v>
      </c>
      <c r="I13" s="347">
        <f t="shared" si="5"/>
        <v>30</v>
      </c>
      <c r="J13" s="264">
        <v>43951</v>
      </c>
      <c r="K13" s="347">
        <f t="shared" si="6"/>
        <v>31</v>
      </c>
      <c r="L13" s="264">
        <v>43982</v>
      </c>
      <c r="M13" s="347">
        <f t="shared" si="7"/>
        <v>30</v>
      </c>
      <c r="N13" s="264">
        <v>44012</v>
      </c>
      <c r="O13" s="347">
        <f t="shared" si="8"/>
        <v>31</v>
      </c>
      <c r="P13" s="264">
        <v>44043</v>
      </c>
      <c r="Q13" s="347">
        <f t="shared" si="9"/>
        <v>31</v>
      </c>
      <c r="R13" s="264">
        <v>44074</v>
      </c>
      <c r="S13" s="347">
        <f t="shared" si="10"/>
        <v>30</v>
      </c>
      <c r="T13" s="264">
        <v>44104</v>
      </c>
      <c r="U13" s="347">
        <f t="shared" si="11"/>
        <v>31</v>
      </c>
      <c r="V13" s="264">
        <v>44135</v>
      </c>
      <c r="W13" s="347">
        <f t="shared" si="12"/>
        <v>30</v>
      </c>
      <c r="X13" s="264">
        <v>44165</v>
      </c>
      <c r="Y13" s="348">
        <f t="shared" si="13"/>
        <v>31</v>
      </c>
      <c r="Z13" s="349">
        <v>44196</v>
      </c>
    </row>
    <row r="14" spans="1:32" s="35" customFormat="1" ht="21.95" customHeight="1" x14ac:dyDescent="0.25">
      <c r="A14" s="30">
        <v>5</v>
      </c>
      <c r="B14" s="264">
        <v>43830</v>
      </c>
      <c r="C14" s="347">
        <f t="shared" si="2"/>
        <v>31</v>
      </c>
      <c r="D14" s="264">
        <v>43861</v>
      </c>
      <c r="E14" s="347">
        <f t="shared" si="3"/>
        <v>28</v>
      </c>
      <c r="F14" s="264">
        <v>43889</v>
      </c>
      <c r="G14" s="347">
        <f t="shared" si="4"/>
        <v>32</v>
      </c>
      <c r="H14" s="264">
        <v>43921</v>
      </c>
      <c r="I14" s="347">
        <f t="shared" si="5"/>
        <v>30</v>
      </c>
      <c r="J14" s="264">
        <v>43951</v>
      </c>
      <c r="K14" s="347">
        <f t="shared" si="6"/>
        <v>31</v>
      </c>
      <c r="L14" s="264">
        <v>43982</v>
      </c>
      <c r="M14" s="347">
        <f t="shared" si="7"/>
        <v>30</v>
      </c>
      <c r="N14" s="264">
        <v>44012</v>
      </c>
      <c r="O14" s="347">
        <f t="shared" si="8"/>
        <v>31</v>
      </c>
      <c r="P14" s="264">
        <v>44043</v>
      </c>
      <c r="Q14" s="347">
        <f t="shared" si="9"/>
        <v>31</v>
      </c>
      <c r="R14" s="264">
        <v>44074</v>
      </c>
      <c r="S14" s="347">
        <f t="shared" si="10"/>
        <v>30</v>
      </c>
      <c r="T14" s="264">
        <v>44104</v>
      </c>
      <c r="U14" s="347">
        <f t="shared" si="11"/>
        <v>31</v>
      </c>
      <c r="V14" s="264">
        <v>44135</v>
      </c>
      <c r="W14" s="347">
        <f t="shared" si="12"/>
        <v>30</v>
      </c>
      <c r="X14" s="264">
        <v>44165</v>
      </c>
      <c r="Y14" s="348">
        <f t="shared" si="13"/>
        <v>31</v>
      </c>
      <c r="Z14" s="349">
        <v>44196</v>
      </c>
    </row>
    <row r="15" spans="1:32" s="35" customFormat="1" ht="21.95" customHeight="1" x14ac:dyDescent="0.25">
      <c r="A15" s="30">
        <v>6</v>
      </c>
      <c r="B15" s="264">
        <v>43830</v>
      </c>
      <c r="C15" s="347">
        <f t="shared" si="2"/>
        <v>31</v>
      </c>
      <c r="D15" s="264">
        <v>43861</v>
      </c>
      <c r="E15" s="347">
        <f t="shared" si="3"/>
        <v>28</v>
      </c>
      <c r="F15" s="264">
        <v>43889</v>
      </c>
      <c r="G15" s="347">
        <f t="shared" si="4"/>
        <v>32</v>
      </c>
      <c r="H15" s="264">
        <v>43921</v>
      </c>
      <c r="I15" s="347">
        <f t="shared" si="5"/>
        <v>30</v>
      </c>
      <c r="J15" s="264">
        <v>43951</v>
      </c>
      <c r="K15" s="347">
        <f t="shared" si="6"/>
        <v>31</v>
      </c>
      <c r="L15" s="264">
        <v>43982</v>
      </c>
      <c r="M15" s="347">
        <f t="shared" si="7"/>
        <v>30</v>
      </c>
      <c r="N15" s="264">
        <v>44012</v>
      </c>
      <c r="O15" s="347">
        <f t="shared" si="8"/>
        <v>31</v>
      </c>
      <c r="P15" s="264">
        <v>44043</v>
      </c>
      <c r="Q15" s="347">
        <f t="shared" si="9"/>
        <v>31</v>
      </c>
      <c r="R15" s="264">
        <v>44074</v>
      </c>
      <c r="S15" s="347">
        <f t="shared" si="10"/>
        <v>30</v>
      </c>
      <c r="T15" s="264">
        <v>44104</v>
      </c>
      <c r="U15" s="347">
        <f t="shared" si="11"/>
        <v>31</v>
      </c>
      <c r="V15" s="264">
        <v>44135</v>
      </c>
      <c r="W15" s="347">
        <f t="shared" si="12"/>
        <v>30</v>
      </c>
      <c r="X15" s="264">
        <v>44165</v>
      </c>
      <c r="Y15" s="348">
        <f t="shared" si="13"/>
        <v>31</v>
      </c>
      <c r="Z15" s="349">
        <v>44196</v>
      </c>
    </row>
    <row r="16" spans="1:32" s="35" customFormat="1" ht="21.95" customHeight="1" x14ac:dyDescent="0.25">
      <c r="A16" s="30">
        <v>7</v>
      </c>
      <c r="B16" s="264">
        <v>43830</v>
      </c>
      <c r="C16" s="347">
        <f t="shared" si="2"/>
        <v>31</v>
      </c>
      <c r="D16" s="264">
        <v>43861</v>
      </c>
      <c r="E16" s="347">
        <f t="shared" si="3"/>
        <v>28</v>
      </c>
      <c r="F16" s="264">
        <v>43889</v>
      </c>
      <c r="G16" s="347">
        <f t="shared" si="4"/>
        <v>32</v>
      </c>
      <c r="H16" s="264">
        <v>43921</v>
      </c>
      <c r="I16" s="347">
        <f t="shared" si="5"/>
        <v>30</v>
      </c>
      <c r="J16" s="264">
        <v>43951</v>
      </c>
      <c r="K16" s="347">
        <f t="shared" si="6"/>
        <v>31</v>
      </c>
      <c r="L16" s="264">
        <v>43982</v>
      </c>
      <c r="M16" s="347">
        <f t="shared" si="7"/>
        <v>30</v>
      </c>
      <c r="N16" s="264">
        <v>44012</v>
      </c>
      <c r="O16" s="347">
        <f t="shared" si="8"/>
        <v>31</v>
      </c>
      <c r="P16" s="264">
        <v>44043</v>
      </c>
      <c r="Q16" s="347">
        <f t="shared" si="9"/>
        <v>31</v>
      </c>
      <c r="R16" s="264">
        <v>44074</v>
      </c>
      <c r="S16" s="347">
        <f t="shared" si="10"/>
        <v>30</v>
      </c>
      <c r="T16" s="264">
        <v>44104</v>
      </c>
      <c r="U16" s="347">
        <f t="shared" si="11"/>
        <v>31</v>
      </c>
      <c r="V16" s="264">
        <v>44135</v>
      </c>
      <c r="W16" s="347">
        <f t="shared" si="12"/>
        <v>30</v>
      </c>
      <c r="X16" s="264">
        <v>44165</v>
      </c>
      <c r="Y16" s="348">
        <f t="shared" si="13"/>
        <v>31</v>
      </c>
      <c r="Z16" s="349">
        <v>44196</v>
      </c>
    </row>
    <row r="17" spans="1:26" s="35" customFormat="1" ht="21.95" customHeight="1" x14ac:dyDescent="0.25">
      <c r="A17" s="30">
        <v>8</v>
      </c>
      <c r="B17" s="264">
        <v>43830</v>
      </c>
      <c r="C17" s="347">
        <f t="shared" si="2"/>
        <v>31</v>
      </c>
      <c r="D17" s="264">
        <v>43861</v>
      </c>
      <c r="E17" s="347">
        <f t="shared" si="3"/>
        <v>28</v>
      </c>
      <c r="F17" s="264">
        <v>43889</v>
      </c>
      <c r="G17" s="347">
        <f t="shared" si="4"/>
        <v>32</v>
      </c>
      <c r="H17" s="264">
        <v>43921</v>
      </c>
      <c r="I17" s="347">
        <f t="shared" si="5"/>
        <v>30</v>
      </c>
      <c r="J17" s="264">
        <v>43951</v>
      </c>
      <c r="K17" s="347">
        <f t="shared" si="6"/>
        <v>31</v>
      </c>
      <c r="L17" s="264">
        <v>43982</v>
      </c>
      <c r="M17" s="347">
        <f t="shared" si="7"/>
        <v>30</v>
      </c>
      <c r="N17" s="264">
        <v>44012</v>
      </c>
      <c r="O17" s="347">
        <f t="shared" si="8"/>
        <v>31</v>
      </c>
      <c r="P17" s="264">
        <v>44043</v>
      </c>
      <c r="Q17" s="347">
        <f t="shared" si="9"/>
        <v>31</v>
      </c>
      <c r="R17" s="264">
        <v>44074</v>
      </c>
      <c r="S17" s="347">
        <f t="shared" si="10"/>
        <v>30</v>
      </c>
      <c r="T17" s="264">
        <v>44104</v>
      </c>
      <c r="U17" s="347">
        <f t="shared" si="11"/>
        <v>31</v>
      </c>
      <c r="V17" s="264">
        <v>44135</v>
      </c>
      <c r="W17" s="347">
        <f t="shared" si="12"/>
        <v>30</v>
      </c>
      <c r="X17" s="264">
        <v>44165</v>
      </c>
      <c r="Y17" s="348">
        <f t="shared" si="13"/>
        <v>31</v>
      </c>
      <c r="Z17" s="349">
        <v>44196</v>
      </c>
    </row>
    <row r="18" spans="1:26" s="35" customFormat="1" ht="21.95" customHeight="1" x14ac:dyDescent="0.25">
      <c r="A18" s="30">
        <v>9</v>
      </c>
      <c r="B18" s="264">
        <v>43830</v>
      </c>
      <c r="C18" s="347">
        <f t="shared" si="2"/>
        <v>31</v>
      </c>
      <c r="D18" s="264">
        <v>43861</v>
      </c>
      <c r="E18" s="347">
        <f t="shared" si="3"/>
        <v>28</v>
      </c>
      <c r="F18" s="264">
        <v>43889</v>
      </c>
      <c r="G18" s="347">
        <f t="shared" si="4"/>
        <v>32</v>
      </c>
      <c r="H18" s="264">
        <v>43921</v>
      </c>
      <c r="I18" s="347">
        <f t="shared" si="5"/>
        <v>30</v>
      </c>
      <c r="J18" s="264">
        <v>43951</v>
      </c>
      <c r="K18" s="347">
        <f t="shared" si="6"/>
        <v>31</v>
      </c>
      <c r="L18" s="264">
        <v>43982</v>
      </c>
      <c r="M18" s="347">
        <f t="shared" si="7"/>
        <v>30</v>
      </c>
      <c r="N18" s="264">
        <v>44012</v>
      </c>
      <c r="O18" s="347">
        <f t="shared" si="8"/>
        <v>31</v>
      </c>
      <c r="P18" s="264">
        <v>44043</v>
      </c>
      <c r="Q18" s="347">
        <f t="shared" si="9"/>
        <v>31</v>
      </c>
      <c r="R18" s="264">
        <v>44074</v>
      </c>
      <c r="S18" s="347">
        <f t="shared" si="10"/>
        <v>30</v>
      </c>
      <c r="T18" s="264">
        <v>44104</v>
      </c>
      <c r="U18" s="347">
        <f t="shared" si="11"/>
        <v>31</v>
      </c>
      <c r="V18" s="264">
        <v>44135</v>
      </c>
      <c r="W18" s="347">
        <f t="shared" si="12"/>
        <v>30</v>
      </c>
      <c r="X18" s="264">
        <v>44165</v>
      </c>
      <c r="Y18" s="348">
        <f t="shared" si="13"/>
        <v>31</v>
      </c>
      <c r="Z18" s="349">
        <v>44196</v>
      </c>
    </row>
    <row r="19" spans="1:26" s="35" customFormat="1" ht="21.95" customHeight="1" x14ac:dyDescent="0.25">
      <c r="A19" s="30">
        <v>10</v>
      </c>
      <c r="B19" s="264">
        <v>43830</v>
      </c>
      <c r="C19" s="347">
        <f t="shared" si="2"/>
        <v>31</v>
      </c>
      <c r="D19" s="264">
        <v>43861</v>
      </c>
      <c r="E19" s="347">
        <f t="shared" si="3"/>
        <v>28</v>
      </c>
      <c r="F19" s="264">
        <v>43889</v>
      </c>
      <c r="G19" s="347">
        <f t="shared" si="4"/>
        <v>32</v>
      </c>
      <c r="H19" s="264">
        <v>43921</v>
      </c>
      <c r="I19" s="347">
        <f t="shared" si="5"/>
        <v>30</v>
      </c>
      <c r="J19" s="264">
        <v>43951</v>
      </c>
      <c r="K19" s="347">
        <f t="shared" si="6"/>
        <v>31</v>
      </c>
      <c r="L19" s="264">
        <v>43982</v>
      </c>
      <c r="M19" s="347">
        <f t="shared" si="7"/>
        <v>30</v>
      </c>
      <c r="N19" s="264">
        <v>44012</v>
      </c>
      <c r="O19" s="347">
        <f t="shared" si="8"/>
        <v>31</v>
      </c>
      <c r="P19" s="264">
        <v>44043</v>
      </c>
      <c r="Q19" s="347">
        <f t="shared" si="9"/>
        <v>31</v>
      </c>
      <c r="R19" s="264">
        <v>44074</v>
      </c>
      <c r="S19" s="347">
        <f t="shared" si="10"/>
        <v>30</v>
      </c>
      <c r="T19" s="264">
        <v>44104</v>
      </c>
      <c r="U19" s="347">
        <f t="shared" si="11"/>
        <v>31</v>
      </c>
      <c r="V19" s="264">
        <v>44135</v>
      </c>
      <c r="W19" s="347">
        <f t="shared" si="12"/>
        <v>30</v>
      </c>
      <c r="X19" s="264">
        <v>44165</v>
      </c>
      <c r="Y19" s="348">
        <f t="shared" si="13"/>
        <v>31</v>
      </c>
      <c r="Z19" s="349">
        <v>44196</v>
      </c>
    </row>
    <row r="20" spans="1:26" s="35" customFormat="1" ht="21.95" customHeight="1" x14ac:dyDescent="0.25">
      <c r="A20" s="30">
        <v>11</v>
      </c>
      <c r="B20" s="264">
        <v>43830</v>
      </c>
      <c r="C20" s="347">
        <f t="shared" si="2"/>
        <v>31</v>
      </c>
      <c r="D20" s="264">
        <v>43861</v>
      </c>
      <c r="E20" s="347">
        <f t="shared" si="3"/>
        <v>28</v>
      </c>
      <c r="F20" s="264">
        <v>43889</v>
      </c>
      <c r="G20" s="347">
        <f t="shared" si="4"/>
        <v>32</v>
      </c>
      <c r="H20" s="264">
        <v>43921</v>
      </c>
      <c r="I20" s="347">
        <f t="shared" si="5"/>
        <v>30</v>
      </c>
      <c r="J20" s="264">
        <v>43951</v>
      </c>
      <c r="K20" s="347">
        <f t="shared" si="6"/>
        <v>31</v>
      </c>
      <c r="L20" s="264">
        <v>43982</v>
      </c>
      <c r="M20" s="347">
        <f t="shared" si="7"/>
        <v>30</v>
      </c>
      <c r="N20" s="264">
        <v>44012</v>
      </c>
      <c r="O20" s="347">
        <f t="shared" si="8"/>
        <v>31</v>
      </c>
      <c r="P20" s="264">
        <v>44043</v>
      </c>
      <c r="Q20" s="347">
        <f t="shared" si="9"/>
        <v>31</v>
      </c>
      <c r="R20" s="264">
        <v>44074</v>
      </c>
      <c r="S20" s="347">
        <f t="shared" si="10"/>
        <v>30</v>
      </c>
      <c r="T20" s="264">
        <v>44104</v>
      </c>
      <c r="U20" s="347">
        <f t="shared" si="11"/>
        <v>31</v>
      </c>
      <c r="V20" s="264">
        <v>44135</v>
      </c>
      <c r="W20" s="347">
        <f t="shared" si="12"/>
        <v>30</v>
      </c>
      <c r="X20" s="264">
        <v>44165</v>
      </c>
      <c r="Y20" s="348">
        <f t="shared" si="13"/>
        <v>31</v>
      </c>
      <c r="Z20" s="349">
        <v>44196</v>
      </c>
    </row>
    <row r="21" spans="1:26" s="35" customFormat="1" ht="21.95" customHeight="1" x14ac:dyDescent="0.25">
      <c r="A21" s="30">
        <v>12</v>
      </c>
      <c r="B21" s="264">
        <v>43830</v>
      </c>
      <c r="C21" s="347">
        <f t="shared" si="2"/>
        <v>31</v>
      </c>
      <c r="D21" s="264">
        <v>43861</v>
      </c>
      <c r="E21" s="347">
        <f t="shared" si="3"/>
        <v>28</v>
      </c>
      <c r="F21" s="264">
        <v>43889</v>
      </c>
      <c r="G21" s="347">
        <f t="shared" si="4"/>
        <v>32</v>
      </c>
      <c r="H21" s="264">
        <v>43921</v>
      </c>
      <c r="I21" s="347">
        <f t="shared" si="5"/>
        <v>30</v>
      </c>
      <c r="J21" s="264">
        <v>43951</v>
      </c>
      <c r="K21" s="347">
        <f t="shared" si="6"/>
        <v>31</v>
      </c>
      <c r="L21" s="264">
        <v>43982</v>
      </c>
      <c r="M21" s="347">
        <f t="shared" si="7"/>
        <v>30</v>
      </c>
      <c r="N21" s="264">
        <v>44012</v>
      </c>
      <c r="O21" s="347">
        <f t="shared" si="8"/>
        <v>31</v>
      </c>
      <c r="P21" s="264">
        <v>44043</v>
      </c>
      <c r="Q21" s="347">
        <f t="shared" si="9"/>
        <v>31</v>
      </c>
      <c r="R21" s="264">
        <v>44074</v>
      </c>
      <c r="S21" s="347">
        <f t="shared" si="10"/>
        <v>30</v>
      </c>
      <c r="T21" s="264">
        <v>44104</v>
      </c>
      <c r="U21" s="347">
        <f t="shared" si="11"/>
        <v>31</v>
      </c>
      <c r="V21" s="264">
        <v>44135</v>
      </c>
      <c r="W21" s="347">
        <f t="shared" si="12"/>
        <v>30</v>
      </c>
      <c r="X21" s="264">
        <v>44165</v>
      </c>
      <c r="Y21" s="348">
        <f t="shared" si="13"/>
        <v>31</v>
      </c>
      <c r="Z21" s="349">
        <v>44196</v>
      </c>
    </row>
    <row r="22" spans="1:26" s="35" customFormat="1" ht="21.95" customHeight="1" x14ac:dyDescent="0.25">
      <c r="A22" s="30">
        <v>13</v>
      </c>
      <c r="B22" s="264">
        <v>43830</v>
      </c>
      <c r="C22" s="347">
        <f t="shared" si="2"/>
        <v>31</v>
      </c>
      <c r="D22" s="264">
        <v>43861</v>
      </c>
      <c r="E22" s="347">
        <f t="shared" si="3"/>
        <v>28</v>
      </c>
      <c r="F22" s="264">
        <v>43889</v>
      </c>
      <c r="G22" s="347">
        <f t="shared" si="4"/>
        <v>32</v>
      </c>
      <c r="H22" s="264">
        <v>43921</v>
      </c>
      <c r="I22" s="347">
        <f t="shared" si="5"/>
        <v>30</v>
      </c>
      <c r="J22" s="264">
        <v>43951</v>
      </c>
      <c r="K22" s="347">
        <f t="shared" si="6"/>
        <v>31</v>
      </c>
      <c r="L22" s="264">
        <v>43982</v>
      </c>
      <c r="M22" s="347">
        <f t="shared" si="7"/>
        <v>30</v>
      </c>
      <c r="N22" s="264">
        <v>44012</v>
      </c>
      <c r="O22" s="347">
        <f t="shared" si="8"/>
        <v>31</v>
      </c>
      <c r="P22" s="264">
        <v>44043</v>
      </c>
      <c r="Q22" s="347">
        <f t="shared" si="9"/>
        <v>31</v>
      </c>
      <c r="R22" s="264">
        <v>44074</v>
      </c>
      <c r="S22" s="347">
        <f t="shared" si="10"/>
        <v>30</v>
      </c>
      <c r="T22" s="264">
        <v>44104</v>
      </c>
      <c r="U22" s="347">
        <f t="shared" si="11"/>
        <v>31</v>
      </c>
      <c r="V22" s="264">
        <v>44135</v>
      </c>
      <c r="W22" s="347">
        <f t="shared" si="12"/>
        <v>30</v>
      </c>
      <c r="X22" s="264">
        <v>44165</v>
      </c>
      <c r="Y22" s="348">
        <f t="shared" si="13"/>
        <v>31</v>
      </c>
      <c r="Z22" s="349">
        <v>44196</v>
      </c>
    </row>
    <row r="23" spans="1:26" s="35" customFormat="1" ht="21.95" customHeight="1" x14ac:dyDescent="0.25">
      <c r="A23" s="30">
        <v>14</v>
      </c>
      <c r="B23" s="264">
        <v>43830</v>
      </c>
      <c r="C23" s="347">
        <f t="shared" si="2"/>
        <v>31</v>
      </c>
      <c r="D23" s="264">
        <v>43861</v>
      </c>
      <c r="E23" s="347">
        <f t="shared" si="3"/>
        <v>28</v>
      </c>
      <c r="F23" s="264">
        <v>43889</v>
      </c>
      <c r="G23" s="347">
        <f t="shared" si="4"/>
        <v>32</v>
      </c>
      <c r="H23" s="264">
        <v>43921</v>
      </c>
      <c r="I23" s="347">
        <f t="shared" si="5"/>
        <v>30</v>
      </c>
      <c r="J23" s="264">
        <v>43951</v>
      </c>
      <c r="K23" s="347">
        <f t="shared" si="6"/>
        <v>31</v>
      </c>
      <c r="L23" s="264">
        <v>43982</v>
      </c>
      <c r="M23" s="347">
        <f t="shared" si="7"/>
        <v>30</v>
      </c>
      <c r="N23" s="264">
        <v>44012</v>
      </c>
      <c r="O23" s="347">
        <f t="shared" si="8"/>
        <v>31</v>
      </c>
      <c r="P23" s="264">
        <v>44043</v>
      </c>
      <c r="Q23" s="347">
        <f t="shared" si="9"/>
        <v>31</v>
      </c>
      <c r="R23" s="264">
        <v>44074</v>
      </c>
      <c r="S23" s="347">
        <f t="shared" si="10"/>
        <v>30</v>
      </c>
      <c r="T23" s="264">
        <v>44104</v>
      </c>
      <c r="U23" s="347">
        <f t="shared" si="11"/>
        <v>31</v>
      </c>
      <c r="V23" s="264">
        <v>44135</v>
      </c>
      <c r="W23" s="347">
        <f t="shared" si="12"/>
        <v>30</v>
      </c>
      <c r="X23" s="264">
        <v>44165</v>
      </c>
      <c r="Y23" s="348">
        <f t="shared" si="13"/>
        <v>31</v>
      </c>
      <c r="Z23" s="349">
        <v>44196</v>
      </c>
    </row>
    <row r="24" spans="1:26" s="35" customFormat="1" ht="21.95" customHeight="1" x14ac:dyDescent="0.25">
      <c r="A24" s="30">
        <v>15</v>
      </c>
      <c r="B24" s="264">
        <v>43830</v>
      </c>
      <c r="C24" s="347">
        <f t="shared" si="2"/>
        <v>31</v>
      </c>
      <c r="D24" s="264">
        <v>43861</v>
      </c>
      <c r="E24" s="347">
        <f t="shared" si="3"/>
        <v>28</v>
      </c>
      <c r="F24" s="264">
        <v>43889</v>
      </c>
      <c r="G24" s="347">
        <f t="shared" si="4"/>
        <v>32</v>
      </c>
      <c r="H24" s="264">
        <v>43921</v>
      </c>
      <c r="I24" s="347">
        <f t="shared" si="5"/>
        <v>30</v>
      </c>
      <c r="J24" s="264">
        <v>43951</v>
      </c>
      <c r="K24" s="347">
        <f t="shared" si="6"/>
        <v>31</v>
      </c>
      <c r="L24" s="264">
        <v>43982</v>
      </c>
      <c r="M24" s="347">
        <f t="shared" si="7"/>
        <v>30</v>
      </c>
      <c r="N24" s="264">
        <v>44012</v>
      </c>
      <c r="O24" s="347">
        <f t="shared" si="8"/>
        <v>31</v>
      </c>
      <c r="P24" s="264">
        <v>44043</v>
      </c>
      <c r="Q24" s="347">
        <f t="shared" si="9"/>
        <v>31</v>
      </c>
      <c r="R24" s="264">
        <v>44074</v>
      </c>
      <c r="S24" s="347">
        <f t="shared" si="10"/>
        <v>30</v>
      </c>
      <c r="T24" s="264">
        <v>44104</v>
      </c>
      <c r="U24" s="347">
        <f t="shared" si="11"/>
        <v>31</v>
      </c>
      <c r="V24" s="264">
        <v>44135</v>
      </c>
      <c r="W24" s="347">
        <f t="shared" si="12"/>
        <v>30</v>
      </c>
      <c r="X24" s="264">
        <v>44165</v>
      </c>
      <c r="Y24" s="348">
        <f t="shared" si="13"/>
        <v>31</v>
      </c>
      <c r="Z24" s="349">
        <v>44196</v>
      </c>
    </row>
    <row r="25" spans="1:26" s="35" customFormat="1" ht="21.95" customHeight="1" x14ac:dyDescent="0.25">
      <c r="A25" s="30">
        <v>16</v>
      </c>
      <c r="B25" s="264">
        <v>43830</v>
      </c>
      <c r="C25" s="347">
        <f t="shared" si="2"/>
        <v>31</v>
      </c>
      <c r="D25" s="264">
        <v>43861</v>
      </c>
      <c r="E25" s="347">
        <f t="shared" si="3"/>
        <v>28</v>
      </c>
      <c r="F25" s="264">
        <v>43889</v>
      </c>
      <c r="G25" s="347">
        <f t="shared" si="4"/>
        <v>32</v>
      </c>
      <c r="H25" s="264">
        <v>43921</v>
      </c>
      <c r="I25" s="347">
        <f t="shared" si="5"/>
        <v>30</v>
      </c>
      <c r="J25" s="264">
        <v>43951</v>
      </c>
      <c r="K25" s="347">
        <f t="shared" si="6"/>
        <v>31</v>
      </c>
      <c r="L25" s="264">
        <v>43982</v>
      </c>
      <c r="M25" s="347">
        <f t="shared" si="7"/>
        <v>30</v>
      </c>
      <c r="N25" s="264">
        <v>44012</v>
      </c>
      <c r="O25" s="347">
        <f t="shared" si="8"/>
        <v>31</v>
      </c>
      <c r="P25" s="264">
        <v>44043</v>
      </c>
      <c r="Q25" s="347">
        <f t="shared" si="9"/>
        <v>31</v>
      </c>
      <c r="R25" s="264">
        <v>44074</v>
      </c>
      <c r="S25" s="347">
        <f t="shared" si="10"/>
        <v>30</v>
      </c>
      <c r="T25" s="264">
        <v>44104</v>
      </c>
      <c r="U25" s="347">
        <f t="shared" si="11"/>
        <v>31</v>
      </c>
      <c r="V25" s="264">
        <v>44135</v>
      </c>
      <c r="W25" s="347">
        <f t="shared" si="12"/>
        <v>30</v>
      </c>
      <c r="X25" s="264">
        <v>44165</v>
      </c>
      <c r="Y25" s="348">
        <f t="shared" si="13"/>
        <v>31</v>
      </c>
      <c r="Z25" s="349">
        <v>44196</v>
      </c>
    </row>
    <row r="26" spans="1:26" s="35" customFormat="1" ht="21.95" customHeight="1" x14ac:dyDescent="0.25">
      <c r="A26" s="30">
        <v>17</v>
      </c>
      <c r="B26" s="264">
        <v>43830</v>
      </c>
      <c r="C26" s="347">
        <f t="shared" si="2"/>
        <v>31</v>
      </c>
      <c r="D26" s="264">
        <v>43861</v>
      </c>
      <c r="E26" s="347">
        <f t="shared" si="3"/>
        <v>28</v>
      </c>
      <c r="F26" s="264">
        <v>43889</v>
      </c>
      <c r="G26" s="347">
        <f t="shared" si="4"/>
        <v>32</v>
      </c>
      <c r="H26" s="264">
        <v>43921</v>
      </c>
      <c r="I26" s="347">
        <f t="shared" si="5"/>
        <v>30</v>
      </c>
      <c r="J26" s="264">
        <v>43951</v>
      </c>
      <c r="K26" s="347">
        <f t="shared" si="6"/>
        <v>31</v>
      </c>
      <c r="L26" s="264">
        <v>43982</v>
      </c>
      <c r="M26" s="347">
        <f t="shared" si="7"/>
        <v>30</v>
      </c>
      <c r="N26" s="264">
        <v>44012</v>
      </c>
      <c r="O26" s="347">
        <f t="shared" si="8"/>
        <v>31</v>
      </c>
      <c r="P26" s="264">
        <v>44043</v>
      </c>
      <c r="Q26" s="347">
        <f t="shared" si="9"/>
        <v>31</v>
      </c>
      <c r="R26" s="264">
        <v>44074</v>
      </c>
      <c r="S26" s="347">
        <f t="shared" si="10"/>
        <v>30</v>
      </c>
      <c r="T26" s="264">
        <v>44104</v>
      </c>
      <c r="U26" s="347">
        <f t="shared" si="11"/>
        <v>31</v>
      </c>
      <c r="V26" s="264">
        <v>44135</v>
      </c>
      <c r="W26" s="347">
        <f t="shared" si="12"/>
        <v>30</v>
      </c>
      <c r="X26" s="264">
        <v>44165</v>
      </c>
      <c r="Y26" s="348">
        <f t="shared" si="13"/>
        <v>31</v>
      </c>
      <c r="Z26" s="349">
        <v>44196</v>
      </c>
    </row>
    <row r="27" spans="1:26" s="35" customFormat="1" ht="21.95" customHeight="1" x14ac:dyDescent="0.25">
      <c r="A27" s="30">
        <v>18</v>
      </c>
      <c r="B27" s="264">
        <v>43830</v>
      </c>
      <c r="C27" s="347">
        <f t="shared" si="2"/>
        <v>31</v>
      </c>
      <c r="D27" s="264">
        <v>43861</v>
      </c>
      <c r="E27" s="347">
        <f t="shared" si="3"/>
        <v>28</v>
      </c>
      <c r="F27" s="264">
        <v>43889</v>
      </c>
      <c r="G27" s="347">
        <f t="shared" si="4"/>
        <v>32</v>
      </c>
      <c r="H27" s="264">
        <v>43921</v>
      </c>
      <c r="I27" s="347">
        <f t="shared" si="5"/>
        <v>30</v>
      </c>
      <c r="J27" s="264">
        <v>43951</v>
      </c>
      <c r="K27" s="347">
        <f t="shared" si="6"/>
        <v>31</v>
      </c>
      <c r="L27" s="264">
        <v>43982</v>
      </c>
      <c r="M27" s="347">
        <f t="shared" si="7"/>
        <v>30</v>
      </c>
      <c r="N27" s="264">
        <v>44012</v>
      </c>
      <c r="O27" s="347">
        <f t="shared" si="8"/>
        <v>31</v>
      </c>
      <c r="P27" s="264">
        <v>44043</v>
      </c>
      <c r="Q27" s="347">
        <f t="shared" si="9"/>
        <v>31</v>
      </c>
      <c r="R27" s="264">
        <v>44074</v>
      </c>
      <c r="S27" s="347">
        <f t="shared" si="10"/>
        <v>30</v>
      </c>
      <c r="T27" s="264">
        <v>44104</v>
      </c>
      <c r="U27" s="347">
        <f t="shared" si="11"/>
        <v>31</v>
      </c>
      <c r="V27" s="264">
        <v>44135</v>
      </c>
      <c r="W27" s="347">
        <f t="shared" si="12"/>
        <v>30</v>
      </c>
      <c r="X27" s="264">
        <v>44165</v>
      </c>
      <c r="Y27" s="348">
        <f t="shared" si="13"/>
        <v>31</v>
      </c>
      <c r="Z27" s="349">
        <v>44196</v>
      </c>
    </row>
    <row r="28" spans="1:26" s="35" customFormat="1" ht="21.95" customHeight="1" x14ac:dyDescent="0.25">
      <c r="A28" s="30">
        <v>19</v>
      </c>
      <c r="B28" s="264">
        <v>43830</v>
      </c>
      <c r="C28" s="347">
        <f t="shared" si="2"/>
        <v>31</v>
      </c>
      <c r="D28" s="264">
        <v>43861</v>
      </c>
      <c r="E28" s="347">
        <f t="shared" si="3"/>
        <v>28</v>
      </c>
      <c r="F28" s="264">
        <v>43889</v>
      </c>
      <c r="G28" s="347">
        <f t="shared" si="4"/>
        <v>32</v>
      </c>
      <c r="H28" s="264">
        <v>43921</v>
      </c>
      <c r="I28" s="347">
        <f t="shared" si="5"/>
        <v>30</v>
      </c>
      <c r="J28" s="264">
        <v>43951</v>
      </c>
      <c r="K28" s="347">
        <f t="shared" si="6"/>
        <v>31</v>
      </c>
      <c r="L28" s="264">
        <v>43982</v>
      </c>
      <c r="M28" s="347">
        <f t="shared" si="7"/>
        <v>30</v>
      </c>
      <c r="N28" s="264">
        <v>44012</v>
      </c>
      <c r="O28" s="347">
        <f t="shared" si="8"/>
        <v>31</v>
      </c>
      <c r="P28" s="264">
        <v>44043</v>
      </c>
      <c r="Q28" s="347">
        <f t="shared" si="9"/>
        <v>31</v>
      </c>
      <c r="R28" s="264">
        <v>44074</v>
      </c>
      <c r="S28" s="347">
        <f t="shared" si="10"/>
        <v>30</v>
      </c>
      <c r="T28" s="264">
        <v>44104</v>
      </c>
      <c r="U28" s="347">
        <f t="shared" si="11"/>
        <v>31</v>
      </c>
      <c r="V28" s="264">
        <v>44135</v>
      </c>
      <c r="W28" s="347">
        <f t="shared" si="12"/>
        <v>30</v>
      </c>
      <c r="X28" s="264">
        <v>44165</v>
      </c>
      <c r="Y28" s="348">
        <f t="shared" si="13"/>
        <v>31</v>
      </c>
      <c r="Z28" s="349">
        <v>44196</v>
      </c>
    </row>
    <row r="29" spans="1:26" s="35" customFormat="1" ht="21.95" customHeight="1" x14ac:dyDescent="0.25">
      <c r="A29" s="30"/>
    </row>
    <row r="30" spans="1:26" ht="21.95" customHeight="1" x14ac:dyDescent="0.2">
      <c r="B30" s="44"/>
    </row>
    <row r="31" spans="1:26" ht="15" customHeight="1" x14ac:dyDescent="0.2">
      <c r="B31" s="44"/>
    </row>
    <row r="32" spans="1:26" ht="15" customHeight="1" x14ac:dyDescent="0.2">
      <c r="B32" s="44"/>
    </row>
    <row r="33" spans="2:2" ht="15" hidden="1" customHeight="1" x14ac:dyDescent="0.2">
      <c r="B33" s="44"/>
    </row>
    <row r="34" spans="2:2" ht="15" hidden="1" customHeight="1" x14ac:dyDescent="0.2">
      <c r="B34" s="44"/>
    </row>
    <row r="35" spans="2:2" ht="15" hidden="1" customHeight="1" x14ac:dyDescent="0.2">
      <c r="B35" s="44"/>
    </row>
    <row r="36" spans="2:2" ht="15" hidden="1" customHeight="1" x14ac:dyDescent="0.2">
      <c r="B36" s="44"/>
    </row>
    <row r="37" spans="2:2" ht="15" hidden="1" customHeight="1" x14ac:dyDescent="0.2">
      <c r="B37" s="44"/>
    </row>
    <row r="38" spans="2:2" ht="15" hidden="1" customHeight="1" x14ac:dyDescent="0.2">
      <c r="B38" s="44"/>
    </row>
    <row r="39" spans="2:2" ht="15" hidden="1" customHeight="1" x14ac:dyDescent="0.2">
      <c r="B39" s="44"/>
    </row>
    <row r="40" spans="2:2" hidden="1" x14ac:dyDescent="0.2">
      <c r="B40" s="44"/>
    </row>
    <row r="41" spans="2:2" hidden="1" x14ac:dyDescent="0.2">
      <c r="B41" s="44"/>
    </row>
    <row r="42" spans="2:2" hidden="1" x14ac:dyDescent="0.2">
      <c r="B42" s="44"/>
    </row>
    <row r="43" spans="2:2" hidden="1" x14ac:dyDescent="0.2">
      <c r="B43" s="44"/>
    </row>
    <row r="44" spans="2:2" hidden="1" x14ac:dyDescent="0.2">
      <c r="B44" s="44"/>
    </row>
    <row r="45" spans="2:2" hidden="1" x14ac:dyDescent="0.2">
      <c r="B45" s="44"/>
    </row>
    <row r="46" spans="2:2" hidden="1" x14ac:dyDescent="0.2">
      <c r="B46" s="44"/>
    </row>
    <row r="47" spans="2:2" hidden="1" x14ac:dyDescent="0.2">
      <c r="B47" s="44"/>
    </row>
    <row r="48" spans="2: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">
    <mergeCell ref="AC7:AF9"/>
  </mergeCells>
  <conditionalFormatting sqref="U14 T15:T249">
    <cfRule type="cellIs" dxfId="0" priority="1" operator="greaterThan">
      <formula>4</formula>
    </cfRule>
  </conditionalFormatting>
  <pageMargins left="0.45" right="0.45" top="0.75" bottom="0.5" header="0.3" footer="0.3"/>
  <pageSetup scale="38" orientation="landscape" horizontalDpi="72" verticalDpi="7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AF31"/>
  <sheetViews>
    <sheetView topLeftCell="A20" zoomScale="85" zoomScaleNormal="85" workbookViewId="0">
      <selection activeCell="A30" sqref="A30:XFD505"/>
    </sheetView>
  </sheetViews>
  <sheetFormatPr defaultColWidth="12.7109375" defaultRowHeight="15" x14ac:dyDescent="0.2"/>
  <cols>
    <col min="1" max="1" width="12.7109375" style="30"/>
    <col min="2" max="2" width="12.7109375" style="30" customWidth="1"/>
    <col min="3" max="3" width="7.7109375" style="30" bestFit="1" customWidth="1"/>
    <col min="4" max="9" width="12.7109375" style="30" customWidth="1"/>
    <col min="10" max="10" width="16.85546875" style="30" bestFit="1" customWidth="1"/>
    <col min="11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D5" si="1">C4</f>
        <v>0</v>
      </c>
      <c r="C5" s="35" t="str">
        <f t="shared" si="1"/>
        <v>22020</v>
      </c>
      <c r="D5" s="35">
        <f t="shared" si="1"/>
        <v>0</v>
      </c>
      <c r="E5" s="340">
        <v>32020</v>
      </c>
      <c r="F5" s="35">
        <f>G4</f>
        <v>0</v>
      </c>
      <c r="G5" s="340">
        <v>42020</v>
      </c>
      <c r="H5" s="35">
        <f>I4</f>
        <v>0</v>
      </c>
      <c r="I5" s="340">
        <v>52020</v>
      </c>
      <c r="J5" s="35">
        <f>K4</f>
        <v>0</v>
      </c>
      <c r="K5" s="340">
        <v>6020</v>
      </c>
      <c r="L5" s="35">
        <f>M4</f>
        <v>0</v>
      </c>
      <c r="M5" s="340">
        <v>7020</v>
      </c>
      <c r="N5" s="35">
        <f>O4</f>
        <v>0</v>
      </c>
      <c r="O5" s="340">
        <v>8020</v>
      </c>
      <c r="P5" s="35">
        <f>Q4</f>
        <v>0</v>
      </c>
      <c r="Q5" s="340">
        <v>9020</v>
      </c>
      <c r="R5" s="35">
        <f>S4</f>
        <v>0</v>
      </c>
      <c r="S5" s="340">
        <v>10020</v>
      </c>
      <c r="T5" s="35">
        <f>U4</f>
        <v>0</v>
      </c>
      <c r="U5" s="340">
        <v>11020</v>
      </c>
      <c r="V5" s="35">
        <f>W4</f>
        <v>0</v>
      </c>
      <c r="W5" s="340">
        <v>122020</v>
      </c>
      <c r="X5" s="35">
        <f>Y4</f>
        <v>0</v>
      </c>
      <c r="Y5" s="340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42" t="s">
        <v>46</v>
      </c>
      <c r="C7" s="342"/>
      <c r="D7" s="342" t="s">
        <v>47</v>
      </c>
      <c r="E7" s="342"/>
      <c r="F7" s="342" t="s">
        <v>48</v>
      </c>
      <c r="G7" s="342"/>
      <c r="H7" s="342" t="s">
        <v>49</v>
      </c>
      <c r="I7" s="342"/>
      <c r="J7" s="342" t="s">
        <v>50</v>
      </c>
      <c r="K7" s="342"/>
      <c r="L7" s="342" t="s">
        <v>216</v>
      </c>
      <c r="M7" s="342"/>
      <c r="N7" s="342" t="s">
        <v>217</v>
      </c>
      <c r="O7" s="342"/>
      <c r="P7" s="342" t="s">
        <v>51</v>
      </c>
      <c r="Q7" s="342"/>
      <c r="R7" s="342" t="s">
        <v>279</v>
      </c>
      <c r="S7" s="342"/>
      <c r="T7" s="342" t="s">
        <v>52</v>
      </c>
      <c r="U7" s="342"/>
      <c r="V7" s="342" t="s">
        <v>53</v>
      </c>
      <c r="W7" s="342"/>
      <c r="X7" s="342" t="s">
        <v>280</v>
      </c>
      <c r="Y7" s="343"/>
      <c r="Z7" s="343" t="s">
        <v>46</v>
      </c>
      <c r="AA7" s="215" t="s">
        <v>187</v>
      </c>
      <c r="AC7" s="404" t="s">
        <v>186</v>
      </c>
      <c r="AD7" s="404"/>
      <c r="AE7" s="404"/>
      <c r="AF7" s="404"/>
    </row>
    <row r="8" spans="1:32" s="35" customFormat="1" ht="21.95" customHeight="1" x14ac:dyDescent="0.25">
      <c r="A8" s="41"/>
      <c r="B8" s="350">
        <v>2020</v>
      </c>
      <c r="C8" s="350"/>
      <c r="D8" s="350">
        <v>2020</v>
      </c>
      <c r="E8" s="350"/>
      <c r="F8" s="350">
        <v>2020</v>
      </c>
      <c r="G8" s="350"/>
      <c r="H8" s="350">
        <v>2020</v>
      </c>
      <c r="I8" s="350"/>
      <c r="J8" s="350">
        <v>2020</v>
      </c>
      <c r="K8" s="350"/>
      <c r="L8" s="350">
        <v>2020</v>
      </c>
      <c r="M8" s="350"/>
      <c r="N8" s="350">
        <v>2020</v>
      </c>
      <c r="O8" s="350"/>
      <c r="P8" s="350">
        <v>2020</v>
      </c>
      <c r="Q8" s="350"/>
      <c r="R8" s="350">
        <v>2020</v>
      </c>
      <c r="S8" s="350"/>
      <c r="T8" s="350">
        <v>2020</v>
      </c>
      <c r="U8" s="350"/>
      <c r="V8" s="350">
        <v>2020</v>
      </c>
      <c r="W8" s="350"/>
      <c r="X8" s="350">
        <v>2020</v>
      </c>
      <c r="Y8" s="351"/>
      <c r="Z8" s="351">
        <v>2021</v>
      </c>
      <c r="AC8" s="404"/>
      <c r="AD8" s="404"/>
      <c r="AE8" s="404"/>
      <c r="AF8" s="404"/>
    </row>
    <row r="9" spans="1:32" s="35" customFormat="1" ht="21.95" customHeight="1" x14ac:dyDescent="0.25">
      <c r="A9" s="42" t="s">
        <v>44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352"/>
      <c r="Z9" s="352"/>
      <c r="AC9" s="404"/>
      <c r="AD9" s="404"/>
      <c r="AE9" s="404"/>
      <c r="AF9" s="404"/>
    </row>
    <row r="10" spans="1:32" s="35" customFormat="1" ht="21.95" customHeight="1" x14ac:dyDescent="0.25">
      <c r="A10" s="30">
        <v>1</v>
      </c>
      <c r="B10" s="265">
        <v>43825</v>
      </c>
      <c r="C10" s="347">
        <f t="shared" ref="C10:C28" si="2">D10-B10</f>
        <v>31</v>
      </c>
      <c r="D10" s="265">
        <v>43856</v>
      </c>
      <c r="E10" s="347">
        <f t="shared" ref="E10:E28" si="3">F10-D10</f>
        <v>28</v>
      </c>
      <c r="F10" s="265">
        <v>43884</v>
      </c>
      <c r="G10" s="347">
        <f t="shared" ref="G10:G28" si="4">H10-F10</f>
        <v>32</v>
      </c>
      <c r="H10" s="265">
        <v>43916</v>
      </c>
      <c r="I10" s="347">
        <f t="shared" ref="I10:I28" si="5">J10-H10</f>
        <v>30</v>
      </c>
      <c r="J10" s="265">
        <v>43946</v>
      </c>
      <c r="K10" s="347">
        <f t="shared" ref="K10:K28" si="6">L10-J10</f>
        <v>31</v>
      </c>
      <c r="L10" s="265">
        <v>43977</v>
      </c>
      <c r="M10" s="347">
        <f t="shared" ref="M10:M28" si="7">N10-L10</f>
        <v>30</v>
      </c>
      <c r="N10" s="265">
        <v>44007</v>
      </c>
      <c r="O10" s="347">
        <f t="shared" ref="O10:O28" si="8">P10-N10</f>
        <v>31</v>
      </c>
      <c r="P10" s="265">
        <v>44038</v>
      </c>
      <c r="Q10" s="347">
        <f t="shared" ref="Q10:Q28" si="9">R10-P10</f>
        <v>31</v>
      </c>
      <c r="R10" s="265">
        <v>44069</v>
      </c>
      <c r="S10" s="347">
        <f t="shared" ref="S10:S28" si="10">T10-R10</f>
        <v>30</v>
      </c>
      <c r="T10" s="265">
        <v>44099</v>
      </c>
      <c r="U10" s="347">
        <f t="shared" ref="U10:U28" si="11">V10-T10</f>
        <v>31</v>
      </c>
      <c r="V10" s="265">
        <v>44130</v>
      </c>
      <c r="W10" s="347">
        <f t="shared" ref="W10:W28" si="12">X10-V10</f>
        <v>30</v>
      </c>
      <c r="X10" s="265">
        <v>44160</v>
      </c>
      <c r="Y10" s="348">
        <f t="shared" ref="Y10:Y28" si="13">Z10-X10</f>
        <v>31</v>
      </c>
      <c r="Z10" s="353">
        <v>44191</v>
      </c>
    </row>
    <row r="11" spans="1:32" s="35" customFormat="1" ht="21.95" customHeight="1" x14ac:dyDescent="0.25">
      <c r="A11" s="30">
        <v>2</v>
      </c>
      <c r="B11" s="265">
        <v>43825</v>
      </c>
      <c r="C11" s="347">
        <f t="shared" si="2"/>
        <v>31</v>
      </c>
      <c r="D11" s="265">
        <v>43856</v>
      </c>
      <c r="E11" s="347">
        <f t="shared" si="3"/>
        <v>28</v>
      </c>
      <c r="F11" s="265">
        <v>43884</v>
      </c>
      <c r="G11" s="347">
        <f t="shared" si="4"/>
        <v>32</v>
      </c>
      <c r="H11" s="265">
        <v>43916</v>
      </c>
      <c r="I11" s="347">
        <f t="shared" si="5"/>
        <v>30</v>
      </c>
      <c r="J11" s="265">
        <v>43946</v>
      </c>
      <c r="K11" s="347">
        <f t="shared" si="6"/>
        <v>31</v>
      </c>
      <c r="L11" s="265">
        <v>43977</v>
      </c>
      <c r="M11" s="347">
        <f t="shared" si="7"/>
        <v>30</v>
      </c>
      <c r="N11" s="265">
        <v>44007</v>
      </c>
      <c r="O11" s="347">
        <f t="shared" si="8"/>
        <v>31</v>
      </c>
      <c r="P11" s="265">
        <v>44038</v>
      </c>
      <c r="Q11" s="347">
        <f t="shared" si="9"/>
        <v>31</v>
      </c>
      <c r="R11" s="265">
        <v>44069</v>
      </c>
      <c r="S11" s="347">
        <f t="shared" si="10"/>
        <v>30</v>
      </c>
      <c r="T11" s="265">
        <v>44099</v>
      </c>
      <c r="U11" s="347">
        <f t="shared" si="11"/>
        <v>31</v>
      </c>
      <c r="V11" s="265">
        <v>44130</v>
      </c>
      <c r="W11" s="347">
        <f t="shared" si="12"/>
        <v>30</v>
      </c>
      <c r="X11" s="265">
        <v>44160</v>
      </c>
      <c r="Y11" s="348">
        <f t="shared" si="13"/>
        <v>31</v>
      </c>
      <c r="Z11" s="353">
        <v>44191</v>
      </c>
    </row>
    <row r="12" spans="1:32" s="35" customFormat="1" ht="21.95" customHeight="1" x14ac:dyDescent="0.25">
      <c r="A12" s="30">
        <v>3</v>
      </c>
      <c r="B12" s="265">
        <v>43825</v>
      </c>
      <c r="C12" s="347">
        <f t="shared" si="2"/>
        <v>31</v>
      </c>
      <c r="D12" s="265">
        <v>43856</v>
      </c>
      <c r="E12" s="347">
        <f t="shared" si="3"/>
        <v>28</v>
      </c>
      <c r="F12" s="265">
        <v>43884</v>
      </c>
      <c r="G12" s="347">
        <f t="shared" si="4"/>
        <v>32</v>
      </c>
      <c r="H12" s="265">
        <v>43916</v>
      </c>
      <c r="I12" s="347">
        <f t="shared" si="5"/>
        <v>30</v>
      </c>
      <c r="J12" s="265">
        <v>43946</v>
      </c>
      <c r="K12" s="347">
        <f t="shared" si="6"/>
        <v>31</v>
      </c>
      <c r="L12" s="265">
        <v>43977</v>
      </c>
      <c r="M12" s="347">
        <f t="shared" si="7"/>
        <v>30</v>
      </c>
      <c r="N12" s="265">
        <v>44007</v>
      </c>
      <c r="O12" s="347">
        <f t="shared" si="8"/>
        <v>31</v>
      </c>
      <c r="P12" s="265">
        <v>44038</v>
      </c>
      <c r="Q12" s="347">
        <f t="shared" si="9"/>
        <v>31</v>
      </c>
      <c r="R12" s="265">
        <v>44069</v>
      </c>
      <c r="S12" s="347">
        <f t="shared" si="10"/>
        <v>30</v>
      </c>
      <c r="T12" s="265">
        <v>44099</v>
      </c>
      <c r="U12" s="347">
        <f t="shared" si="11"/>
        <v>31</v>
      </c>
      <c r="V12" s="265">
        <v>44130</v>
      </c>
      <c r="W12" s="347">
        <f t="shared" si="12"/>
        <v>30</v>
      </c>
      <c r="X12" s="265">
        <v>44160</v>
      </c>
      <c r="Y12" s="348">
        <f t="shared" si="13"/>
        <v>31</v>
      </c>
      <c r="Z12" s="353">
        <v>44191</v>
      </c>
    </row>
    <row r="13" spans="1:32" s="35" customFormat="1" ht="21.95" customHeight="1" x14ac:dyDescent="0.25">
      <c r="A13" s="30">
        <v>4</v>
      </c>
      <c r="B13" s="265">
        <v>43825</v>
      </c>
      <c r="C13" s="347">
        <f t="shared" si="2"/>
        <v>31</v>
      </c>
      <c r="D13" s="265">
        <v>43856</v>
      </c>
      <c r="E13" s="347">
        <f t="shared" si="3"/>
        <v>28</v>
      </c>
      <c r="F13" s="265">
        <v>43884</v>
      </c>
      <c r="G13" s="347">
        <f t="shared" si="4"/>
        <v>32</v>
      </c>
      <c r="H13" s="265">
        <v>43916</v>
      </c>
      <c r="I13" s="347">
        <f t="shared" si="5"/>
        <v>30</v>
      </c>
      <c r="J13" s="265">
        <v>43946</v>
      </c>
      <c r="K13" s="347">
        <f t="shared" si="6"/>
        <v>31</v>
      </c>
      <c r="L13" s="265">
        <v>43977</v>
      </c>
      <c r="M13" s="347">
        <f t="shared" si="7"/>
        <v>30</v>
      </c>
      <c r="N13" s="265">
        <v>44007</v>
      </c>
      <c r="O13" s="347">
        <f t="shared" si="8"/>
        <v>31</v>
      </c>
      <c r="P13" s="265">
        <v>44038</v>
      </c>
      <c r="Q13" s="347">
        <f t="shared" si="9"/>
        <v>31</v>
      </c>
      <c r="R13" s="265">
        <v>44069</v>
      </c>
      <c r="S13" s="347">
        <f t="shared" si="10"/>
        <v>30</v>
      </c>
      <c r="T13" s="265">
        <v>44099</v>
      </c>
      <c r="U13" s="347">
        <f t="shared" si="11"/>
        <v>31</v>
      </c>
      <c r="V13" s="265">
        <v>44130</v>
      </c>
      <c r="W13" s="347">
        <f t="shared" si="12"/>
        <v>30</v>
      </c>
      <c r="X13" s="265">
        <v>44160</v>
      </c>
      <c r="Y13" s="348">
        <f t="shared" si="13"/>
        <v>31</v>
      </c>
      <c r="Z13" s="353">
        <v>44191</v>
      </c>
    </row>
    <row r="14" spans="1:32" s="35" customFormat="1" ht="21.95" customHeight="1" x14ac:dyDescent="0.25">
      <c r="A14" s="30">
        <v>5</v>
      </c>
      <c r="B14" s="265">
        <v>43825</v>
      </c>
      <c r="C14" s="347">
        <f t="shared" si="2"/>
        <v>31</v>
      </c>
      <c r="D14" s="265">
        <v>43856</v>
      </c>
      <c r="E14" s="347">
        <f t="shared" si="3"/>
        <v>28</v>
      </c>
      <c r="F14" s="265">
        <v>43884</v>
      </c>
      <c r="G14" s="347">
        <f t="shared" si="4"/>
        <v>32</v>
      </c>
      <c r="H14" s="265">
        <v>43916</v>
      </c>
      <c r="I14" s="347">
        <f t="shared" si="5"/>
        <v>30</v>
      </c>
      <c r="J14" s="265">
        <v>43946</v>
      </c>
      <c r="K14" s="347">
        <f t="shared" si="6"/>
        <v>31</v>
      </c>
      <c r="L14" s="265">
        <v>43977</v>
      </c>
      <c r="M14" s="347">
        <f t="shared" si="7"/>
        <v>30</v>
      </c>
      <c r="N14" s="265">
        <v>44007</v>
      </c>
      <c r="O14" s="347">
        <f t="shared" si="8"/>
        <v>31</v>
      </c>
      <c r="P14" s="265">
        <v>44038</v>
      </c>
      <c r="Q14" s="347">
        <f t="shared" si="9"/>
        <v>31</v>
      </c>
      <c r="R14" s="265">
        <v>44069</v>
      </c>
      <c r="S14" s="347">
        <f t="shared" si="10"/>
        <v>30</v>
      </c>
      <c r="T14" s="265">
        <v>44099</v>
      </c>
      <c r="U14" s="347">
        <f t="shared" si="11"/>
        <v>31</v>
      </c>
      <c r="V14" s="265">
        <v>44130</v>
      </c>
      <c r="W14" s="347">
        <f t="shared" si="12"/>
        <v>30</v>
      </c>
      <c r="X14" s="265">
        <v>44160</v>
      </c>
      <c r="Y14" s="348">
        <f t="shared" si="13"/>
        <v>31</v>
      </c>
      <c r="Z14" s="353">
        <v>44191</v>
      </c>
    </row>
    <row r="15" spans="1:32" s="35" customFormat="1" ht="21.95" customHeight="1" x14ac:dyDescent="0.25">
      <c r="A15" s="30">
        <v>6</v>
      </c>
      <c r="B15" s="265">
        <v>43825</v>
      </c>
      <c r="C15" s="347">
        <f t="shared" si="2"/>
        <v>31</v>
      </c>
      <c r="D15" s="265">
        <v>43856</v>
      </c>
      <c r="E15" s="347">
        <f t="shared" si="3"/>
        <v>28</v>
      </c>
      <c r="F15" s="265">
        <v>43884</v>
      </c>
      <c r="G15" s="347">
        <f t="shared" si="4"/>
        <v>32</v>
      </c>
      <c r="H15" s="265">
        <v>43916</v>
      </c>
      <c r="I15" s="347">
        <f t="shared" si="5"/>
        <v>30</v>
      </c>
      <c r="J15" s="265">
        <v>43946</v>
      </c>
      <c r="K15" s="347">
        <f t="shared" si="6"/>
        <v>31</v>
      </c>
      <c r="L15" s="265">
        <v>43977</v>
      </c>
      <c r="M15" s="347">
        <f t="shared" si="7"/>
        <v>30</v>
      </c>
      <c r="N15" s="265">
        <v>44007</v>
      </c>
      <c r="O15" s="347">
        <f t="shared" si="8"/>
        <v>31</v>
      </c>
      <c r="P15" s="265">
        <v>44038</v>
      </c>
      <c r="Q15" s="347">
        <f t="shared" si="9"/>
        <v>31</v>
      </c>
      <c r="R15" s="265">
        <v>44069</v>
      </c>
      <c r="S15" s="347">
        <f t="shared" si="10"/>
        <v>30</v>
      </c>
      <c r="T15" s="265">
        <v>44099</v>
      </c>
      <c r="U15" s="347">
        <f t="shared" si="11"/>
        <v>31</v>
      </c>
      <c r="V15" s="265">
        <v>44130</v>
      </c>
      <c r="W15" s="347">
        <f t="shared" si="12"/>
        <v>30</v>
      </c>
      <c r="X15" s="265">
        <v>44160</v>
      </c>
      <c r="Y15" s="348">
        <f t="shared" si="13"/>
        <v>31</v>
      </c>
      <c r="Z15" s="353">
        <v>44191</v>
      </c>
    </row>
    <row r="16" spans="1:32" s="35" customFormat="1" ht="21.95" customHeight="1" x14ac:dyDescent="0.25">
      <c r="A16" s="30">
        <v>7</v>
      </c>
      <c r="B16" s="265">
        <v>43825</v>
      </c>
      <c r="C16" s="347">
        <f t="shared" si="2"/>
        <v>31</v>
      </c>
      <c r="D16" s="265">
        <v>43856</v>
      </c>
      <c r="E16" s="347">
        <f t="shared" si="3"/>
        <v>28</v>
      </c>
      <c r="F16" s="265">
        <v>43884</v>
      </c>
      <c r="G16" s="347">
        <f t="shared" si="4"/>
        <v>32</v>
      </c>
      <c r="H16" s="265">
        <v>43916</v>
      </c>
      <c r="I16" s="347">
        <f t="shared" si="5"/>
        <v>30</v>
      </c>
      <c r="J16" s="265">
        <v>43946</v>
      </c>
      <c r="K16" s="347">
        <f t="shared" si="6"/>
        <v>31</v>
      </c>
      <c r="L16" s="265">
        <v>43977</v>
      </c>
      <c r="M16" s="347">
        <f t="shared" si="7"/>
        <v>30</v>
      </c>
      <c r="N16" s="265">
        <v>44007</v>
      </c>
      <c r="O16" s="347">
        <f t="shared" si="8"/>
        <v>31</v>
      </c>
      <c r="P16" s="265">
        <v>44038</v>
      </c>
      <c r="Q16" s="347">
        <f t="shared" si="9"/>
        <v>31</v>
      </c>
      <c r="R16" s="265">
        <v>44069</v>
      </c>
      <c r="S16" s="347">
        <f t="shared" si="10"/>
        <v>30</v>
      </c>
      <c r="T16" s="265">
        <v>44099</v>
      </c>
      <c r="U16" s="347">
        <f t="shared" si="11"/>
        <v>31</v>
      </c>
      <c r="V16" s="265">
        <v>44130</v>
      </c>
      <c r="W16" s="347">
        <f t="shared" si="12"/>
        <v>30</v>
      </c>
      <c r="X16" s="265">
        <v>44160</v>
      </c>
      <c r="Y16" s="348">
        <f t="shared" si="13"/>
        <v>31</v>
      </c>
      <c r="Z16" s="353">
        <v>44191</v>
      </c>
    </row>
    <row r="17" spans="1:26" s="35" customFormat="1" ht="21.95" customHeight="1" x14ac:dyDescent="0.25">
      <c r="A17" s="30">
        <v>8</v>
      </c>
      <c r="B17" s="265">
        <v>43825</v>
      </c>
      <c r="C17" s="347">
        <f t="shared" si="2"/>
        <v>31</v>
      </c>
      <c r="D17" s="265">
        <v>43856</v>
      </c>
      <c r="E17" s="347">
        <f t="shared" si="3"/>
        <v>28</v>
      </c>
      <c r="F17" s="265">
        <v>43884</v>
      </c>
      <c r="G17" s="347">
        <f t="shared" si="4"/>
        <v>32</v>
      </c>
      <c r="H17" s="265">
        <v>43916</v>
      </c>
      <c r="I17" s="347">
        <f t="shared" si="5"/>
        <v>30</v>
      </c>
      <c r="J17" s="265">
        <v>43946</v>
      </c>
      <c r="K17" s="347">
        <f t="shared" si="6"/>
        <v>31</v>
      </c>
      <c r="L17" s="265">
        <v>43977</v>
      </c>
      <c r="M17" s="347">
        <f t="shared" si="7"/>
        <v>30</v>
      </c>
      <c r="N17" s="265">
        <v>44007</v>
      </c>
      <c r="O17" s="347">
        <f t="shared" si="8"/>
        <v>31</v>
      </c>
      <c r="P17" s="265">
        <v>44038</v>
      </c>
      <c r="Q17" s="347">
        <f t="shared" si="9"/>
        <v>31</v>
      </c>
      <c r="R17" s="265">
        <v>44069</v>
      </c>
      <c r="S17" s="347">
        <f t="shared" si="10"/>
        <v>30</v>
      </c>
      <c r="T17" s="265">
        <v>44099</v>
      </c>
      <c r="U17" s="347">
        <f t="shared" si="11"/>
        <v>31</v>
      </c>
      <c r="V17" s="265">
        <v>44130</v>
      </c>
      <c r="W17" s="347">
        <f t="shared" si="12"/>
        <v>30</v>
      </c>
      <c r="X17" s="265">
        <v>44160</v>
      </c>
      <c r="Y17" s="348">
        <f t="shared" si="13"/>
        <v>31</v>
      </c>
      <c r="Z17" s="353">
        <v>44191</v>
      </c>
    </row>
    <row r="18" spans="1:26" s="35" customFormat="1" ht="21.95" customHeight="1" x14ac:dyDescent="0.25">
      <c r="A18" s="30">
        <v>9</v>
      </c>
      <c r="B18" s="265">
        <v>43825</v>
      </c>
      <c r="C18" s="347">
        <f t="shared" si="2"/>
        <v>31</v>
      </c>
      <c r="D18" s="265">
        <v>43856</v>
      </c>
      <c r="E18" s="347">
        <f t="shared" si="3"/>
        <v>28</v>
      </c>
      <c r="F18" s="265">
        <v>43884</v>
      </c>
      <c r="G18" s="347">
        <f t="shared" si="4"/>
        <v>32</v>
      </c>
      <c r="H18" s="265">
        <v>43916</v>
      </c>
      <c r="I18" s="347">
        <f t="shared" si="5"/>
        <v>30</v>
      </c>
      <c r="J18" s="265">
        <v>43946</v>
      </c>
      <c r="K18" s="347">
        <f t="shared" si="6"/>
        <v>31</v>
      </c>
      <c r="L18" s="265">
        <v>43977</v>
      </c>
      <c r="M18" s="347">
        <f t="shared" si="7"/>
        <v>30</v>
      </c>
      <c r="N18" s="265">
        <v>44007</v>
      </c>
      <c r="O18" s="347">
        <f t="shared" si="8"/>
        <v>31</v>
      </c>
      <c r="P18" s="265">
        <v>44038</v>
      </c>
      <c r="Q18" s="347">
        <f t="shared" si="9"/>
        <v>31</v>
      </c>
      <c r="R18" s="265">
        <v>44069</v>
      </c>
      <c r="S18" s="347">
        <f t="shared" si="10"/>
        <v>30</v>
      </c>
      <c r="T18" s="265">
        <v>44099</v>
      </c>
      <c r="U18" s="347">
        <f t="shared" si="11"/>
        <v>31</v>
      </c>
      <c r="V18" s="265">
        <v>44130</v>
      </c>
      <c r="W18" s="347">
        <f t="shared" si="12"/>
        <v>30</v>
      </c>
      <c r="X18" s="265">
        <v>44160</v>
      </c>
      <c r="Y18" s="348">
        <f t="shared" si="13"/>
        <v>31</v>
      </c>
      <c r="Z18" s="353">
        <v>44191</v>
      </c>
    </row>
    <row r="19" spans="1:26" s="35" customFormat="1" ht="21.95" customHeight="1" x14ac:dyDescent="0.25">
      <c r="A19" s="30">
        <v>10</v>
      </c>
      <c r="B19" s="265">
        <v>43825</v>
      </c>
      <c r="C19" s="347">
        <f t="shared" si="2"/>
        <v>31</v>
      </c>
      <c r="D19" s="265">
        <v>43856</v>
      </c>
      <c r="E19" s="347">
        <f t="shared" si="3"/>
        <v>28</v>
      </c>
      <c r="F19" s="265">
        <v>43884</v>
      </c>
      <c r="G19" s="347">
        <f t="shared" si="4"/>
        <v>32</v>
      </c>
      <c r="H19" s="265">
        <v>43916</v>
      </c>
      <c r="I19" s="347">
        <f t="shared" si="5"/>
        <v>30</v>
      </c>
      <c r="J19" s="265">
        <v>43946</v>
      </c>
      <c r="K19" s="347">
        <f t="shared" si="6"/>
        <v>31</v>
      </c>
      <c r="L19" s="265">
        <v>43977</v>
      </c>
      <c r="M19" s="347">
        <f t="shared" si="7"/>
        <v>30</v>
      </c>
      <c r="N19" s="265">
        <v>44007</v>
      </c>
      <c r="O19" s="347">
        <f t="shared" si="8"/>
        <v>31</v>
      </c>
      <c r="P19" s="265">
        <v>44038</v>
      </c>
      <c r="Q19" s="347">
        <f t="shared" si="9"/>
        <v>31</v>
      </c>
      <c r="R19" s="265">
        <v>44069</v>
      </c>
      <c r="S19" s="347">
        <f t="shared" si="10"/>
        <v>30</v>
      </c>
      <c r="T19" s="265">
        <v>44099</v>
      </c>
      <c r="U19" s="347">
        <f t="shared" si="11"/>
        <v>31</v>
      </c>
      <c r="V19" s="265">
        <v>44130</v>
      </c>
      <c r="W19" s="347">
        <f t="shared" si="12"/>
        <v>30</v>
      </c>
      <c r="X19" s="265">
        <v>44160</v>
      </c>
      <c r="Y19" s="348">
        <f t="shared" si="13"/>
        <v>31</v>
      </c>
      <c r="Z19" s="353">
        <v>44191</v>
      </c>
    </row>
    <row r="20" spans="1:26" s="35" customFormat="1" ht="21.95" customHeight="1" x14ac:dyDescent="0.25">
      <c r="A20" s="30">
        <v>11</v>
      </c>
      <c r="B20" s="265">
        <v>43825</v>
      </c>
      <c r="C20" s="347">
        <f t="shared" si="2"/>
        <v>31</v>
      </c>
      <c r="D20" s="265">
        <v>43856</v>
      </c>
      <c r="E20" s="347">
        <f t="shared" si="3"/>
        <v>28</v>
      </c>
      <c r="F20" s="265">
        <v>43884</v>
      </c>
      <c r="G20" s="347">
        <f t="shared" si="4"/>
        <v>32</v>
      </c>
      <c r="H20" s="265">
        <v>43916</v>
      </c>
      <c r="I20" s="347">
        <f t="shared" si="5"/>
        <v>30</v>
      </c>
      <c r="J20" s="265">
        <v>43946</v>
      </c>
      <c r="K20" s="347">
        <f t="shared" si="6"/>
        <v>31</v>
      </c>
      <c r="L20" s="265">
        <v>43977</v>
      </c>
      <c r="M20" s="347">
        <f t="shared" si="7"/>
        <v>30</v>
      </c>
      <c r="N20" s="265">
        <v>44007</v>
      </c>
      <c r="O20" s="347">
        <f t="shared" si="8"/>
        <v>31</v>
      </c>
      <c r="P20" s="265">
        <v>44038</v>
      </c>
      <c r="Q20" s="347">
        <f t="shared" si="9"/>
        <v>31</v>
      </c>
      <c r="R20" s="265">
        <v>44069</v>
      </c>
      <c r="S20" s="347">
        <f t="shared" si="10"/>
        <v>30</v>
      </c>
      <c r="T20" s="265">
        <v>44099</v>
      </c>
      <c r="U20" s="347">
        <f t="shared" si="11"/>
        <v>31</v>
      </c>
      <c r="V20" s="265">
        <v>44130</v>
      </c>
      <c r="W20" s="347">
        <f t="shared" si="12"/>
        <v>30</v>
      </c>
      <c r="X20" s="265">
        <v>44160</v>
      </c>
      <c r="Y20" s="348">
        <f t="shared" si="13"/>
        <v>31</v>
      </c>
      <c r="Z20" s="353">
        <v>44191</v>
      </c>
    </row>
    <row r="21" spans="1:26" s="35" customFormat="1" ht="21.95" customHeight="1" x14ac:dyDescent="0.25">
      <c r="A21" s="30">
        <v>12</v>
      </c>
      <c r="B21" s="265">
        <v>43825</v>
      </c>
      <c r="C21" s="347">
        <f t="shared" si="2"/>
        <v>31</v>
      </c>
      <c r="D21" s="265">
        <v>43856</v>
      </c>
      <c r="E21" s="347">
        <f t="shared" si="3"/>
        <v>28</v>
      </c>
      <c r="F21" s="265">
        <v>43884</v>
      </c>
      <c r="G21" s="347">
        <f t="shared" si="4"/>
        <v>32</v>
      </c>
      <c r="H21" s="265">
        <v>43916</v>
      </c>
      <c r="I21" s="347">
        <f t="shared" si="5"/>
        <v>30</v>
      </c>
      <c r="J21" s="265">
        <v>43946</v>
      </c>
      <c r="K21" s="347">
        <f t="shared" si="6"/>
        <v>31</v>
      </c>
      <c r="L21" s="265">
        <v>43977</v>
      </c>
      <c r="M21" s="347">
        <f t="shared" si="7"/>
        <v>30</v>
      </c>
      <c r="N21" s="265">
        <v>44007</v>
      </c>
      <c r="O21" s="347">
        <f t="shared" si="8"/>
        <v>31</v>
      </c>
      <c r="P21" s="265">
        <v>44038</v>
      </c>
      <c r="Q21" s="347">
        <f t="shared" si="9"/>
        <v>31</v>
      </c>
      <c r="R21" s="265">
        <v>44069</v>
      </c>
      <c r="S21" s="347">
        <f t="shared" si="10"/>
        <v>30</v>
      </c>
      <c r="T21" s="265">
        <v>44099</v>
      </c>
      <c r="U21" s="347">
        <f t="shared" si="11"/>
        <v>31</v>
      </c>
      <c r="V21" s="265">
        <v>44130</v>
      </c>
      <c r="W21" s="347">
        <f t="shared" si="12"/>
        <v>30</v>
      </c>
      <c r="X21" s="265">
        <v>44160</v>
      </c>
      <c r="Y21" s="348">
        <f t="shared" si="13"/>
        <v>31</v>
      </c>
      <c r="Z21" s="353">
        <v>44191</v>
      </c>
    </row>
    <row r="22" spans="1:26" s="35" customFormat="1" ht="21.95" customHeight="1" x14ac:dyDescent="0.25">
      <c r="A22" s="30">
        <v>13</v>
      </c>
      <c r="B22" s="265">
        <v>43825</v>
      </c>
      <c r="C22" s="347">
        <f t="shared" si="2"/>
        <v>31</v>
      </c>
      <c r="D22" s="265">
        <v>43856</v>
      </c>
      <c r="E22" s="347">
        <f t="shared" si="3"/>
        <v>28</v>
      </c>
      <c r="F22" s="265">
        <v>43884</v>
      </c>
      <c r="G22" s="347">
        <f t="shared" si="4"/>
        <v>32</v>
      </c>
      <c r="H22" s="265">
        <v>43916</v>
      </c>
      <c r="I22" s="347">
        <f t="shared" si="5"/>
        <v>30</v>
      </c>
      <c r="J22" s="265">
        <v>43946</v>
      </c>
      <c r="K22" s="347">
        <f t="shared" si="6"/>
        <v>31</v>
      </c>
      <c r="L22" s="265">
        <v>43977</v>
      </c>
      <c r="M22" s="347">
        <f t="shared" si="7"/>
        <v>30</v>
      </c>
      <c r="N22" s="265">
        <v>44007</v>
      </c>
      <c r="O22" s="347">
        <f t="shared" si="8"/>
        <v>31</v>
      </c>
      <c r="P22" s="265">
        <v>44038</v>
      </c>
      <c r="Q22" s="347">
        <f t="shared" si="9"/>
        <v>31</v>
      </c>
      <c r="R22" s="265">
        <v>44069</v>
      </c>
      <c r="S22" s="347">
        <f t="shared" si="10"/>
        <v>30</v>
      </c>
      <c r="T22" s="265">
        <v>44099</v>
      </c>
      <c r="U22" s="347">
        <f t="shared" si="11"/>
        <v>31</v>
      </c>
      <c r="V22" s="265">
        <v>44130</v>
      </c>
      <c r="W22" s="347">
        <f t="shared" si="12"/>
        <v>30</v>
      </c>
      <c r="X22" s="265">
        <v>44160</v>
      </c>
      <c r="Y22" s="348">
        <f t="shared" si="13"/>
        <v>31</v>
      </c>
      <c r="Z22" s="353">
        <v>44191</v>
      </c>
    </row>
    <row r="23" spans="1:26" s="35" customFormat="1" ht="21.95" customHeight="1" x14ac:dyDescent="0.25">
      <c r="A23" s="30">
        <v>14</v>
      </c>
      <c r="B23" s="265">
        <v>43825</v>
      </c>
      <c r="C23" s="347">
        <f t="shared" si="2"/>
        <v>31</v>
      </c>
      <c r="D23" s="265">
        <v>43856</v>
      </c>
      <c r="E23" s="347">
        <f t="shared" si="3"/>
        <v>28</v>
      </c>
      <c r="F23" s="265">
        <v>43884</v>
      </c>
      <c r="G23" s="347">
        <f t="shared" si="4"/>
        <v>32</v>
      </c>
      <c r="H23" s="265">
        <v>43916</v>
      </c>
      <c r="I23" s="347">
        <f t="shared" si="5"/>
        <v>30</v>
      </c>
      <c r="J23" s="265">
        <v>43946</v>
      </c>
      <c r="K23" s="347">
        <f t="shared" si="6"/>
        <v>31</v>
      </c>
      <c r="L23" s="265">
        <v>43977</v>
      </c>
      <c r="M23" s="347">
        <f t="shared" si="7"/>
        <v>30</v>
      </c>
      <c r="N23" s="265">
        <v>44007</v>
      </c>
      <c r="O23" s="347">
        <f t="shared" si="8"/>
        <v>31</v>
      </c>
      <c r="P23" s="265">
        <v>44038</v>
      </c>
      <c r="Q23" s="347">
        <f t="shared" si="9"/>
        <v>31</v>
      </c>
      <c r="R23" s="265">
        <v>44069</v>
      </c>
      <c r="S23" s="347">
        <f t="shared" si="10"/>
        <v>30</v>
      </c>
      <c r="T23" s="265">
        <v>44099</v>
      </c>
      <c r="U23" s="347">
        <f t="shared" si="11"/>
        <v>31</v>
      </c>
      <c r="V23" s="265">
        <v>44130</v>
      </c>
      <c r="W23" s="347">
        <f t="shared" si="12"/>
        <v>30</v>
      </c>
      <c r="X23" s="265">
        <v>44160</v>
      </c>
      <c r="Y23" s="348">
        <f t="shared" si="13"/>
        <v>31</v>
      </c>
      <c r="Z23" s="353">
        <v>44191</v>
      </c>
    </row>
    <row r="24" spans="1:26" s="35" customFormat="1" ht="21.95" customHeight="1" x14ac:dyDescent="0.25">
      <c r="A24" s="30">
        <v>15</v>
      </c>
      <c r="B24" s="265">
        <v>43825</v>
      </c>
      <c r="C24" s="347">
        <f t="shared" si="2"/>
        <v>31</v>
      </c>
      <c r="D24" s="265">
        <v>43856</v>
      </c>
      <c r="E24" s="347">
        <f t="shared" si="3"/>
        <v>28</v>
      </c>
      <c r="F24" s="265">
        <v>43884</v>
      </c>
      <c r="G24" s="347">
        <f t="shared" si="4"/>
        <v>32</v>
      </c>
      <c r="H24" s="265">
        <v>43916</v>
      </c>
      <c r="I24" s="347">
        <f t="shared" si="5"/>
        <v>30</v>
      </c>
      <c r="J24" s="265">
        <v>43946</v>
      </c>
      <c r="K24" s="347">
        <f t="shared" si="6"/>
        <v>31</v>
      </c>
      <c r="L24" s="265">
        <v>43977</v>
      </c>
      <c r="M24" s="347">
        <f t="shared" si="7"/>
        <v>30</v>
      </c>
      <c r="N24" s="265">
        <v>44007</v>
      </c>
      <c r="O24" s="347">
        <f t="shared" si="8"/>
        <v>31</v>
      </c>
      <c r="P24" s="265">
        <v>44038</v>
      </c>
      <c r="Q24" s="347">
        <f t="shared" si="9"/>
        <v>31</v>
      </c>
      <c r="R24" s="265">
        <v>44069</v>
      </c>
      <c r="S24" s="347">
        <f t="shared" si="10"/>
        <v>30</v>
      </c>
      <c r="T24" s="265">
        <v>44099</v>
      </c>
      <c r="U24" s="347">
        <f t="shared" si="11"/>
        <v>31</v>
      </c>
      <c r="V24" s="265">
        <v>44130</v>
      </c>
      <c r="W24" s="347">
        <f t="shared" si="12"/>
        <v>30</v>
      </c>
      <c r="X24" s="265">
        <v>44160</v>
      </c>
      <c r="Y24" s="348">
        <f t="shared" si="13"/>
        <v>31</v>
      </c>
      <c r="Z24" s="353">
        <v>44191</v>
      </c>
    </row>
    <row r="25" spans="1:26" s="35" customFormat="1" ht="21.95" customHeight="1" x14ac:dyDescent="0.25">
      <c r="A25" s="30">
        <v>16</v>
      </c>
      <c r="B25" s="265">
        <v>43825</v>
      </c>
      <c r="C25" s="347">
        <f t="shared" si="2"/>
        <v>31</v>
      </c>
      <c r="D25" s="265">
        <v>43856</v>
      </c>
      <c r="E25" s="347">
        <f t="shared" si="3"/>
        <v>28</v>
      </c>
      <c r="F25" s="265">
        <v>43884</v>
      </c>
      <c r="G25" s="347">
        <f t="shared" si="4"/>
        <v>32</v>
      </c>
      <c r="H25" s="265">
        <v>43916</v>
      </c>
      <c r="I25" s="347">
        <f t="shared" si="5"/>
        <v>30</v>
      </c>
      <c r="J25" s="265">
        <v>43946</v>
      </c>
      <c r="K25" s="347">
        <f t="shared" si="6"/>
        <v>31</v>
      </c>
      <c r="L25" s="265">
        <v>43977</v>
      </c>
      <c r="M25" s="347">
        <f t="shared" si="7"/>
        <v>30</v>
      </c>
      <c r="N25" s="265">
        <v>44007</v>
      </c>
      <c r="O25" s="347">
        <f t="shared" si="8"/>
        <v>31</v>
      </c>
      <c r="P25" s="265">
        <v>44038</v>
      </c>
      <c r="Q25" s="347">
        <f t="shared" si="9"/>
        <v>31</v>
      </c>
      <c r="R25" s="265">
        <v>44069</v>
      </c>
      <c r="S25" s="347">
        <f t="shared" si="10"/>
        <v>30</v>
      </c>
      <c r="T25" s="265">
        <v>44099</v>
      </c>
      <c r="U25" s="347">
        <f t="shared" si="11"/>
        <v>31</v>
      </c>
      <c r="V25" s="265">
        <v>44130</v>
      </c>
      <c r="W25" s="347">
        <f t="shared" si="12"/>
        <v>30</v>
      </c>
      <c r="X25" s="265">
        <v>44160</v>
      </c>
      <c r="Y25" s="348">
        <f t="shared" si="13"/>
        <v>31</v>
      </c>
      <c r="Z25" s="353">
        <v>44191</v>
      </c>
    </row>
    <row r="26" spans="1:26" s="35" customFormat="1" ht="21.95" customHeight="1" x14ac:dyDescent="0.25">
      <c r="A26" s="30">
        <v>17</v>
      </c>
      <c r="B26" s="265">
        <v>43825</v>
      </c>
      <c r="C26" s="347">
        <f t="shared" si="2"/>
        <v>31</v>
      </c>
      <c r="D26" s="265">
        <v>43856</v>
      </c>
      <c r="E26" s="347">
        <f t="shared" si="3"/>
        <v>28</v>
      </c>
      <c r="F26" s="265">
        <v>43884</v>
      </c>
      <c r="G26" s="347">
        <f t="shared" si="4"/>
        <v>32</v>
      </c>
      <c r="H26" s="265">
        <v>43916</v>
      </c>
      <c r="I26" s="347">
        <f t="shared" si="5"/>
        <v>30</v>
      </c>
      <c r="J26" s="265">
        <v>43946</v>
      </c>
      <c r="K26" s="347">
        <f t="shared" si="6"/>
        <v>31</v>
      </c>
      <c r="L26" s="265">
        <v>43977</v>
      </c>
      <c r="M26" s="347">
        <f t="shared" si="7"/>
        <v>30</v>
      </c>
      <c r="N26" s="265">
        <v>44007</v>
      </c>
      <c r="O26" s="347">
        <f t="shared" si="8"/>
        <v>31</v>
      </c>
      <c r="P26" s="265">
        <v>44038</v>
      </c>
      <c r="Q26" s="347">
        <f t="shared" si="9"/>
        <v>31</v>
      </c>
      <c r="R26" s="265">
        <v>44069</v>
      </c>
      <c r="S26" s="347">
        <f t="shared" si="10"/>
        <v>30</v>
      </c>
      <c r="T26" s="265">
        <v>44099</v>
      </c>
      <c r="U26" s="347">
        <f t="shared" si="11"/>
        <v>31</v>
      </c>
      <c r="V26" s="265">
        <v>44130</v>
      </c>
      <c r="W26" s="347">
        <f t="shared" si="12"/>
        <v>30</v>
      </c>
      <c r="X26" s="265">
        <v>44160</v>
      </c>
      <c r="Y26" s="348">
        <f t="shared" si="13"/>
        <v>31</v>
      </c>
      <c r="Z26" s="353">
        <v>44191</v>
      </c>
    </row>
    <row r="27" spans="1:26" s="35" customFormat="1" ht="21.95" customHeight="1" x14ac:dyDescent="0.25">
      <c r="A27" s="30">
        <v>18</v>
      </c>
      <c r="B27" s="265">
        <v>43825</v>
      </c>
      <c r="C27" s="347">
        <f t="shared" si="2"/>
        <v>31</v>
      </c>
      <c r="D27" s="265">
        <v>43856</v>
      </c>
      <c r="E27" s="347">
        <f t="shared" si="3"/>
        <v>28</v>
      </c>
      <c r="F27" s="265">
        <v>43884</v>
      </c>
      <c r="G27" s="347">
        <f t="shared" si="4"/>
        <v>32</v>
      </c>
      <c r="H27" s="265">
        <v>43916</v>
      </c>
      <c r="I27" s="347">
        <f t="shared" si="5"/>
        <v>30</v>
      </c>
      <c r="J27" s="265">
        <v>43946</v>
      </c>
      <c r="K27" s="347">
        <f t="shared" si="6"/>
        <v>31</v>
      </c>
      <c r="L27" s="265">
        <v>43977</v>
      </c>
      <c r="M27" s="347">
        <f t="shared" si="7"/>
        <v>30</v>
      </c>
      <c r="N27" s="265">
        <v>44007</v>
      </c>
      <c r="O27" s="347">
        <f t="shared" si="8"/>
        <v>31</v>
      </c>
      <c r="P27" s="265">
        <v>44038</v>
      </c>
      <c r="Q27" s="347">
        <f t="shared" si="9"/>
        <v>31</v>
      </c>
      <c r="R27" s="265">
        <v>44069</v>
      </c>
      <c r="S27" s="347">
        <f t="shared" si="10"/>
        <v>30</v>
      </c>
      <c r="T27" s="265">
        <v>44099</v>
      </c>
      <c r="U27" s="347">
        <f t="shared" si="11"/>
        <v>31</v>
      </c>
      <c r="V27" s="265">
        <v>44130</v>
      </c>
      <c r="W27" s="347">
        <f t="shared" si="12"/>
        <v>30</v>
      </c>
      <c r="X27" s="265">
        <v>44160</v>
      </c>
      <c r="Y27" s="348">
        <f t="shared" si="13"/>
        <v>31</v>
      </c>
      <c r="Z27" s="353">
        <v>44191</v>
      </c>
    </row>
    <row r="28" spans="1:26" s="35" customFormat="1" ht="21.95" customHeight="1" x14ac:dyDescent="0.25">
      <c r="A28" s="30">
        <v>19</v>
      </c>
      <c r="B28" s="265">
        <v>43825</v>
      </c>
      <c r="C28" s="347">
        <f t="shared" si="2"/>
        <v>31</v>
      </c>
      <c r="D28" s="265">
        <v>43856</v>
      </c>
      <c r="E28" s="347">
        <f t="shared" si="3"/>
        <v>28</v>
      </c>
      <c r="F28" s="265">
        <v>43884</v>
      </c>
      <c r="G28" s="347">
        <f t="shared" si="4"/>
        <v>32</v>
      </c>
      <c r="H28" s="265">
        <v>43916</v>
      </c>
      <c r="I28" s="347">
        <f t="shared" si="5"/>
        <v>30</v>
      </c>
      <c r="J28" s="265">
        <v>43946</v>
      </c>
      <c r="K28" s="347">
        <f t="shared" si="6"/>
        <v>31</v>
      </c>
      <c r="L28" s="265">
        <v>43977</v>
      </c>
      <c r="M28" s="347">
        <f t="shared" si="7"/>
        <v>30</v>
      </c>
      <c r="N28" s="265">
        <v>44007</v>
      </c>
      <c r="O28" s="347">
        <f t="shared" si="8"/>
        <v>31</v>
      </c>
      <c r="P28" s="265">
        <v>44038</v>
      </c>
      <c r="Q28" s="347">
        <f t="shared" si="9"/>
        <v>31</v>
      </c>
      <c r="R28" s="265">
        <v>44069</v>
      </c>
      <c r="S28" s="347">
        <f t="shared" si="10"/>
        <v>30</v>
      </c>
      <c r="T28" s="265">
        <v>44099</v>
      </c>
      <c r="U28" s="347">
        <f t="shared" si="11"/>
        <v>31</v>
      </c>
      <c r="V28" s="265">
        <v>44130</v>
      </c>
      <c r="W28" s="347">
        <f t="shared" si="12"/>
        <v>30</v>
      </c>
      <c r="X28" s="265">
        <v>44160</v>
      </c>
      <c r="Y28" s="348">
        <f t="shared" si="13"/>
        <v>31</v>
      </c>
      <c r="Z28" s="353">
        <v>44191</v>
      </c>
    </row>
    <row r="29" spans="1:26" s="35" customFormat="1" ht="21.95" customHeight="1" x14ac:dyDescent="0.25">
      <c r="A29" s="30"/>
    </row>
    <row r="30" spans="1:26" x14ac:dyDescent="0.2">
      <c r="D30" s="43"/>
      <c r="E30" s="43"/>
      <c r="F30" s="44"/>
      <c r="G30" s="44"/>
    </row>
    <row r="31" spans="1:26" x14ac:dyDescent="0.2">
      <c r="D31" s="43"/>
      <c r="E31" s="43"/>
      <c r="F31" s="44"/>
      <c r="G31" s="44"/>
    </row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AF30"/>
  <sheetViews>
    <sheetView topLeftCell="A21" zoomScale="85" zoomScaleNormal="85" workbookViewId="0">
      <selection activeCell="O40" sqref="O40"/>
    </sheetView>
  </sheetViews>
  <sheetFormatPr defaultColWidth="12.7109375" defaultRowHeight="15" x14ac:dyDescent="0.2"/>
  <cols>
    <col min="1" max="1" width="12.7109375" style="30"/>
    <col min="2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Z5" si="1">C4</f>
        <v>0</v>
      </c>
      <c r="C5" s="35" t="str">
        <f t="shared" si="1"/>
        <v>22020</v>
      </c>
      <c r="D5" s="35">
        <f t="shared" si="1"/>
        <v>0</v>
      </c>
      <c r="E5" s="35" t="str">
        <f t="shared" si="1"/>
        <v>32020</v>
      </c>
      <c r="F5" s="35">
        <f t="shared" si="1"/>
        <v>0</v>
      </c>
      <c r="G5" s="35" t="str">
        <f t="shared" si="1"/>
        <v>42020</v>
      </c>
      <c r="H5" s="35">
        <f t="shared" si="1"/>
        <v>0</v>
      </c>
      <c r="I5" s="35" t="str">
        <f t="shared" si="1"/>
        <v>52020</v>
      </c>
      <c r="J5" s="35">
        <f t="shared" si="1"/>
        <v>0</v>
      </c>
      <c r="K5" s="35" t="str">
        <f t="shared" si="1"/>
        <v>62020</v>
      </c>
      <c r="L5" s="35">
        <f t="shared" si="1"/>
        <v>0</v>
      </c>
      <c r="M5" s="35" t="str">
        <f t="shared" si="1"/>
        <v>72020</v>
      </c>
      <c r="N5" s="35">
        <f t="shared" si="1"/>
        <v>0</v>
      </c>
      <c r="O5" s="35" t="str">
        <f t="shared" si="1"/>
        <v>82020</v>
      </c>
      <c r="P5" s="35">
        <f t="shared" si="1"/>
        <v>0</v>
      </c>
      <c r="Q5" s="35" t="str">
        <f t="shared" si="1"/>
        <v>92020</v>
      </c>
      <c r="R5" s="35">
        <f t="shared" si="1"/>
        <v>0</v>
      </c>
      <c r="S5" s="35" t="str">
        <f t="shared" si="1"/>
        <v>102020</v>
      </c>
      <c r="T5" s="35">
        <f t="shared" si="1"/>
        <v>0</v>
      </c>
      <c r="U5" s="35" t="str">
        <f t="shared" si="1"/>
        <v>112020</v>
      </c>
      <c r="V5" s="35">
        <f t="shared" si="1"/>
        <v>0</v>
      </c>
      <c r="W5" s="35" t="str">
        <f t="shared" si="1"/>
        <v>122020</v>
      </c>
      <c r="X5" s="35">
        <f t="shared" si="1"/>
        <v>0</v>
      </c>
      <c r="Y5" s="35" t="str">
        <f t="shared" si="1"/>
        <v>12021</v>
      </c>
      <c r="Z5" s="35">
        <f t="shared" si="1"/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41" t="s">
        <v>46</v>
      </c>
      <c r="C7" s="342"/>
      <c r="D7" s="341" t="s">
        <v>47</v>
      </c>
      <c r="E7" s="342"/>
      <c r="F7" s="341" t="s">
        <v>48</v>
      </c>
      <c r="G7" s="342"/>
      <c r="H7" s="341" t="s">
        <v>49</v>
      </c>
      <c r="I7" s="342"/>
      <c r="J7" s="341" t="s">
        <v>50</v>
      </c>
      <c r="K7" s="342"/>
      <c r="L7" s="341" t="s">
        <v>216</v>
      </c>
      <c r="M7" s="342"/>
      <c r="N7" s="341" t="s">
        <v>217</v>
      </c>
      <c r="O7" s="342"/>
      <c r="P7" s="342" t="s">
        <v>51</v>
      </c>
      <c r="Q7" s="342"/>
      <c r="R7" s="342" t="s">
        <v>279</v>
      </c>
      <c r="S7" s="342"/>
      <c r="T7" s="342" t="s">
        <v>52</v>
      </c>
      <c r="U7" s="342"/>
      <c r="V7" s="342" t="s">
        <v>53</v>
      </c>
      <c r="W7" s="342"/>
      <c r="X7" s="342" t="s">
        <v>280</v>
      </c>
      <c r="Y7" s="343"/>
      <c r="Z7" s="343" t="s">
        <v>46</v>
      </c>
      <c r="AA7" s="215" t="s">
        <v>187</v>
      </c>
      <c r="AC7" s="404" t="s">
        <v>188</v>
      </c>
      <c r="AD7" s="404"/>
      <c r="AE7" s="404"/>
      <c r="AF7" s="404"/>
    </row>
    <row r="8" spans="1:32" s="35" customFormat="1" ht="21.95" customHeight="1" x14ac:dyDescent="0.25">
      <c r="A8" s="41"/>
      <c r="B8" s="344">
        <v>2020</v>
      </c>
      <c r="C8" s="350"/>
      <c r="D8" s="344">
        <v>2020</v>
      </c>
      <c r="E8" s="350"/>
      <c r="F8" s="344">
        <v>2020</v>
      </c>
      <c r="G8" s="350"/>
      <c r="H8" s="344">
        <v>2020</v>
      </c>
      <c r="I8" s="350"/>
      <c r="J8" s="344">
        <v>2020</v>
      </c>
      <c r="K8" s="350"/>
      <c r="L8" s="344">
        <v>2020</v>
      </c>
      <c r="M8" s="350"/>
      <c r="N8" s="344">
        <v>2020</v>
      </c>
      <c r="O8" s="350"/>
      <c r="P8" s="344">
        <v>2020</v>
      </c>
      <c r="Q8" s="350"/>
      <c r="R8" s="344">
        <v>2020</v>
      </c>
      <c r="S8" s="350"/>
      <c r="T8" s="344">
        <v>2020</v>
      </c>
      <c r="U8" s="350"/>
      <c r="V8" s="344">
        <v>2020</v>
      </c>
      <c r="W8" s="350"/>
      <c r="X8" s="344">
        <v>2020</v>
      </c>
      <c r="Y8" s="351"/>
      <c r="Z8" s="345">
        <v>2021</v>
      </c>
      <c r="AC8" s="404"/>
      <c r="AD8" s="404"/>
      <c r="AE8" s="404"/>
      <c r="AF8" s="404"/>
    </row>
    <row r="9" spans="1:32" s="35" customFormat="1" ht="21.95" customHeight="1" x14ac:dyDescent="0.25">
      <c r="A9" s="42" t="s">
        <v>44</v>
      </c>
      <c r="B9" s="263"/>
      <c r="C9" s="262"/>
      <c r="D9" s="263"/>
      <c r="E9" s="262"/>
      <c r="F9" s="263"/>
      <c r="G9" s="262"/>
      <c r="H9" s="263"/>
      <c r="I9" s="262"/>
      <c r="J9" s="263"/>
      <c r="K9" s="262"/>
      <c r="L9" s="263"/>
      <c r="M9" s="262"/>
      <c r="N9" s="263"/>
      <c r="O9" s="262"/>
      <c r="P9" s="263"/>
      <c r="Q9" s="262"/>
      <c r="R9" s="263"/>
      <c r="S9" s="262"/>
      <c r="T9" s="263"/>
      <c r="U9" s="262"/>
      <c r="V9" s="263"/>
      <c r="W9" s="262"/>
      <c r="X9" s="263"/>
      <c r="Y9" s="352"/>
      <c r="Z9" s="346"/>
      <c r="AC9" s="404"/>
      <c r="AD9" s="404"/>
      <c r="AE9" s="404"/>
      <c r="AF9" s="404"/>
    </row>
    <row r="10" spans="1:32" s="35" customFormat="1" ht="21.95" customHeight="1" x14ac:dyDescent="0.25">
      <c r="A10" s="30">
        <v>1</v>
      </c>
      <c r="B10" s="264">
        <v>43825</v>
      </c>
      <c r="C10" s="347">
        <f t="shared" ref="C10:C28" si="2">D10-B10</f>
        <v>33</v>
      </c>
      <c r="D10" s="264">
        <v>43858</v>
      </c>
      <c r="E10" s="347">
        <f t="shared" ref="E10:E28" si="3">F10-D10</f>
        <v>29</v>
      </c>
      <c r="F10" s="264">
        <v>43887</v>
      </c>
      <c r="G10" s="347">
        <f t="shared" ref="G10:G28" si="4">H10-F10</f>
        <v>32</v>
      </c>
      <c r="H10" s="264">
        <v>43919</v>
      </c>
      <c r="I10" s="347">
        <f t="shared" ref="I10:I28" si="5">J10-H10</f>
        <v>31</v>
      </c>
      <c r="J10" s="264">
        <v>43950</v>
      </c>
      <c r="K10" s="347">
        <f t="shared" ref="K10:K28" si="6">L10-J10</f>
        <v>29</v>
      </c>
      <c r="L10" s="264">
        <v>43979</v>
      </c>
      <c r="M10" s="347">
        <f t="shared" ref="M10:M28" si="7">N10-L10</f>
        <v>32</v>
      </c>
      <c r="N10" s="264">
        <v>44011</v>
      </c>
      <c r="O10" s="347">
        <f t="shared" ref="O10:O28" si="8">P10-N10</f>
        <v>30</v>
      </c>
      <c r="P10" s="264">
        <v>44041</v>
      </c>
      <c r="Q10" s="347">
        <f t="shared" ref="Q10:Q28" si="9">R10-P10</f>
        <v>31</v>
      </c>
      <c r="R10" s="264">
        <v>44072</v>
      </c>
      <c r="S10" s="347">
        <f t="shared" ref="S10:S28" si="10">T10-R10</f>
        <v>29</v>
      </c>
      <c r="T10" s="264">
        <v>44101</v>
      </c>
      <c r="U10" s="347">
        <f t="shared" ref="U10:U28" si="11">V10-T10</f>
        <v>29</v>
      </c>
      <c r="V10" s="264">
        <v>44130</v>
      </c>
      <c r="W10" s="347">
        <f t="shared" ref="W10:W28" si="12">X10-V10</f>
        <v>29</v>
      </c>
      <c r="X10" s="264">
        <v>44159</v>
      </c>
      <c r="Y10" s="348">
        <f t="shared" ref="Y10:Y28" si="13">Z10-X10</f>
        <v>34</v>
      </c>
      <c r="Z10" s="349">
        <v>44193</v>
      </c>
    </row>
    <row r="11" spans="1:32" s="35" customFormat="1" ht="21.95" customHeight="1" x14ac:dyDescent="0.25">
      <c r="A11" s="30">
        <v>2</v>
      </c>
      <c r="B11" s="264">
        <v>43825</v>
      </c>
      <c r="C11" s="347">
        <f t="shared" si="2"/>
        <v>33</v>
      </c>
      <c r="D11" s="264">
        <v>43858</v>
      </c>
      <c r="E11" s="347">
        <f t="shared" si="3"/>
        <v>29</v>
      </c>
      <c r="F11" s="264">
        <v>43887</v>
      </c>
      <c r="G11" s="347">
        <f t="shared" si="4"/>
        <v>32</v>
      </c>
      <c r="H11" s="264">
        <v>43919</v>
      </c>
      <c r="I11" s="347">
        <f t="shared" si="5"/>
        <v>31</v>
      </c>
      <c r="J11" s="264">
        <v>43950</v>
      </c>
      <c r="K11" s="347">
        <f t="shared" si="6"/>
        <v>29</v>
      </c>
      <c r="L11" s="264">
        <v>43979</v>
      </c>
      <c r="M11" s="347">
        <f t="shared" si="7"/>
        <v>32</v>
      </c>
      <c r="N11" s="264">
        <v>44011</v>
      </c>
      <c r="O11" s="347">
        <f t="shared" si="8"/>
        <v>30</v>
      </c>
      <c r="P11" s="264">
        <v>44041</v>
      </c>
      <c r="Q11" s="347">
        <f t="shared" si="9"/>
        <v>31</v>
      </c>
      <c r="R11" s="264">
        <v>44072</v>
      </c>
      <c r="S11" s="347">
        <f t="shared" si="10"/>
        <v>29</v>
      </c>
      <c r="T11" s="264">
        <v>44101</v>
      </c>
      <c r="U11" s="347">
        <f t="shared" si="11"/>
        <v>29</v>
      </c>
      <c r="V11" s="264">
        <v>44130</v>
      </c>
      <c r="W11" s="347">
        <f t="shared" si="12"/>
        <v>29</v>
      </c>
      <c r="X11" s="264">
        <v>44159</v>
      </c>
      <c r="Y11" s="348">
        <f t="shared" si="13"/>
        <v>34</v>
      </c>
      <c r="Z11" s="349">
        <v>44193</v>
      </c>
    </row>
    <row r="12" spans="1:32" s="35" customFormat="1" ht="21.95" customHeight="1" x14ac:dyDescent="0.25">
      <c r="A12" s="30">
        <v>3</v>
      </c>
      <c r="B12" s="264">
        <v>43825</v>
      </c>
      <c r="C12" s="347">
        <f t="shared" si="2"/>
        <v>33</v>
      </c>
      <c r="D12" s="264">
        <v>43858</v>
      </c>
      <c r="E12" s="347">
        <f t="shared" si="3"/>
        <v>29</v>
      </c>
      <c r="F12" s="264">
        <v>43887</v>
      </c>
      <c r="G12" s="347">
        <f t="shared" si="4"/>
        <v>32</v>
      </c>
      <c r="H12" s="264">
        <v>43919</v>
      </c>
      <c r="I12" s="347">
        <f t="shared" si="5"/>
        <v>31</v>
      </c>
      <c r="J12" s="264">
        <v>43950</v>
      </c>
      <c r="K12" s="347">
        <f t="shared" si="6"/>
        <v>29</v>
      </c>
      <c r="L12" s="264">
        <v>43979</v>
      </c>
      <c r="M12" s="347">
        <f t="shared" si="7"/>
        <v>32</v>
      </c>
      <c r="N12" s="264">
        <v>44011</v>
      </c>
      <c r="O12" s="347">
        <f t="shared" si="8"/>
        <v>30</v>
      </c>
      <c r="P12" s="264">
        <v>44041</v>
      </c>
      <c r="Q12" s="347">
        <f t="shared" si="9"/>
        <v>31</v>
      </c>
      <c r="R12" s="264">
        <v>44072</v>
      </c>
      <c r="S12" s="347">
        <f t="shared" si="10"/>
        <v>29</v>
      </c>
      <c r="T12" s="264">
        <v>44101</v>
      </c>
      <c r="U12" s="347">
        <f t="shared" si="11"/>
        <v>29</v>
      </c>
      <c r="V12" s="264">
        <v>44130</v>
      </c>
      <c r="W12" s="347">
        <f t="shared" si="12"/>
        <v>29</v>
      </c>
      <c r="X12" s="264">
        <v>44159</v>
      </c>
      <c r="Y12" s="348">
        <f t="shared" si="13"/>
        <v>34</v>
      </c>
      <c r="Z12" s="349">
        <v>44193</v>
      </c>
    </row>
    <row r="13" spans="1:32" s="35" customFormat="1" ht="21.95" customHeight="1" x14ac:dyDescent="0.25">
      <c r="A13" s="30">
        <v>4</v>
      </c>
      <c r="B13" s="264">
        <v>43825</v>
      </c>
      <c r="C13" s="347">
        <f t="shared" si="2"/>
        <v>33</v>
      </c>
      <c r="D13" s="264">
        <v>43858</v>
      </c>
      <c r="E13" s="347">
        <f t="shared" si="3"/>
        <v>29</v>
      </c>
      <c r="F13" s="264">
        <v>43887</v>
      </c>
      <c r="G13" s="347">
        <f t="shared" si="4"/>
        <v>32</v>
      </c>
      <c r="H13" s="264">
        <v>43919</v>
      </c>
      <c r="I13" s="347">
        <f t="shared" si="5"/>
        <v>31</v>
      </c>
      <c r="J13" s="264">
        <v>43950</v>
      </c>
      <c r="K13" s="347">
        <f t="shared" si="6"/>
        <v>29</v>
      </c>
      <c r="L13" s="264">
        <v>43979</v>
      </c>
      <c r="M13" s="347">
        <f t="shared" si="7"/>
        <v>32</v>
      </c>
      <c r="N13" s="264">
        <v>44011</v>
      </c>
      <c r="O13" s="347">
        <f t="shared" si="8"/>
        <v>30</v>
      </c>
      <c r="P13" s="264">
        <v>44041</v>
      </c>
      <c r="Q13" s="347">
        <f t="shared" si="9"/>
        <v>31</v>
      </c>
      <c r="R13" s="264">
        <v>44072</v>
      </c>
      <c r="S13" s="347">
        <f t="shared" si="10"/>
        <v>29</v>
      </c>
      <c r="T13" s="264">
        <v>44101</v>
      </c>
      <c r="U13" s="347">
        <f t="shared" si="11"/>
        <v>29</v>
      </c>
      <c r="V13" s="264">
        <v>44130</v>
      </c>
      <c r="W13" s="347">
        <f t="shared" si="12"/>
        <v>29</v>
      </c>
      <c r="X13" s="264">
        <v>44159</v>
      </c>
      <c r="Y13" s="348">
        <f t="shared" si="13"/>
        <v>34</v>
      </c>
      <c r="Z13" s="349">
        <v>44193</v>
      </c>
    </row>
    <row r="14" spans="1:32" s="35" customFormat="1" ht="21.95" customHeight="1" x14ac:dyDescent="0.25">
      <c r="A14" s="30">
        <v>5</v>
      </c>
      <c r="B14" s="264">
        <v>43825</v>
      </c>
      <c r="C14" s="347">
        <f t="shared" si="2"/>
        <v>33</v>
      </c>
      <c r="D14" s="264">
        <v>43858</v>
      </c>
      <c r="E14" s="347">
        <f t="shared" si="3"/>
        <v>29</v>
      </c>
      <c r="F14" s="264">
        <v>43887</v>
      </c>
      <c r="G14" s="347">
        <f t="shared" si="4"/>
        <v>32</v>
      </c>
      <c r="H14" s="264">
        <v>43919</v>
      </c>
      <c r="I14" s="347">
        <f t="shared" si="5"/>
        <v>31</v>
      </c>
      <c r="J14" s="264">
        <v>43950</v>
      </c>
      <c r="K14" s="347">
        <f t="shared" si="6"/>
        <v>29</v>
      </c>
      <c r="L14" s="264">
        <v>43979</v>
      </c>
      <c r="M14" s="347">
        <f t="shared" si="7"/>
        <v>32</v>
      </c>
      <c r="N14" s="264">
        <v>44011</v>
      </c>
      <c r="O14" s="347">
        <f t="shared" si="8"/>
        <v>30</v>
      </c>
      <c r="P14" s="264">
        <v>44041</v>
      </c>
      <c r="Q14" s="347">
        <f t="shared" si="9"/>
        <v>31</v>
      </c>
      <c r="R14" s="264">
        <v>44072</v>
      </c>
      <c r="S14" s="347">
        <f t="shared" si="10"/>
        <v>29</v>
      </c>
      <c r="T14" s="264">
        <v>44101</v>
      </c>
      <c r="U14" s="347">
        <f t="shared" si="11"/>
        <v>29</v>
      </c>
      <c r="V14" s="264">
        <v>44130</v>
      </c>
      <c r="W14" s="347">
        <f t="shared" si="12"/>
        <v>29</v>
      </c>
      <c r="X14" s="264">
        <v>44159</v>
      </c>
      <c r="Y14" s="348">
        <f t="shared" si="13"/>
        <v>34</v>
      </c>
      <c r="Z14" s="349">
        <v>44193</v>
      </c>
    </row>
    <row r="15" spans="1:32" s="35" customFormat="1" ht="21.95" customHeight="1" x14ac:dyDescent="0.25">
      <c r="A15" s="30">
        <v>6</v>
      </c>
      <c r="B15" s="264">
        <v>43825</v>
      </c>
      <c r="C15" s="347">
        <f t="shared" si="2"/>
        <v>33</v>
      </c>
      <c r="D15" s="264">
        <v>43858</v>
      </c>
      <c r="E15" s="347">
        <f t="shared" si="3"/>
        <v>29</v>
      </c>
      <c r="F15" s="264">
        <v>43887</v>
      </c>
      <c r="G15" s="347">
        <f t="shared" si="4"/>
        <v>32</v>
      </c>
      <c r="H15" s="264">
        <v>43919</v>
      </c>
      <c r="I15" s="347">
        <f t="shared" si="5"/>
        <v>31</v>
      </c>
      <c r="J15" s="264">
        <v>43950</v>
      </c>
      <c r="K15" s="347">
        <f t="shared" si="6"/>
        <v>29</v>
      </c>
      <c r="L15" s="264">
        <v>43979</v>
      </c>
      <c r="M15" s="347">
        <f t="shared" si="7"/>
        <v>32</v>
      </c>
      <c r="N15" s="264">
        <v>44011</v>
      </c>
      <c r="O15" s="347">
        <f t="shared" si="8"/>
        <v>30</v>
      </c>
      <c r="P15" s="264">
        <v>44041</v>
      </c>
      <c r="Q15" s="347">
        <f t="shared" si="9"/>
        <v>31</v>
      </c>
      <c r="R15" s="264">
        <v>44072</v>
      </c>
      <c r="S15" s="347">
        <f t="shared" si="10"/>
        <v>29</v>
      </c>
      <c r="T15" s="264">
        <v>44101</v>
      </c>
      <c r="U15" s="347">
        <f t="shared" si="11"/>
        <v>29</v>
      </c>
      <c r="V15" s="264">
        <v>44130</v>
      </c>
      <c r="W15" s="347">
        <f t="shared" si="12"/>
        <v>29</v>
      </c>
      <c r="X15" s="264">
        <v>44159</v>
      </c>
      <c r="Y15" s="348">
        <f t="shared" si="13"/>
        <v>34</v>
      </c>
      <c r="Z15" s="349">
        <v>44193</v>
      </c>
    </row>
    <row r="16" spans="1:32" s="35" customFormat="1" ht="21.95" customHeight="1" x14ac:dyDescent="0.25">
      <c r="A16" s="30">
        <v>7</v>
      </c>
      <c r="B16" s="264">
        <v>43825</v>
      </c>
      <c r="C16" s="347">
        <f t="shared" si="2"/>
        <v>33</v>
      </c>
      <c r="D16" s="264">
        <v>43858</v>
      </c>
      <c r="E16" s="347">
        <f t="shared" si="3"/>
        <v>29</v>
      </c>
      <c r="F16" s="264">
        <v>43887</v>
      </c>
      <c r="G16" s="347">
        <f t="shared" si="4"/>
        <v>32</v>
      </c>
      <c r="H16" s="264">
        <v>43919</v>
      </c>
      <c r="I16" s="347">
        <f t="shared" si="5"/>
        <v>31</v>
      </c>
      <c r="J16" s="264">
        <v>43950</v>
      </c>
      <c r="K16" s="347">
        <f t="shared" si="6"/>
        <v>29</v>
      </c>
      <c r="L16" s="264">
        <v>43979</v>
      </c>
      <c r="M16" s="347">
        <f t="shared" si="7"/>
        <v>32</v>
      </c>
      <c r="N16" s="264">
        <v>44011</v>
      </c>
      <c r="O16" s="347">
        <f t="shared" si="8"/>
        <v>30</v>
      </c>
      <c r="P16" s="264">
        <v>44041</v>
      </c>
      <c r="Q16" s="347">
        <f t="shared" si="9"/>
        <v>31</v>
      </c>
      <c r="R16" s="264">
        <v>44072</v>
      </c>
      <c r="S16" s="347">
        <f t="shared" si="10"/>
        <v>29</v>
      </c>
      <c r="T16" s="264">
        <v>44101</v>
      </c>
      <c r="U16" s="347">
        <f t="shared" si="11"/>
        <v>29</v>
      </c>
      <c r="V16" s="264">
        <v>44130</v>
      </c>
      <c r="W16" s="347">
        <f t="shared" si="12"/>
        <v>29</v>
      </c>
      <c r="X16" s="264">
        <v>44159</v>
      </c>
      <c r="Y16" s="348">
        <f t="shared" si="13"/>
        <v>34</v>
      </c>
      <c r="Z16" s="349">
        <v>44193</v>
      </c>
    </row>
    <row r="17" spans="1:26" s="35" customFormat="1" ht="21.95" customHeight="1" x14ac:dyDescent="0.25">
      <c r="A17" s="30">
        <v>8</v>
      </c>
      <c r="B17" s="264">
        <v>43825</v>
      </c>
      <c r="C17" s="347">
        <f t="shared" si="2"/>
        <v>33</v>
      </c>
      <c r="D17" s="264">
        <v>43858</v>
      </c>
      <c r="E17" s="347">
        <f t="shared" si="3"/>
        <v>29</v>
      </c>
      <c r="F17" s="264">
        <v>43887</v>
      </c>
      <c r="G17" s="347">
        <f t="shared" si="4"/>
        <v>32</v>
      </c>
      <c r="H17" s="264">
        <v>43919</v>
      </c>
      <c r="I17" s="347">
        <f t="shared" si="5"/>
        <v>31</v>
      </c>
      <c r="J17" s="264">
        <v>43950</v>
      </c>
      <c r="K17" s="347">
        <f t="shared" si="6"/>
        <v>29</v>
      </c>
      <c r="L17" s="264">
        <v>43979</v>
      </c>
      <c r="M17" s="347">
        <f t="shared" si="7"/>
        <v>32</v>
      </c>
      <c r="N17" s="264">
        <v>44011</v>
      </c>
      <c r="O17" s="347">
        <f t="shared" si="8"/>
        <v>30</v>
      </c>
      <c r="P17" s="264">
        <v>44041</v>
      </c>
      <c r="Q17" s="347">
        <f t="shared" si="9"/>
        <v>31</v>
      </c>
      <c r="R17" s="264">
        <v>44072</v>
      </c>
      <c r="S17" s="347">
        <f t="shared" si="10"/>
        <v>29</v>
      </c>
      <c r="T17" s="264">
        <v>44101</v>
      </c>
      <c r="U17" s="347">
        <f t="shared" si="11"/>
        <v>29</v>
      </c>
      <c r="V17" s="264">
        <v>44130</v>
      </c>
      <c r="W17" s="347">
        <f t="shared" si="12"/>
        <v>29</v>
      </c>
      <c r="X17" s="264">
        <v>44159</v>
      </c>
      <c r="Y17" s="348">
        <f t="shared" si="13"/>
        <v>34</v>
      </c>
      <c r="Z17" s="349">
        <v>44193</v>
      </c>
    </row>
    <row r="18" spans="1:26" s="35" customFormat="1" ht="21.95" customHeight="1" x14ac:dyDescent="0.25">
      <c r="A18" s="30">
        <v>9</v>
      </c>
      <c r="B18" s="264">
        <v>43825</v>
      </c>
      <c r="C18" s="347">
        <f t="shared" si="2"/>
        <v>33</v>
      </c>
      <c r="D18" s="264">
        <v>43858</v>
      </c>
      <c r="E18" s="347">
        <f t="shared" si="3"/>
        <v>29</v>
      </c>
      <c r="F18" s="264">
        <v>43887</v>
      </c>
      <c r="G18" s="347">
        <f t="shared" si="4"/>
        <v>32</v>
      </c>
      <c r="H18" s="264">
        <v>43919</v>
      </c>
      <c r="I18" s="347">
        <f t="shared" si="5"/>
        <v>31</v>
      </c>
      <c r="J18" s="264">
        <v>43950</v>
      </c>
      <c r="K18" s="347">
        <f t="shared" si="6"/>
        <v>29</v>
      </c>
      <c r="L18" s="264">
        <v>43979</v>
      </c>
      <c r="M18" s="347">
        <f t="shared" si="7"/>
        <v>32</v>
      </c>
      <c r="N18" s="264">
        <v>44011</v>
      </c>
      <c r="O18" s="347">
        <f t="shared" si="8"/>
        <v>30</v>
      </c>
      <c r="P18" s="264">
        <v>44041</v>
      </c>
      <c r="Q18" s="347">
        <f t="shared" si="9"/>
        <v>31</v>
      </c>
      <c r="R18" s="264">
        <v>44072</v>
      </c>
      <c r="S18" s="347">
        <f t="shared" si="10"/>
        <v>29</v>
      </c>
      <c r="T18" s="264">
        <v>44101</v>
      </c>
      <c r="U18" s="347">
        <f t="shared" si="11"/>
        <v>29</v>
      </c>
      <c r="V18" s="264">
        <v>44130</v>
      </c>
      <c r="W18" s="347">
        <f t="shared" si="12"/>
        <v>29</v>
      </c>
      <c r="X18" s="264">
        <v>44159</v>
      </c>
      <c r="Y18" s="348">
        <f t="shared" si="13"/>
        <v>34</v>
      </c>
      <c r="Z18" s="349">
        <v>44193</v>
      </c>
    </row>
    <row r="19" spans="1:26" s="35" customFormat="1" ht="21.95" customHeight="1" x14ac:dyDescent="0.25">
      <c r="A19" s="30">
        <v>10</v>
      </c>
      <c r="B19" s="264">
        <v>43825</v>
      </c>
      <c r="C19" s="347">
        <f t="shared" si="2"/>
        <v>33</v>
      </c>
      <c r="D19" s="264">
        <v>43858</v>
      </c>
      <c r="E19" s="347">
        <f t="shared" si="3"/>
        <v>29</v>
      </c>
      <c r="F19" s="264">
        <v>43887</v>
      </c>
      <c r="G19" s="347">
        <f t="shared" si="4"/>
        <v>32</v>
      </c>
      <c r="H19" s="264">
        <v>43919</v>
      </c>
      <c r="I19" s="347">
        <f t="shared" si="5"/>
        <v>31</v>
      </c>
      <c r="J19" s="264">
        <v>43950</v>
      </c>
      <c r="K19" s="347">
        <f t="shared" si="6"/>
        <v>29</v>
      </c>
      <c r="L19" s="264">
        <v>43979</v>
      </c>
      <c r="M19" s="347">
        <f t="shared" si="7"/>
        <v>32</v>
      </c>
      <c r="N19" s="264">
        <v>44011</v>
      </c>
      <c r="O19" s="347">
        <f t="shared" si="8"/>
        <v>30</v>
      </c>
      <c r="P19" s="264">
        <v>44041</v>
      </c>
      <c r="Q19" s="347">
        <f t="shared" si="9"/>
        <v>31</v>
      </c>
      <c r="R19" s="264">
        <v>44072</v>
      </c>
      <c r="S19" s="347">
        <f t="shared" si="10"/>
        <v>29</v>
      </c>
      <c r="T19" s="264">
        <v>44101</v>
      </c>
      <c r="U19" s="347">
        <f t="shared" si="11"/>
        <v>29</v>
      </c>
      <c r="V19" s="264">
        <v>44130</v>
      </c>
      <c r="W19" s="347">
        <f t="shared" si="12"/>
        <v>29</v>
      </c>
      <c r="X19" s="264">
        <v>44159</v>
      </c>
      <c r="Y19" s="348">
        <f t="shared" si="13"/>
        <v>34</v>
      </c>
      <c r="Z19" s="349">
        <v>44193</v>
      </c>
    </row>
    <row r="20" spans="1:26" s="35" customFormat="1" ht="21.95" customHeight="1" x14ac:dyDescent="0.25">
      <c r="A20" s="30">
        <v>11</v>
      </c>
      <c r="B20" s="264">
        <v>43825</v>
      </c>
      <c r="C20" s="347">
        <f t="shared" si="2"/>
        <v>33</v>
      </c>
      <c r="D20" s="264">
        <v>43858</v>
      </c>
      <c r="E20" s="347">
        <f t="shared" si="3"/>
        <v>29</v>
      </c>
      <c r="F20" s="264">
        <v>43887</v>
      </c>
      <c r="G20" s="347">
        <f t="shared" si="4"/>
        <v>32</v>
      </c>
      <c r="H20" s="264">
        <v>43919</v>
      </c>
      <c r="I20" s="347">
        <f t="shared" si="5"/>
        <v>31</v>
      </c>
      <c r="J20" s="264">
        <v>43950</v>
      </c>
      <c r="K20" s="347">
        <f t="shared" si="6"/>
        <v>29</v>
      </c>
      <c r="L20" s="264">
        <v>43979</v>
      </c>
      <c r="M20" s="347">
        <f t="shared" si="7"/>
        <v>32</v>
      </c>
      <c r="N20" s="264">
        <v>44011</v>
      </c>
      <c r="O20" s="347">
        <f t="shared" si="8"/>
        <v>30</v>
      </c>
      <c r="P20" s="264">
        <v>44041</v>
      </c>
      <c r="Q20" s="347">
        <f t="shared" si="9"/>
        <v>31</v>
      </c>
      <c r="R20" s="264">
        <v>44072</v>
      </c>
      <c r="S20" s="347">
        <f t="shared" si="10"/>
        <v>29</v>
      </c>
      <c r="T20" s="264">
        <v>44101</v>
      </c>
      <c r="U20" s="347">
        <f t="shared" si="11"/>
        <v>29</v>
      </c>
      <c r="V20" s="264">
        <v>44130</v>
      </c>
      <c r="W20" s="347">
        <f t="shared" si="12"/>
        <v>29</v>
      </c>
      <c r="X20" s="264">
        <v>44159</v>
      </c>
      <c r="Y20" s="348">
        <f t="shared" si="13"/>
        <v>34</v>
      </c>
      <c r="Z20" s="349">
        <v>44193</v>
      </c>
    </row>
    <row r="21" spans="1:26" s="35" customFormat="1" ht="21.95" customHeight="1" x14ac:dyDescent="0.25">
      <c r="A21" s="30">
        <v>12</v>
      </c>
      <c r="B21" s="264">
        <v>43825</v>
      </c>
      <c r="C21" s="347">
        <f t="shared" si="2"/>
        <v>33</v>
      </c>
      <c r="D21" s="264">
        <v>43858</v>
      </c>
      <c r="E21" s="347">
        <f t="shared" si="3"/>
        <v>29</v>
      </c>
      <c r="F21" s="264">
        <v>43887</v>
      </c>
      <c r="G21" s="347">
        <f t="shared" si="4"/>
        <v>32</v>
      </c>
      <c r="H21" s="264">
        <v>43919</v>
      </c>
      <c r="I21" s="347">
        <f t="shared" si="5"/>
        <v>31</v>
      </c>
      <c r="J21" s="264">
        <v>43950</v>
      </c>
      <c r="K21" s="347">
        <f t="shared" si="6"/>
        <v>29</v>
      </c>
      <c r="L21" s="264">
        <v>43979</v>
      </c>
      <c r="M21" s="347">
        <f t="shared" si="7"/>
        <v>32</v>
      </c>
      <c r="N21" s="264">
        <v>44011</v>
      </c>
      <c r="O21" s="347">
        <f t="shared" si="8"/>
        <v>30</v>
      </c>
      <c r="P21" s="264">
        <v>44041</v>
      </c>
      <c r="Q21" s="347">
        <f t="shared" si="9"/>
        <v>31</v>
      </c>
      <c r="R21" s="264">
        <v>44072</v>
      </c>
      <c r="S21" s="347">
        <f t="shared" si="10"/>
        <v>29</v>
      </c>
      <c r="T21" s="264">
        <v>44101</v>
      </c>
      <c r="U21" s="347">
        <f t="shared" si="11"/>
        <v>29</v>
      </c>
      <c r="V21" s="264">
        <v>44130</v>
      </c>
      <c r="W21" s="347">
        <f t="shared" si="12"/>
        <v>29</v>
      </c>
      <c r="X21" s="264">
        <v>44159</v>
      </c>
      <c r="Y21" s="348">
        <f t="shared" si="13"/>
        <v>34</v>
      </c>
      <c r="Z21" s="349">
        <v>44193</v>
      </c>
    </row>
    <row r="22" spans="1:26" s="35" customFormat="1" ht="21.95" customHeight="1" x14ac:dyDescent="0.25">
      <c r="A22" s="30">
        <v>13</v>
      </c>
      <c r="B22" s="264">
        <v>43825</v>
      </c>
      <c r="C22" s="347">
        <f t="shared" si="2"/>
        <v>33</v>
      </c>
      <c r="D22" s="264">
        <v>43858</v>
      </c>
      <c r="E22" s="347">
        <f t="shared" si="3"/>
        <v>29</v>
      </c>
      <c r="F22" s="264">
        <v>43887</v>
      </c>
      <c r="G22" s="347">
        <f t="shared" si="4"/>
        <v>32</v>
      </c>
      <c r="H22" s="264">
        <v>43919</v>
      </c>
      <c r="I22" s="347">
        <f t="shared" si="5"/>
        <v>31</v>
      </c>
      <c r="J22" s="264">
        <v>43950</v>
      </c>
      <c r="K22" s="347">
        <f t="shared" si="6"/>
        <v>29</v>
      </c>
      <c r="L22" s="264">
        <v>43979</v>
      </c>
      <c r="M22" s="347">
        <f t="shared" si="7"/>
        <v>32</v>
      </c>
      <c r="N22" s="264">
        <v>44011</v>
      </c>
      <c r="O22" s="347">
        <f t="shared" si="8"/>
        <v>30</v>
      </c>
      <c r="P22" s="264">
        <v>44041</v>
      </c>
      <c r="Q22" s="347">
        <f t="shared" si="9"/>
        <v>31</v>
      </c>
      <c r="R22" s="264">
        <v>44072</v>
      </c>
      <c r="S22" s="347">
        <f t="shared" si="10"/>
        <v>29</v>
      </c>
      <c r="T22" s="264">
        <v>44101</v>
      </c>
      <c r="U22" s="347">
        <f t="shared" si="11"/>
        <v>29</v>
      </c>
      <c r="V22" s="264">
        <v>44130</v>
      </c>
      <c r="W22" s="347">
        <f t="shared" si="12"/>
        <v>29</v>
      </c>
      <c r="X22" s="264">
        <v>44159</v>
      </c>
      <c r="Y22" s="348">
        <f t="shared" si="13"/>
        <v>34</v>
      </c>
      <c r="Z22" s="349">
        <v>44193</v>
      </c>
    </row>
    <row r="23" spans="1:26" s="35" customFormat="1" ht="21.95" customHeight="1" x14ac:dyDescent="0.25">
      <c r="A23" s="30">
        <v>14</v>
      </c>
      <c r="B23" s="264">
        <v>43825</v>
      </c>
      <c r="C23" s="347">
        <f t="shared" si="2"/>
        <v>33</v>
      </c>
      <c r="D23" s="264">
        <v>43858</v>
      </c>
      <c r="E23" s="347">
        <f t="shared" si="3"/>
        <v>29</v>
      </c>
      <c r="F23" s="264">
        <v>43887</v>
      </c>
      <c r="G23" s="347">
        <f t="shared" si="4"/>
        <v>32</v>
      </c>
      <c r="H23" s="264">
        <v>43919</v>
      </c>
      <c r="I23" s="347">
        <f t="shared" si="5"/>
        <v>31</v>
      </c>
      <c r="J23" s="264">
        <v>43950</v>
      </c>
      <c r="K23" s="347">
        <f t="shared" si="6"/>
        <v>29</v>
      </c>
      <c r="L23" s="264">
        <v>43979</v>
      </c>
      <c r="M23" s="347">
        <f t="shared" si="7"/>
        <v>32</v>
      </c>
      <c r="N23" s="264">
        <v>44011</v>
      </c>
      <c r="O23" s="347">
        <f t="shared" si="8"/>
        <v>30</v>
      </c>
      <c r="P23" s="264">
        <v>44041</v>
      </c>
      <c r="Q23" s="347">
        <f t="shared" si="9"/>
        <v>31</v>
      </c>
      <c r="R23" s="264">
        <v>44072</v>
      </c>
      <c r="S23" s="347">
        <f t="shared" si="10"/>
        <v>29</v>
      </c>
      <c r="T23" s="264">
        <v>44101</v>
      </c>
      <c r="U23" s="347">
        <f t="shared" si="11"/>
        <v>29</v>
      </c>
      <c r="V23" s="264">
        <v>44130</v>
      </c>
      <c r="W23" s="347">
        <f t="shared" si="12"/>
        <v>29</v>
      </c>
      <c r="X23" s="264">
        <v>44159</v>
      </c>
      <c r="Y23" s="348">
        <f t="shared" si="13"/>
        <v>34</v>
      </c>
      <c r="Z23" s="349">
        <v>44193</v>
      </c>
    </row>
    <row r="24" spans="1:26" s="35" customFormat="1" ht="21.95" customHeight="1" x14ac:dyDescent="0.25">
      <c r="A24" s="30">
        <v>15</v>
      </c>
      <c r="B24" s="264">
        <v>43825</v>
      </c>
      <c r="C24" s="347">
        <f t="shared" si="2"/>
        <v>33</v>
      </c>
      <c r="D24" s="264">
        <v>43858</v>
      </c>
      <c r="E24" s="347">
        <f t="shared" si="3"/>
        <v>29</v>
      </c>
      <c r="F24" s="264">
        <v>43887</v>
      </c>
      <c r="G24" s="347">
        <f t="shared" si="4"/>
        <v>32</v>
      </c>
      <c r="H24" s="264">
        <v>43919</v>
      </c>
      <c r="I24" s="347">
        <f t="shared" si="5"/>
        <v>31</v>
      </c>
      <c r="J24" s="264">
        <v>43950</v>
      </c>
      <c r="K24" s="347">
        <f t="shared" si="6"/>
        <v>29</v>
      </c>
      <c r="L24" s="264">
        <v>43979</v>
      </c>
      <c r="M24" s="347">
        <f t="shared" si="7"/>
        <v>32</v>
      </c>
      <c r="N24" s="264">
        <v>44011</v>
      </c>
      <c r="O24" s="347">
        <f t="shared" si="8"/>
        <v>30</v>
      </c>
      <c r="P24" s="264">
        <v>44041</v>
      </c>
      <c r="Q24" s="347">
        <f t="shared" si="9"/>
        <v>31</v>
      </c>
      <c r="R24" s="264">
        <v>44072</v>
      </c>
      <c r="S24" s="347">
        <f t="shared" si="10"/>
        <v>29</v>
      </c>
      <c r="T24" s="264">
        <v>44101</v>
      </c>
      <c r="U24" s="347">
        <f t="shared" si="11"/>
        <v>29</v>
      </c>
      <c r="V24" s="264">
        <v>44130</v>
      </c>
      <c r="W24" s="347">
        <f t="shared" si="12"/>
        <v>29</v>
      </c>
      <c r="X24" s="264">
        <v>44159</v>
      </c>
      <c r="Y24" s="348">
        <f t="shared" si="13"/>
        <v>34</v>
      </c>
      <c r="Z24" s="349">
        <v>44193</v>
      </c>
    </row>
    <row r="25" spans="1:26" s="35" customFormat="1" ht="21.95" customHeight="1" x14ac:dyDescent="0.25">
      <c r="A25" s="30">
        <v>16</v>
      </c>
      <c r="B25" s="264">
        <v>43825</v>
      </c>
      <c r="C25" s="347">
        <f t="shared" si="2"/>
        <v>33</v>
      </c>
      <c r="D25" s="264">
        <v>43858</v>
      </c>
      <c r="E25" s="347">
        <f t="shared" si="3"/>
        <v>29</v>
      </c>
      <c r="F25" s="264">
        <v>43887</v>
      </c>
      <c r="G25" s="347">
        <f t="shared" si="4"/>
        <v>32</v>
      </c>
      <c r="H25" s="264">
        <v>43919</v>
      </c>
      <c r="I25" s="347">
        <f t="shared" si="5"/>
        <v>31</v>
      </c>
      <c r="J25" s="264">
        <v>43950</v>
      </c>
      <c r="K25" s="347">
        <f t="shared" si="6"/>
        <v>29</v>
      </c>
      <c r="L25" s="264">
        <v>43979</v>
      </c>
      <c r="M25" s="347">
        <f t="shared" si="7"/>
        <v>32</v>
      </c>
      <c r="N25" s="264">
        <v>44011</v>
      </c>
      <c r="O25" s="347">
        <f t="shared" si="8"/>
        <v>30</v>
      </c>
      <c r="P25" s="264">
        <v>44041</v>
      </c>
      <c r="Q25" s="347">
        <f t="shared" si="9"/>
        <v>31</v>
      </c>
      <c r="R25" s="264">
        <v>44072</v>
      </c>
      <c r="S25" s="347">
        <f t="shared" si="10"/>
        <v>29</v>
      </c>
      <c r="T25" s="264">
        <v>44101</v>
      </c>
      <c r="U25" s="347">
        <f t="shared" si="11"/>
        <v>29</v>
      </c>
      <c r="V25" s="264">
        <v>44130</v>
      </c>
      <c r="W25" s="347">
        <f t="shared" si="12"/>
        <v>29</v>
      </c>
      <c r="X25" s="264">
        <v>44159</v>
      </c>
      <c r="Y25" s="348">
        <f t="shared" si="13"/>
        <v>34</v>
      </c>
      <c r="Z25" s="349">
        <v>44193</v>
      </c>
    </row>
    <row r="26" spans="1:26" s="35" customFormat="1" ht="21.95" customHeight="1" x14ac:dyDescent="0.25">
      <c r="A26" s="30">
        <v>17</v>
      </c>
      <c r="B26" s="264">
        <v>43825</v>
      </c>
      <c r="C26" s="347">
        <f t="shared" si="2"/>
        <v>33</v>
      </c>
      <c r="D26" s="264">
        <v>43858</v>
      </c>
      <c r="E26" s="347">
        <f t="shared" si="3"/>
        <v>29</v>
      </c>
      <c r="F26" s="264">
        <v>43887</v>
      </c>
      <c r="G26" s="347">
        <f t="shared" si="4"/>
        <v>32</v>
      </c>
      <c r="H26" s="264">
        <v>43919</v>
      </c>
      <c r="I26" s="347">
        <f t="shared" si="5"/>
        <v>31</v>
      </c>
      <c r="J26" s="264">
        <v>43950</v>
      </c>
      <c r="K26" s="347">
        <f t="shared" si="6"/>
        <v>29</v>
      </c>
      <c r="L26" s="264">
        <v>43979</v>
      </c>
      <c r="M26" s="347">
        <f t="shared" si="7"/>
        <v>32</v>
      </c>
      <c r="N26" s="264">
        <v>44011</v>
      </c>
      <c r="O26" s="347">
        <f t="shared" si="8"/>
        <v>30</v>
      </c>
      <c r="P26" s="264">
        <v>44041</v>
      </c>
      <c r="Q26" s="347">
        <f t="shared" si="9"/>
        <v>31</v>
      </c>
      <c r="R26" s="264">
        <v>44072</v>
      </c>
      <c r="S26" s="347">
        <f t="shared" si="10"/>
        <v>29</v>
      </c>
      <c r="T26" s="264">
        <v>44101</v>
      </c>
      <c r="U26" s="347">
        <f t="shared" si="11"/>
        <v>29</v>
      </c>
      <c r="V26" s="264">
        <v>44130</v>
      </c>
      <c r="W26" s="347">
        <f t="shared" si="12"/>
        <v>29</v>
      </c>
      <c r="X26" s="264">
        <v>44159</v>
      </c>
      <c r="Y26" s="348">
        <f t="shared" si="13"/>
        <v>34</v>
      </c>
      <c r="Z26" s="349">
        <v>44193</v>
      </c>
    </row>
    <row r="27" spans="1:26" s="35" customFormat="1" ht="21.95" customHeight="1" x14ac:dyDescent="0.25">
      <c r="A27" s="30">
        <v>18</v>
      </c>
      <c r="B27" s="264">
        <v>43825</v>
      </c>
      <c r="C27" s="347">
        <f t="shared" si="2"/>
        <v>33</v>
      </c>
      <c r="D27" s="264">
        <v>43858</v>
      </c>
      <c r="E27" s="347">
        <f t="shared" si="3"/>
        <v>29</v>
      </c>
      <c r="F27" s="264">
        <v>43887</v>
      </c>
      <c r="G27" s="347">
        <f t="shared" si="4"/>
        <v>32</v>
      </c>
      <c r="H27" s="264">
        <v>43919</v>
      </c>
      <c r="I27" s="347">
        <f t="shared" si="5"/>
        <v>31</v>
      </c>
      <c r="J27" s="264">
        <v>43950</v>
      </c>
      <c r="K27" s="347">
        <f t="shared" si="6"/>
        <v>29</v>
      </c>
      <c r="L27" s="264">
        <v>43979</v>
      </c>
      <c r="M27" s="347">
        <f t="shared" si="7"/>
        <v>32</v>
      </c>
      <c r="N27" s="264">
        <v>44011</v>
      </c>
      <c r="O27" s="347">
        <f t="shared" si="8"/>
        <v>30</v>
      </c>
      <c r="P27" s="264">
        <v>44041</v>
      </c>
      <c r="Q27" s="347">
        <f t="shared" si="9"/>
        <v>31</v>
      </c>
      <c r="R27" s="264">
        <v>44072</v>
      </c>
      <c r="S27" s="347">
        <f t="shared" si="10"/>
        <v>29</v>
      </c>
      <c r="T27" s="264">
        <v>44101</v>
      </c>
      <c r="U27" s="347">
        <f t="shared" si="11"/>
        <v>29</v>
      </c>
      <c r="V27" s="264">
        <v>44130</v>
      </c>
      <c r="W27" s="347">
        <f t="shared" si="12"/>
        <v>29</v>
      </c>
      <c r="X27" s="264">
        <v>44159</v>
      </c>
      <c r="Y27" s="348">
        <f t="shared" si="13"/>
        <v>34</v>
      </c>
      <c r="Z27" s="349">
        <v>44193</v>
      </c>
    </row>
    <row r="28" spans="1:26" s="35" customFormat="1" ht="21.95" customHeight="1" x14ac:dyDescent="0.25">
      <c r="A28" s="30">
        <v>19</v>
      </c>
      <c r="B28" s="264">
        <v>43825</v>
      </c>
      <c r="C28" s="347">
        <f t="shared" si="2"/>
        <v>33</v>
      </c>
      <c r="D28" s="264">
        <v>43858</v>
      </c>
      <c r="E28" s="347">
        <f t="shared" si="3"/>
        <v>29</v>
      </c>
      <c r="F28" s="264">
        <v>43887</v>
      </c>
      <c r="G28" s="347">
        <f t="shared" si="4"/>
        <v>32</v>
      </c>
      <c r="H28" s="264">
        <v>43919</v>
      </c>
      <c r="I28" s="347">
        <f t="shared" si="5"/>
        <v>31</v>
      </c>
      <c r="J28" s="264">
        <v>43950</v>
      </c>
      <c r="K28" s="347">
        <f t="shared" si="6"/>
        <v>29</v>
      </c>
      <c r="L28" s="264">
        <v>43979</v>
      </c>
      <c r="M28" s="347">
        <f t="shared" si="7"/>
        <v>32</v>
      </c>
      <c r="N28" s="264">
        <v>44011</v>
      </c>
      <c r="O28" s="347">
        <f t="shared" si="8"/>
        <v>30</v>
      </c>
      <c r="P28" s="264">
        <v>44041</v>
      </c>
      <c r="Q28" s="347">
        <f t="shared" si="9"/>
        <v>31</v>
      </c>
      <c r="R28" s="264">
        <v>44072</v>
      </c>
      <c r="S28" s="347">
        <f t="shared" si="10"/>
        <v>29</v>
      </c>
      <c r="T28" s="264">
        <v>44101</v>
      </c>
      <c r="U28" s="347">
        <f t="shared" si="11"/>
        <v>29</v>
      </c>
      <c r="V28" s="264">
        <v>44130</v>
      </c>
      <c r="W28" s="347">
        <f t="shared" si="12"/>
        <v>29</v>
      </c>
      <c r="X28" s="264">
        <v>44159</v>
      </c>
      <c r="Y28" s="348">
        <f t="shared" si="13"/>
        <v>34</v>
      </c>
      <c r="Z28" s="349">
        <v>44193</v>
      </c>
    </row>
    <row r="29" spans="1:26" s="35" customFormat="1" ht="21.95" customHeight="1" x14ac:dyDescent="0.25">
      <c r="A29" s="30"/>
    </row>
    <row r="30" spans="1:26" ht="21.95" customHeight="1" x14ac:dyDescent="0.2"/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P64"/>
  <sheetViews>
    <sheetView workbookViewId="0">
      <selection activeCell="M1" sqref="M1:R1048576"/>
    </sheetView>
  </sheetViews>
  <sheetFormatPr defaultRowHeight="15" x14ac:dyDescent="0.25"/>
  <cols>
    <col min="1" max="1" width="9.140625" style="293"/>
    <col min="2" max="2" width="3.7109375" style="293" customWidth="1"/>
    <col min="3" max="3" width="25.85546875" customWidth="1"/>
    <col min="4" max="4" width="16.42578125" customWidth="1"/>
    <col min="5" max="5" width="13.7109375" bestFit="1" customWidth="1"/>
    <col min="6" max="10" width="11.85546875" customWidth="1"/>
    <col min="12" max="12" width="9.140625" style="289"/>
  </cols>
  <sheetData>
    <row r="1" spans="1:16" s="293" customFormat="1" x14ac:dyDescent="0.25">
      <c r="A1" s="394" t="s">
        <v>242</v>
      </c>
      <c r="B1" s="394"/>
      <c r="C1" s="394"/>
      <c r="D1" s="68"/>
      <c r="L1" s="289"/>
    </row>
    <row r="2" spans="1:16" ht="2.25" customHeight="1" x14ac:dyDescent="0.25">
      <c r="A2"/>
      <c r="B2"/>
    </row>
    <row r="3" spans="1:16" s="293" customFormat="1" x14ac:dyDescent="0.25">
      <c r="A3" s="325" t="s">
        <v>252</v>
      </c>
      <c r="B3" s="183"/>
      <c r="C3" s="183"/>
      <c r="D3" s="183"/>
      <c r="E3" s="324">
        <v>44105</v>
      </c>
      <c r="F3" s="324">
        <f>EDATE(E3,1)</f>
        <v>44136</v>
      </c>
      <c r="G3" s="324">
        <f t="shared" ref="G3:J3" si="0">EDATE(F3,1)</f>
        <v>44166</v>
      </c>
      <c r="H3" s="324">
        <f t="shared" si="0"/>
        <v>44197</v>
      </c>
      <c r="I3" s="324">
        <f t="shared" si="0"/>
        <v>44228</v>
      </c>
      <c r="J3" s="324">
        <f t="shared" si="0"/>
        <v>44256</v>
      </c>
      <c r="K3" s="231" t="s">
        <v>17</v>
      </c>
      <c r="L3" s="322"/>
    </row>
    <row r="4" spans="1:16" s="293" customFormat="1" ht="0.75" customHeight="1" x14ac:dyDescent="0.25">
      <c r="L4" s="289"/>
    </row>
    <row r="5" spans="1:16" s="293" customFormat="1" x14ac:dyDescent="0.25">
      <c r="A5" s="321">
        <v>1</v>
      </c>
      <c r="B5" s="293" t="s">
        <v>240</v>
      </c>
      <c r="L5" s="289"/>
    </row>
    <row r="6" spans="1:16" x14ac:dyDescent="0.25">
      <c r="A6" s="321">
        <f>A5+1</f>
        <v>2</v>
      </c>
      <c r="C6" s="274" t="s">
        <v>150</v>
      </c>
      <c r="D6" s="321" t="s">
        <v>246</v>
      </c>
      <c r="E6" s="175">
        <v>0</v>
      </c>
      <c r="F6" s="300"/>
      <c r="G6" s="300"/>
      <c r="H6" s="300"/>
      <c r="I6" s="300"/>
      <c r="J6" s="300"/>
      <c r="K6" s="293"/>
      <c r="M6" s="393"/>
      <c r="N6" s="393"/>
      <c r="O6" s="393"/>
      <c r="P6" s="393"/>
    </row>
    <row r="7" spans="1:16" x14ac:dyDescent="0.25">
      <c r="A7" s="321">
        <f t="shared" ref="A7:A59" si="1">A6+1</f>
        <v>3</v>
      </c>
      <c r="C7" s="91" t="s">
        <v>153</v>
      </c>
      <c r="D7" s="321" t="s">
        <v>246</v>
      </c>
      <c r="E7" s="70">
        <v>0</v>
      </c>
      <c r="F7" s="200"/>
      <c r="G7" s="200"/>
      <c r="H7" s="200"/>
      <c r="I7" s="200"/>
      <c r="J7" s="200"/>
      <c r="K7" s="70">
        <f>SUM(E7:J7)</f>
        <v>0</v>
      </c>
      <c r="L7" s="316"/>
      <c r="M7" s="301"/>
      <c r="N7" s="301"/>
      <c r="O7" s="301"/>
      <c r="P7" s="301"/>
    </row>
    <row r="8" spans="1:16" x14ac:dyDescent="0.25">
      <c r="A8" s="321">
        <f t="shared" si="1"/>
        <v>4</v>
      </c>
      <c r="C8" s="91" t="s">
        <v>164</v>
      </c>
      <c r="D8" s="321" t="s">
        <v>253</v>
      </c>
      <c r="E8" s="202">
        <f>E6+E7</f>
        <v>0</v>
      </c>
      <c r="F8" s="202">
        <f>E16</f>
        <v>0</v>
      </c>
      <c r="G8" s="202">
        <f>F16</f>
        <v>0</v>
      </c>
      <c r="H8" s="202">
        <f>G16</f>
        <v>0</v>
      </c>
      <c r="I8" s="202">
        <f>H16</f>
        <v>0</v>
      </c>
      <c r="J8" s="202">
        <f>I16</f>
        <v>0</v>
      </c>
      <c r="K8" s="70"/>
      <c r="L8" s="316"/>
      <c r="M8" s="301"/>
      <c r="N8" s="301"/>
      <c r="O8" s="301"/>
      <c r="P8" s="301"/>
    </row>
    <row r="9" spans="1:16" x14ac:dyDescent="0.25">
      <c r="A9" s="321">
        <f t="shared" si="1"/>
        <v>5</v>
      </c>
      <c r="C9" s="91" t="s">
        <v>233</v>
      </c>
      <c r="D9" s="321" t="s">
        <v>27</v>
      </c>
      <c r="E9" s="206">
        <f>'CSWNA Summary'!E36</f>
        <v>0</v>
      </c>
      <c r="F9" s="314"/>
      <c r="G9" s="314"/>
      <c r="H9" s="314"/>
      <c r="I9" s="314"/>
      <c r="J9" s="314"/>
      <c r="K9" s="70">
        <f>SUM(E9:J9)</f>
        <v>0</v>
      </c>
      <c r="L9" s="316"/>
      <c r="M9" s="293"/>
      <c r="N9" s="293"/>
      <c r="O9" s="293"/>
      <c r="P9" s="293"/>
    </row>
    <row r="10" spans="1:16" x14ac:dyDescent="0.25">
      <c r="A10" s="321">
        <f t="shared" si="1"/>
        <v>6</v>
      </c>
      <c r="C10" s="91" t="s">
        <v>151</v>
      </c>
      <c r="D10" s="321" t="s">
        <v>254</v>
      </c>
      <c r="E10" s="204">
        <f>E6+E7+E8+E9</f>
        <v>0</v>
      </c>
      <c r="F10" s="204">
        <f>F8+F9</f>
        <v>0</v>
      </c>
      <c r="G10" s="204">
        <f>G8+G9</f>
        <v>0</v>
      </c>
      <c r="H10" s="204">
        <f>H8+H9</f>
        <v>0</v>
      </c>
      <c r="I10" s="204">
        <f>I8+I9</f>
        <v>0</v>
      </c>
      <c r="J10" s="204">
        <f>J8+J9</f>
        <v>0</v>
      </c>
      <c r="K10" s="70"/>
      <c r="L10" s="316"/>
      <c r="M10" s="293"/>
      <c r="N10" s="293"/>
      <c r="O10" s="293"/>
      <c r="P10" s="293"/>
    </row>
    <row r="11" spans="1:16" x14ac:dyDescent="0.25">
      <c r="A11" s="321">
        <f t="shared" si="1"/>
        <v>7</v>
      </c>
      <c r="C11" s="91"/>
      <c r="D11" s="321"/>
      <c r="E11" s="142"/>
      <c r="F11" s="142"/>
      <c r="G11" s="142"/>
      <c r="H11" s="142"/>
      <c r="I11" s="142"/>
      <c r="J11" s="142"/>
      <c r="K11" s="70"/>
      <c r="L11" s="316"/>
      <c r="M11" s="293"/>
      <c r="N11" s="293"/>
      <c r="O11" s="293"/>
      <c r="P11" s="293"/>
    </row>
    <row r="12" spans="1:16" x14ac:dyDescent="0.25">
      <c r="A12" s="321">
        <f t="shared" si="1"/>
        <v>8</v>
      </c>
      <c r="C12" s="91" t="s">
        <v>154</v>
      </c>
      <c r="D12" s="321" t="s">
        <v>255</v>
      </c>
      <c r="E12" s="206">
        <f t="shared" ref="E12:J12" si="2">AVERAGE(E8,E10)</f>
        <v>0</v>
      </c>
      <c r="F12" s="206">
        <f t="shared" si="2"/>
        <v>0</v>
      </c>
      <c r="G12" s="206">
        <f t="shared" si="2"/>
        <v>0</v>
      </c>
      <c r="H12" s="206">
        <f t="shared" si="2"/>
        <v>0</v>
      </c>
      <c r="I12" s="206">
        <f t="shared" si="2"/>
        <v>0</v>
      </c>
      <c r="J12" s="206">
        <f t="shared" si="2"/>
        <v>0</v>
      </c>
      <c r="K12" s="70"/>
      <c r="L12" s="316"/>
      <c r="M12" s="293"/>
      <c r="N12" s="293"/>
      <c r="O12" s="293"/>
      <c r="P12" s="293"/>
    </row>
    <row r="13" spans="1:16" x14ac:dyDescent="0.25">
      <c r="A13" s="321">
        <f t="shared" si="1"/>
        <v>9</v>
      </c>
      <c r="C13" s="91"/>
      <c r="D13" s="321"/>
      <c r="E13" s="142"/>
      <c r="F13" s="142"/>
      <c r="G13" s="142"/>
      <c r="H13" s="142"/>
      <c r="I13" s="142"/>
      <c r="J13" s="142"/>
      <c r="K13" s="70"/>
      <c r="L13" s="316"/>
      <c r="M13" s="293"/>
      <c r="N13" s="293"/>
      <c r="O13" s="293"/>
      <c r="P13" s="293"/>
    </row>
    <row r="14" spans="1:16" x14ac:dyDescent="0.25">
      <c r="A14" s="321">
        <f t="shared" si="1"/>
        <v>10</v>
      </c>
      <c r="C14" s="91" t="s">
        <v>251</v>
      </c>
      <c r="D14" s="321"/>
      <c r="E14" s="176">
        <f>E$59</f>
        <v>1.042E-3</v>
      </c>
      <c r="F14" s="176">
        <f t="shared" ref="F14:J14" si="3">F$59</f>
        <v>1.042E-3</v>
      </c>
      <c r="G14" s="176">
        <f t="shared" si="3"/>
        <v>1.042E-3</v>
      </c>
      <c r="H14" s="176">
        <f t="shared" si="3"/>
        <v>1.042E-3</v>
      </c>
      <c r="I14" s="176">
        <f t="shared" si="3"/>
        <v>1.042E-3</v>
      </c>
      <c r="J14" s="176">
        <f t="shared" si="3"/>
        <v>1.042E-3</v>
      </c>
      <c r="K14" s="70"/>
      <c r="L14" s="316"/>
      <c r="M14" s="293"/>
      <c r="N14" s="293"/>
      <c r="O14" s="293"/>
      <c r="P14" s="293"/>
    </row>
    <row r="15" spans="1:16" x14ac:dyDescent="0.25">
      <c r="A15" s="321">
        <f t="shared" si="1"/>
        <v>11</v>
      </c>
      <c r="C15" s="184" t="s">
        <v>155</v>
      </c>
      <c r="D15" s="231" t="s">
        <v>256</v>
      </c>
      <c r="E15" s="201">
        <f>ROUND(E12*E14,0)</f>
        <v>0</v>
      </c>
      <c r="F15" s="201">
        <f t="shared" ref="F15:J15" si="4">ROUND(F12*F14,0)</f>
        <v>0</v>
      </c>
      <c r="G15" s="201">
        <f t="shared" si="4"/>
        <v>0</v>
      </c>
      <c r="H15" s="201">
        <f t="shared" si="4"/>
        <v>0</v>
      </c>
      <c r="I15" s="201">
        <f t="shared" si="4"/>
        <v>0</v>
      </c>
      <c r="J15" s="201">
        <f t="shared" si="4"/>
        <v>0</v>
      </c>
      <c r="K15" s="326">
        <f>SUM(E15:J15)</f>
        <v>0</v>
      </c>
      <c r="L15" s="316"/>
      <c r="M15" s="293"/>
      <c r="N15" s="293"/>
      <c r="O15" s="293"/>
      <c r="P15" s="293"/>
    </row>
    <row r="16" spans="1:16" ht="15.75" thickBot="1" x14ac:dyDescent="0.3">
      <c r="A16" s="321">
        <f t="shared" si="1"/>
        <v>12</v>
      </c>
      <c r="C16" s="184" t="s">
        <v>156</v>
      </c>
      <c r="D16" s="231" t="s">
        <v>257</v>
      </c>
      <c r="E16" s="205">
        <f>E10+E15</f>
        <v>0</v>
      </c>
      <c r="F16" s="205">
        <f t="shared" ref="F16:J16" si="5">F10+F15</f>
        <v>0</v>
      </c>
      <c r="G16" s="205">
        <f t="shared" si="5"/>
        <v>0</v>
      </c>
      <c r="H16" s="205">
        <f t="shared" si="5"/>
        <v>0</v>
      </c>
      <c r="I16" s="205">
        <f t="shared" si="5"/>
        <v>0</v>
      </c>
      <c r="J16" s="205">
        <f t="shared" si="5"/>
        <v>0</v>
      </c>
      <c r="K16" s="327">
        <f>K7+K9+K15</f>
        <v>0</v>
      </c>
      <c r="L16" s="309"/>
      <c r="M16" s="293"/>
      <c r="N16" s="293"/>
      <c r="O16" s="293"/>
      <c r="P16" s="293"/>
    </row>
    <row r="17" spans="1:16" s="289" customFormat="1" ht="15.75" thickTop="1" x14ac:dyDescent="0.25">
      <c r="A17" s="321">
        <f t="shared" si="1"/>
        <v>13</v>
      </c>
      <c r="C17" s="307"/>
      <c r="D17" s="322"/>
      <c r="E17" s="308"/>
      <c r="F17" s="308"/>
      <c r="G17" s="308"/>
      <c r="H17" s="308"/>
      <c r="I17" s="308"/>
      <c r="J17" s="308"/>
      <c r="K17" s="309"/>
      <c r="L17" s="309"/>
    </row>
    <row r="18" spans="1:16" s="289" customFormat="1" x14ac:dyDescent="0.25">
      <c r="A18" s="321">
        <f t="shared" si="1"/>
        <v>14</v>
      </c>
      <c r="B18" s="293" t="s">
        <v>241</v>
      </c>
      <c r="C18" s="293"/>
      <c r="D18" s="321"/>
      <c r="E18" s="293"/>
      <c r="F18" s="293"/>
      <c r="G18" s="293"/>
      <c r="H18" s="293"/>
      <c r="I18" s="293"/>
      <c r="J18" s="293"/>
      <c r="K18" s="293"/>
      <c r="M18" s="293"/>
      <c r="N18" s="293"/>
      <c r="O18" s="293"/>
      <c r="P18" s="293"/>
    </row>
    <row r="19" spans="1:16" s="289" customFormat="1" ht="15" customHeight="1" x14ac:dyDescent="0.25">
      <c r="A19" s="321">
        <f t="shared" si="1"/>
        <v>15</v>
      </c>
      <c r="B19" s="293"/>
      <c r="C19" s="274" t="s">
        <v>150</v>
      </c>
      <c r="D19" s="321" t="s">
        <v>246</v>
      </c>
      <c r="E19" s="175">
        <v>0</v>
      </c>
      <c r="F19" s="300"/>
      <c r="G19" s="300"/>
      <c r="H19" s="300"/>
      <c r="I19" s="300"/>
      <c r="J19" s="300"/>
      <c r="K19" s="293"/>
      <c r="M19" s="393"/>
      <c r="N19" s="393"/>
      <c r="O19" s="393"/>
      <c r="P19" s="393"/>
    </row>
    <row r="20" spans="1:16" s="289" customFormat="1" x14ac:dyDescent="0.25">
      <c r="A20" s="321">
        <f t="shared" si="1"/>
        <v>16</v>
      </c>
      <c r="B20" s="293"/>
      <c r="C20" s="91" t="s">
        <v>153</v>
      </c>
      <c r="D20" s="321" t="s">
        <v>246</v>
      </c>
      <c r="E20" s="70">
        <v>0</v>
      </c>
      <c r="F20" s="200"/>
      <c r="G20" s="200"/>
      <c r="H20" s="200"/>
      <c r="I20" s="200"/>
      <c r="J20" s="200"/>
      <c r="K20" s="70">
        <f>SUM(E20:J20)</f>
        <v>0</v>
      </c>
      <c r="L20" s="316"/>
      <c r="M20" s="301"/>
      <c r="N20" s="301"/>
      <c r="O20" s="301"/>
      <c r="P20" s="301"/>
    </row>
    <row r="21" spans="1:16" s="289" customFormat="1" x14ac:dyDescent="0.25">
      <c r="A21" s="321">
        <f t="shared" si="1"/>
        <v>17</v>
      </c>
      <c r="B21" s="293"/>
      <c r="C21" s="91" t="s">
        <v>164</v>
      </c>
      <c r="D21" s="321" t="s">
        <v>258</v>
      </c>
      <c r="E21" s="202">
        <f>E19+E20</f>
        <v>0</v>
      </c>
      <c r="F21" s="202">
        <f>E29</f>
        <v>0</v>
      </c>
      <c r="G21" s="202">
        <f>F29</f>
        <v>0</v>
      </c>
      <c r="H21" s="202">
        <f>G29</f>
        <v>0</v>
      </c>
      <c r="I21" s="202">
        <f>H29</f>
        <v>0</v>
      </c>
      <c r="J21" s="202">
        <f>I29</f>
        <v>0</v>
      </c>
      <c r="K21" s="70"/>
      <c r="L21" s="316"/>
      <c r="M21" s="301"/>
      <c r="N21" s="301"/>
      <c r="O21" s="301"/>
      <c r="P21" s="301"/>
    </row>
    <row r="22" spans="1:16" s="289" customFormat="1" x14ac:dyDescent="0.25">
      <c r="A22" s="321">
        <f t="shared" si="1"/>
        <v>18</v>
      </c>
      <c r="B22" s="293"/>
      <c r="C22" s="91" t="s">
        <v>233</v>
      </c>
      <c r="D22" s="321" t="s">
        <v>27</v>
      </c>
      <c r="E22" s="206">
        <f>'CSWNA Summary'!I36</f>
        <v>0</v>
      </c>
      <c r="F22" s="314"/>
      <c r="G22" s="314"/>
      <c r="H22" s="314"/>
      <c r="I22" s="314"/>
      <c r="J22" s="314"/>
      <c r="K22" s="70">
        <f>SUM(E22:J22)</f>
        <v>0</v>
      </c>
      <c r="L22" s="316"/>
      <c r="M22" s="293"/>
      <c r="N22" s="293"/>
      <c r="O22" s="293"/>
      <c r="P22" s="293"/>
    </row>
    <row r="23" spans="1:16" s="289" customFormat="1" x14ac:dyDescent="0.25">
      <c r="A23" s="321">
        <f t="shared" si="1"/>
        <v>19</v>
      </c>
      <c r="B23" s="293"/>
      <c r="C23" s="91" t="s">
        <v>151</v>
      </c>
      <c r="D23" s="321" t="s">
        <v>259</v>
      </c>
      <c r="E23" s="204">
        <f>E19+E20+E21+E22</f>
        <v>0</v>
      </c>
      <c r="F23" s="204">
        <f>F21+F22</f>
        <v>0</v>
      </c>
      <c r="G23" s="204">
        <f>G21+G22</f>
        <v>0</v>
      </c>
      <c r="H23" s="204">
        <f>H21+H22</f>
        <v>0</v>
      </c>
      <c r="I23" s="204">
        <f>I21+I22</f>
        <v>0</v>
      </c>
      <c r="J23" s="204">
        <f>J21+J22</f>
        <v>0</v>
      </c>
      <c r="K23" s="70"/>
      <c r="L23" s="316"/>
      <c r="M23" s="293"/>
      <c r="N23" s="293"/>
      <c r="O23" s="293"/>
      <c r="P23" s="293"/>
    </row>
    <row r="24" spans="1:16" s="289" customFormat="1" x14ac:dyDescent="0.25">
      <c r="A24" s="321">
        <f t="shared" si="1"/>
        <v>20</v>
      </c>
      <c r="B24" s="293"/>
      <c r="C24" s="91"/>
      <c r="D24" s="321"/>
      <c r="E24" s="142"/>
      <c r="F24" s="142"/>
      <c r="G24" s="142"/>
      <c r="H24" s="142"/>
      <c r="I24" s="142"/>
      <c r="J24" s="142"/>
      <c r="K24" s="70"/>
      <c r="L24" s="316"/>
      <c r="M24" s="293"/>
      <c r="N24" s="293"/>
      <c r="O24" s="293"/>
      <c r="P24" s="293"/>
    </row>
    <row r="25" spans="1:16" s="289" customFormat="1" x14ac:dyDescent="0.25">
      <c r="A25" s="321">
        <f t="shared" si="1"/>
        <v>21</v>
      </c>
      <c r="B25" s="293"/>
      <c r="C25" s="91" t="s">
        <v>154</v>
      </c>
      <c r="D25" s="321" t="s">
        <v>260</v>
      </c>
      <c r="E25" s="206">
        <f t="shared" ref="E25:J25" si="6">AVERAGE(E21,E23)</f>
        <v>0</v>
      </c>
      <c r="F25" s="206">
        <f t="shared" si="6"/>
        <v>0</v>
      </c>
      <c r="G25" s="206">
        <f t="shared" si="6"/>
        <v>0</v>
      </c>
      <c r="H25" s="206">
        <f t="shared" si="6"/>
        <v>0</v>
      </c>
      <c r="I25" s="206">
        <f t="shared" si="6"/>
        <v>0</v>
      </c>
      <c r="J25" s="206">
        <f t="shared" si="6"/>
        <v>0</v>
      </c>
      <c r="K25" s="70"/>
      <c r="L25" s="316"/>
      <c r="M25" s="293"/>
      <c r="N25" s="293"/>
      <c r="O25" s="293"/>
      <c r="P25" s="293"/>
    </row>
    <row r="26" spans="1:16" s="289" customFormat="1" x14ac:dyDescent="0.25">
      <c r="A26" s="321">
        <f t="shared" si="1"/>
        <v>22</v>
      </c>
      <c r="B26" s="293"/>
      <c r="C26" s="91"/>
      <c r="D26" s="321"/>
      <c r="E26" s="142"/>
      <c r="F26" s="142"/>
      <c r="G26" s="142"/>
      <c r="H26" s="142"/>
      <c r="I26" s="142"/>
      <c r="J26" s="142"/>
      <c r="K26" s="70"/>
      <c r="L26" s="316"/>
      <c r="M26" s="293"/>
      <c r="N26" s="293"/>
      <c r="O26" s="293"/>
      <c r="P26" s="293"/>
    </row>
    <row r="27" spans="1:16" s="289" customFormat="1" x14ac:dyDescent="0.25">
      <c r="A27" s="321">
        <f t="shared" si="1"/>
        <v>23</v>
      </c>
      <c r="B27" s="293"/>
      <c r="C27" s="91" t="s">
        <v>251</v>
      </c>
      <c r="D27" s="321"/>
      <c r="E27" s="176">
        <f>E$59</f>
        <v>1.042E-3</v>
      </c>
      <c r="F27" s="176">
        <f t="shared" ref="F27:J27" si="7">F$59</f>
        <v>1.042E-3</v>
      </c>
      <c r="G27" s="176">
        <f t="shared" si="7"/>
        <v>1.042E-3</v>
      </c>
      <c r="H27" s="176">
        <f t="shared" si="7"/>
        <v>1.042E-3</v>
      </c>
      <c r="I27" s="176">
        <f t="shared" si="7"/>
        <v>1.042E-3</v>
      </c>
      <c r="J27" s="176">
        <f t="shared" si="7"/>
        <v>1.042E-3</v>
      </c>
      <c r="K27" s="70"/>
      <c r="L27" s="316"/>
      <c r="M27" s="293"/>
      <c r="N27" s="293"/>
      <c r="O27" s="293"/>
      <c r="P27" s="293"/>
    </row>
    <row r="28" spans="1:16" s="289" customFormat="1" x14ac:dyDescent="0.25">
      <c r="A28" s="321">
        <f t="shared" si="1"/>
        <v>24</v>
      </c>
      <c r="B28" s="293"/>
      <c r="C28" s="184" t="s">
        <v>155</v>
      </c>
      <c r="D28" s="231"/>
      <c r="E28" s="201">
        <f>ROUND(E25*E27,0)</f>
        <v>0</v>
      </c>
      <c r="F28" s="201">
        <f t="shared" ref="F28" si="8">ROUND(F25*F27,0)</f>
        <v>0</v>
      </c>
      <c r="G28" s="201">
        <f t="shared" ref="G28" si="9">ROUND(G25*G27,0)</f>
        <v>0</v>
      </c>
      <c r="H28" s="201">
        <f t="shared" ref="H28" si="10">ROUND(H25*H27,0)</f>
        <v>0</v>
      </c>
      <c r="I28" s="201">
        <f t="shared" ref="I28" si="11">ROUND(I25*I27,0)</f>
        <v>0</v>
      </c>
      <c r="J28" s="201">
        <f t="shared" ref="J28" si="12">ROUND(J25*J27,0)</f>
        <v>0</v>
      </c>
      <c r="K28" s="326">
        <f>SUM(E28:J28)</f>
        <v>0</v>
      </c>
      <c r="L28" s="316"/>
      <c r="M28" s="293"/>
      <c r="N28" s="293"/>
      <c r="O28" s="293"/>
      <c r="P28" s="293"/>
    </row>
    <row r="29" spans="1:16" s="289" customFormat="1" ht="15.75" thickBot="1" x14ac:dyDescent="0.3">
      <c r="A29" s="321">
        <f t="shared" si="1"/>
        <v>25</v>
      </c>
      <c r="B29" s="293"/>
      <c r="C29" s="184" t="s">
        <v>156</v>
      </c>
      <c r="D29" s="231"/>
      <c r="E29" s="205">
        <f>E23+E28</f>
        <v>0</v>
      </c>
      <c r="F29" s="205">
        <f t="shared" ref="F29" si="13">F23+F28</f>
        <v>0</v>
      </c>
      <c r="G29" s="205">
        <f t="shared" ref="G29" si="14">G23+G28</f>
        <v>0</v>
      </c>
      <c r="H29" s="205">
        <f t="shared" ref="H29" si="15">H23+H28</f>
        <v>0</v>
      </c>
      <c r="I29" s="205">
        <f t="shared" ref="I29" si="16">I23+I28</f>
        <v>0</v>
      </c>
      <c r="J29" s="205">
        <f t="shared" ref="J29" si="17">J23+J28</f>
        <v>0</v>
      </c>
      <c r="K29" s="327">
        <f>K20+K22+K28</f>
        <v>0</v>
      </c>
      <c r="L29" s="309"/>
      <c r="M29" s="293"/>
      <c r="N29" s="293"/>
      <c r="O29" s="293"/>
      <c r="P29" s="293"/>
    </row>
    <row r="30" spans="1:16" s="289" customFormat="1" ht="15.75" thickTop="1" x14ac:dyDescent="0.25">
      <c r="A30" s="321">
        <f t="shared" si="1"/>
        <v>26</v>
      </c>
      <c r="C30" s="307"/>
      <c r="D30" s="322"/>
      <c r="E30" s="308"/>
      <c r="F30" s="308"/>
      <c r="G30" s="308"/>
      <c r="H30" s="308"/>
      <c r="I30" s="308"/>
      <c r="J30" s="308"/>
      <c r="K30" s="309"/>
      <c r="L30" s="309"/>
    </row>
    <row r="31" spans="1:16" s="293" customFormat="1" x14ac:dyDescent="0.25">
      <c r="A31" s="321">
        <f t="shared" si="1"/>
        <v>27</v>
      </c>
      <c r="B31" s="293" t="s">
        <v>94</v>
      </c>
      <c r="D31" s="321"/>
      <c r="L31" s="289"/>
    </row>
    <row r="32" spans="1:16" s="293" customFormat="1" ht="15" customHeight="1" x14ac:dyDescent="0.25">
      <c r="A32" s="321">
        <f t="shared" si="1"/>
        <v>28</v>
      </c>
      <c r="C32" s="274" t="s">
        <v>150</v>
      </c>
      <c r="D32" s="321" t="s">
        <v>246</v>
      </c>
      <c r="E32" s="175">
        <v>0</v>
      </c>
      <c r="F32" s="300"/>
      <c r="G32" s="300"/>
      <c r="H32" s="300"/>
      <c r="I32" s="300"/>
      <c r="J32" s="300"/>
      <c r="L32" s="289"/>
      <c r="M32" s="393"/>
      <c r="N32" s="393"/>
      <c r="O32" s="393"/>
      <c r="P32" s="393"/>
    </row>
    <row r="33" spans="1:16" s="293" customFormat="1" x14ac:dyDescent="0.25">
      <c r="A33" s="321">
        <f t="shared" si="1"/>
        <v>29</v>
      </c>
      <c r="C33" s="91" t="s">
        <v>153</v>
      </c>
      <c r="D33" s="321" t="s">
        <v>246</v>
      </c>
      <c r="E33" s="70">
        <v>0</v>
      </c>
      <c r="F33" s="200"/>
      <c r="G33" s="200"/>
      <c r="H33" s="200"/>
      <c r="I33" s="200"/>
      <c r="J33" s="200"/>
      <c r="K33" s="70">
        <f>SUM(E33:J33)</f>
        <v>0</v>
      </c>
      <c r="L33" s="316"/>
      <c r="M33" s="301"/>
      <c r="N33" s="301"/>
      <c r="O33" s="301"/>
      <c r="P33" s="301"/>
    </row>
    <row r="34" spans="1:16" s="293" customFormat="1" x14ac:dyDescent="0.25">
      <c r="A34" s="321">
        <f t="shared" si="1"/>
        <v>30</v>
      </c>
      <c r="C34" s="91" t="s">
        <v>164</v>
      </c>
      <c r="D34" s="321" t="s">
        <v>261</v>
      </c>
      <c r="E34" s="202">
        <f>E32+E33</f>
        <v>0</v>
      </c>
      <c r="F34" s="202">
        <f>E42</f>
        <v>0</v>
      </c>
      <c r="G34" s="202">
        <f>F42</f>
        <v>0</v>
      </c>
      <c r="H34" s="202">
        <f>G42</f>
        <v>0</v>
      </c>
      <c r="I34" s="202">
        <f>H42</f>
        <v>0</v>
      </c>
      <c r="J34" s="202">
        <f>I42</f>
        <v>0</v>
      </c>
      <c r="K34" s="70"/>
      <c r="L34" s="316"/>
      <c r="M34" s="301"/>
      <c r="N34" s="301"/>
      <c r="O34" s="301"/>
      <c r="P34" s="301"/>
    </row>
    <row r="35" spans="1:16" s="293" customFormat="1" x14ac:dyDescent="0.25">
      <c r="A35" s="321">
        <f t="shared" si="1"/>
        <v>31</v>
      </c>
      <c r="C35" s="91" t="s">
        <v>233</v>
      </c>
      <c r="D35" s="321" t="s">
        <v>27</v>
      </c>
      <c r="E35" s="206">
        <f>'CSWNA Summary'!K36</f>
        <v>0</v>
      </c>
      <c r="F35" s="314"/>
      <c r="G35" s="314"/>
      <c r="H35" s="314"/>
      <c r="I35" s="314"/>
      <c r="J35" s="314"/>
      <c r="K35" s="70">
        <f>SUM(E35:J35)</f>
        <v>0</v>
      </c>
      <c r="L35" s="316"/>
    </row>
    <row r="36" spans="1:16" s="293" customFormat="1" x14ac:dyDescent="0.25">
      <c r="A36" s="321">
        <f t="shared" si="1"/>
        <v>32</v>
      </c>
      <c r="C36" s="91" t="s">
        <v>151</v>
      </c>
      <c r="D36" s="321" t="s">
        <v>262</v>
      </c>
      <c r="E36" s="204">
        <f>E32+E33+E34+E35</f>
        <v>0</v>
      </c>
      <c r="F36" s="204">
        <f>F34+F35</f>
        <v>0</v>
      </c>
      <c r="G36" s="204">
        <f>G34+G35</f>
        <v>0</v>
      </c>
      <c r="H36" s="204">
        <f>H34+H35</f>
        <v>0</v>
      </c>
      <c r="I36" s="204">
        <f>I34+I35</f>
        <v>0</v>
      </c>
      <c r="J36" s="204">
        <f>J34+J35</f>
        <v>0</v>
      </c>
      <c r="K36" s="70"/>
      <c r="L36" s="316"/>
    </row>
    <row r="37" spans="1:16" s="293" customFormat="1" x14ac:dyDescent="0.25">
      <c r="A37" s="321">
        <f t="shared" si="1"/>
        <v>33</v>
      </c>
      <c r="C37" s="91"/>
      <c r="D37" s="321"/>
      <c r="E37" s="142"/>
      <c r="F37" s="142"/>
      <c r="G37" s="142"/>
      <c r="H37" s="142"/>
      <c r="I37" s="142"/>
      <c r="J37" s="142"/>
      <c r="K37" s="70"/>
      <c r="L37" s="316"/>
    </row>
    <row r="38" spans="1:16" s="293" customFormat="1" x14ac:dyDescent="0.25">
      <c r="A38" s="321">
        <f t="shared" si="1"/>
        <v>34</v>
      </c>
      <c r="C38" s="91" t="s">
        <v>154</v>
      </c>
      <c r="D38" s="321" t="s">
        <v>263</v>
      </c>
      <c r="E38" s="206">
        <f t="shared" ref="E38:J38" si="18">AVERAGE(E34,E36)</f>
        <v>0</v>
      </c>
      <c r="F38" s="206">
        <f t="shared" si="18"/>
        <v>0</v>
      </c>
      <c r="G38" s="206">
        <f t="shared" si="18"/>
        <v>0</v>
      </c>
      <c r="H38" s="206">
        <f t="shared" si="18"/>
        <v>0</v>
      </c>
      <c r="I38" s="206">
        <f t="shared" si="18"/>
        <v>0</v>
      </c>
      <c r="J38" s="206">
        <f t="shared" si="18"/>
        <v>0</v>
      </c>
      <c r="K38" s="70"/>
      <c r="L38" s="316"/>
    </row>
    <row r="39" spans="1:16" s="293" customFormat="1" x14ac:dyDescent="0.25">
      <c r="A39" s="321">
        <f t="shared" si="1"/>
        <v>35</v>
      </c>
      <c r="C39" s="91"/>
      <c r="D39" s="321"/>
      <c r="E39" s="142"/>
      <c r="F39" s="142"/>
      <c r="G39" s="142"/>
      <c r="H39" s="142"/>
      <c r="I39" s="142"/>
      <c r="J39" s="142"/>
      <c r="K39" s="70"/>
      <c r="L39" s="316"/>
    </row>
    <row r="40" spans="1:16" s="293" customFormat="1" x14ac:dyDescent="0.25">
      <c r="A40" s="321">
        <f t="shared" si="1"/>
        <v>36</v>
      </c>
      <c r="C40" s="91" t="s">
        <v>251</v>
      </c>
      <c r="D40" s="321"/>
      <c r="E40" s="176">
        <f>E$59</f>
        <v>1.042E-3</v>
      </c>
      <c r="F40" s="176">
        <f t="shared" ref="F40:J40" si="19">F$59</f>
        <v>1.042E-3</v>
      </c>
      <c r="G40" s="176">
        <f t="shared" si="19"/>
        <v>1.042E-3</v>
      </c>
      <c r="H40" s="176">
        <f t="shared" si="19"/>
        <v>1.042E-3</v>
      </c>
      <c r="I40" s="176">
        <f t="shared" si="19"/>
        <v>1.042E-3</v>
      </c>
      <c r="J40" s="176">
        <f t="shared" si="19"/>
        <v>1.042E-3</v>
      </c>
      <c r="K40" s="70"/>
      <c r="L40" s="316"/>
    </row>
    <row r="41" spans="1:16" s="293" customFormat="1" x14ac:dyDescent="0.25">
      <c r="A41" s="321">
        <f t="shared" si="1"/>
        <v>37</v>
      </c>
      <c r="C41" s="184" t="s">
        <v>155</v>
      </c>
      <c r="D41" s="231"/>
      <c r="E41" s="330">
        <f>ROUND(E38*E40,0)</f>
        <v>0</v>
      </c>
      <c r="F41" s="330">
        <f t="shared" ref="F41" si="20">ROUND(F38*F40,0)</f>
        <v>0</v>
      </c>
      <c r="G41" s="330">
        <f t="shared" ref="G41" si="21">ROUND(G38*G40,0)</f>
        <v>0</v>
      </c>
      <c r="H41" s="330">
        <f t="shared" ref="H41" si="22">ROUND(H38*H40,0)</f>
        <v>0</v>
      </c>
      <c r="I41" s="330">
        <f t="shared" ref="I41" si="23">ROUND(I38*I40,0)</f>
        <v>0</v>
      </c>
      <c r="J41" s="330">
        <f t="shared" ref="J41" si="24">ROUND(J38*J40,0)</f>
        <v>0</v>
      </c>
      <c r="K41" s="326">
        <f>SUM(E41:J41)</f>
        <v>0</v>
      </c>
      <c r="L41" s="316"/>
    </row>
    <row r="42" spans="1:16" s="293" customFormat="1" ht="15.75" thickBot="1" x14ac:dyDescent="0.3">
      <c r="A42" s="321">
        <f t="shared" si="1"/>
        <v>38</v>
      </c>
      <c r="C42" s="184" t="s">
        <v>156</v>
      </c>
      <c r="D42" s="231"/>
      <c r="E42" s="205">
        <f>E36+E41</f>
        <v>0</v>
      </c>
      <c r="F42" s="205">
        <f t="shared" ref="F42" si="25">F36+F41</f>
        <v>0</v>
      </c>
      <c r="G42" s="205">
        <f t="shared" ref="G42" si="26">G36+G41</f>
        <v>0</v>
      </c>
      <c r="H42" s="205">
        <f t="shared" ref="H42" si="27">H36+H41</f>
        <v>0</v>
      </c>
      <c r="I42" s="205">
        <f t="shared" ref="I42" si="28">I36+I41</f>
        <v>0</v>
      </c>
      <c r="J42" s="205">
        <f t="shared" ref="J42" si="29">J36+J41</f>
        <v>0</v>
      </c>
      <c r="K42" s="327">
        <f>K33+K35+K41</f>
        <v>0</v>
      </c>
      <c r="L42" s="309"/>
    </row>
    <row r="43" spans="1:16" s="289" customFormat="1" ht="15.75" thickTop="1" x14ac:dyDescent="0.25">
      <c r="A43" s="321">
        <f t="shared" si="1"/>
        <v>39</v>
      </c>
      <c r="C43" s="307"/>
      <c r="D43" s="322"/>
      <c r="E43" s="308"/>
      <c r="F43" s="308"/>
      <c r="G43" s="308"/>
      <c r="H43" s="308"/>
      <c r="I43" s="308"/>
      <c r="J43" s="308"/>
      <c r="K43" s="309"/>
      <c r="L43" s="309"/>
    </row>
    <row r="44" spans="1:16" s="289" customFormat="1" x14ac:dyDescent="0.25">
      <c r="A44" s="321">
        <f t="shared" si="1"/>
        <v>40</v>
      </c>
      <c r="B44" s="293" t="s">
        <v>268</v>
      </c>
      <c r="C44" s="293"/>
      <c r="D44" s="321"/>
      <c r="E44" s="293"/>
      <c r="F44" s="293"/>
      <c r="G44" s="293"/>
      <c r="H44" s="293"/>
      <c r="I44" s="293"/>
      <c r="J44" s="293"/>
      <c r="K44" s="293"/>
      <c r="M44" s="293"/>
      <c r="N44" s="293"/>
      <c r="O44" s="293"/>
      <c r="P44" s="293"/>
    </row>
    <row r="45" spans="1:16" s="289" customFormat="1" ht="15" customHeight="1" x14ac:dyDescent="0.25">
      <c r="A45" s="321">
        <f t="shared" si="1"/>
        <v>41</v>
      </c>
      <c r="B45" s="293"/>
      <c r="C45" s="274" t="s">
        <v>150</v>
      </c>
      <c r="D45" s="321" t="s">
        <v>246</v>
      </c>
      <c r="E45" s="175">
        <v>0</v>
      </c>
      <c r="F45" s="300"/>
      <c r="G45" s="300"/>
      <c r="H45" s="300"/>
      <c r="I45" s="300"/>
      <c r="J45" s="300"/>
      <c r="K45" s="293"/>
      <c r="M45" s="393"/>
      <c r="N45" s="393"/>
      <c r="O45" s="393"/>
      <c r="P45" s="393"/>
    </row>
    <row r="46" spans="1:16" s="289" customFormat="1" x14ac:dyDescent="0.25">
      <c r="A46" s="321">
        <f t="shared" si="1"/>
        <v>42</v>
      </c>
      <c r="B46" s="293"/>
      <c r="C46" s="91" t="s">
        <v>153</v>
      </c>
      <c r="D46" s="321" t="s">
        <v>246</v>
      </c>
      <c r="E46" s="70">
        <v>0</v>
      </c>
      <c r="F46" s="200"/>
      <c r="G46" s="200"/>
      <c r="H46" s="200"/>
      <c r="I46" s="200"/>
      <c r="J46" s="200"/>
      <c r="K46" s="70">
        <f>SUM(E46:J46)</f>
        <v>0</v>
      </c>
      <c r="L46" s="316"/>
      <c r="M46" s="301"/>
      <c r="N46" s="301"/>
      <c r="O46" s="301"/>
      <c r="P46" s="301"/>
    </row>
    <row r="47" spans="1:16" s="289" customFormat="1" x14ac:dyDescent="0.25">
      <c r="A47" s="321">
        <f t="shared" si="1"/>
        <v>43</v>
      </c>
      <c r="B47" s="293"/>
      <c r="C47" s="91" t="s">
        <v>164</v>
      </c>
      <c r="D47" s="321" t="s">
        <v>264</v>
      </c>
      <c r="E47" s="202">
        <f>E45+E46</f>
        <v>0</v>
      </c>
      <c r="F47" s="202">
        <f>E55</f>
        <v>0</v>
      </c>
      <c r="G47" s="202">
        <f>F55</f>
        <v>0</v>
      </c>
      <c r="H47" s="202">
        <f>G55</f>
        <v>0</v>
      </c>
      <c r="I47" s="202">
        <f>H55</f>
        <v>0</v>
      </c>
      <c r="J47" s="202">
        <f>I55</f>
        <v>0</v>
      </c>
      <c r="K47" s="70"/>
      <c r="L47" s="316"/>
      <c r="M47" s="301"/>
      <c r="N47" s="301"/>
      <c r="O47" s="301"/>
      <c r="P47" s="301"/>
    </row>
    <row r="48" spans="1:16" s="289" customFormat="1" x14ac:dyDescent="0.25">
      <c r="A48" s="321">
        <f t="shared" si="1"/>
        <v>44</v>
      </c>
      <c r="B48" s="293"/>
      <c r="C48" s="91" t="s">
        <v>233</v>
      </c>
      <c r="D48" s="321" t="s">
        <v>27</v>
      </c>
      <c r="E48" s="206">
        <f>'CSWNA Summary'!M36</f>
        <v>0</v>
      </c>
      <c r="F48" s="314"/>
      <c r="G48" s="314"/>
      <c r="H48" s="314"/>
      <c r="I48" s="314"/>
      <c r="J48" s="314"/>
      <c r="K48" s="70">
        <f>SUM(E48:J48)</f>
        <v>0</v>
      </c>
      <c r="L48" s="316"/>
      <c r="M48" s="293"/>
      <c r="N48" s="293"/>
      <c r="O48" s="293"/>
      <c r="P48" s="293"/>
    </row>
    <row r="49" spans="1:16" s="289" customFormat="1" x14ac:dyDescent="0.25">
      <c r="A49" s="321">
        <f t="shared" si="1"/>
        <v>45</v>
      </c>
      <c r="B49" s="293"/>
      <c r="C49" s="91" t="s">
        <v>151</v>
      </c>
      <c r="D49" s="321" t="s">
        <v>265</v>
      </c>
      <c r="E49" s="204">
        <f>E45+E46+E47+E48</f>
        <v>0</v>
      </c>
      <c r="F49" s="204">
        <f>F47+F48</f>
        <v>0</v>
      </c>
      <c r="G49" s="204">
        <f>G47+G48</f>
        <v>0</v>
      </c>
      <c r="H49" s="204">
        <f>H47+H48</f>
        <v>0</v>
      </c>
      <c r="I49" s="204">
        <f>I47+I48</f>
        <v>0</v>
      </c>
      <c r="J49" s="204">
        <f>J47+J48</f>
        <v>0</v>
      </c>
      <c r="K49" s="70"/>
      <c r="L49" s="316"/>
      <c r="M49" s="293"/>
      <c r="N49" s="293"/>
      <c r="O49" s="293"/>
      <c r="P49" s="293"/>
    </row>
    <row r="50" spans="1:16" s="289" customFormat="1" x14ac:dyDescent="0.25">
      <c r="A50" s="321">
        <f t="shared" si="1"/>
        <v>46</v>
      </c>
      <c r="B50" s="293"/>
      <c r="C50" s="91"/>
      <c r="D50" s="321"/>
      <c r="E50" s="142"/>
      <c r="F50" s="142"/>
      <c r="G50" s="142"/>
      <c r="H50" s="142"/>
      <c r="I50" s="142"/>
      <c r="J50" s="142"/>
      <c r="K50" s="70"/>
      <c r="L50" s="316"/>
      <c r="M50" s="293"/>
      <c r="N50" s="293"/>
      <c r="O50" s="293"/>
      <c r="P50" s="293"/>
    </row>
    <row r="51" spans="1:16" s="289" customFormat="1" x14ac:dyDescent="0.25">
      <c r="A51" s="321">
        <f t="shared" si="1"/>
        <v>47</v>
      </c>
      <c r="B51" s="293"/>
      <c r="C51" s="91" t="s">
        <v>154</v>
      </c>
      <c r="D51" s="321" t="s">
        <v>266</v>
      </c>
      <c r="E51" s="206">
        <f t="shared" ref="E51:J51" si="30">AVERAGE(E47,E49)</f>
        <v>0</v>
      </c>
      <c r="F51" s="206">
        <f t="shared" si="30"/>
        <v>0</v>
      </c>
      <c r="G51" s="206">
        <f t="shared" si="30"/>
        <v>0</v>
      </c>
      <c r="H51" s="206">
        <f t="shared" si="30"/>
        <v>0</v>
      </c>
      <c r="I51" s="206">
        <f t="shared" si="30"/>
        <v>0</v>
      </c>
      <c r="J51" s="206">
        <f t="shared" si="30"/>
        <v>0</v>
      </c>
      <c r="K51" s="70"/>
      <c r="L51" s="316"/>
      <c r="M51" s="293"/>
      <c r="N51" s="293"/>
      <c r="O51" s="293"/>
      <c r="P51" s="293"/>
    </row>
    <row r="52" spans="1:16" s="289" customFormat="1" x14ac:dyDescent="0.25">
      <c r="A52" s="321">
        <f t="shared" si="1"/>
        <v>48</v>
      </c>
      <c r="B52" s="293"/>
      <c r="C52" s="91"/>
      <c r="D52" s="293"/>
      <c r="E52" s="142"/>
      <c r="F52" s="142"/>
      <c r="G52" s="142"/>
      <c r="H52" s="142"/>
      <c r="I52" s="142"/>
      <c r="J52" s="142"/>
      <c r="K52" s="70"/>
      <c r="L52" s="316"/>
      <c r="M52" s="293"/>
      <c r="N52" s="293"/>
      <c r="O52" s="293"/>
      <c r="P52" s="293"/>
    </row>
    <row r="53" spans="1:16" s="289" customFormat="1" x14ac:dyDescent="0.25">
      <c r="A53" s="321">
        <f t="shared" si="1"/>
        <v>49</v>
      </c>
      <c r="B53" s="293"/>
      <c r="C53" s="91" t="s">
        <v>251</v>
      </c>
      <c r="D53" s="293"/>
      <c r="E53" s="176">
        <f>E$59</f>
        <v>1.042E-3</v>
      </c>
      <c r="F53" s="176">
        <f t="shared" ref="F53:J53" si="31">F$59</f>
        <v>1.042E-3</v>
      </c>
      <c r="G53" s="176">
        <f t="shared" si="31"/>
        <v>1.042E-3</v>
      </c>
      <c r="H53" s="176">
        <f t="shared" si="31"/>
        <v>1.042E-3</v>
      </c>
      <c r="I53" s="176">
        <f t="shared" si="31"/>
        <v>1.042E-3</v>
      </c>
      <c r="J53" s="176">
        <f t="shared" si="31"/>
        <v>1.042E-3</v>
      </c>
      <c r="K53" s="70"/>
      <c r="L53" s="316"/>
      <c r="M53" s="293"/>
      <c r="N53" s="293"/>
      <c r="O53" s="293"/>
      <c r="P53" s="293"/>
    </row>
    <row r="54" spans="1:16" s="289" customFormat="1" x14ac:dyDescent="0.25">
      <c r="A54" s="321">
        <f t="shared" si="1"/>
        <v>50</v>
      </c>
      <c r="B54" s="293"/>
      <c r="C54" s="184" t="s">
        <v>155</v>
      </c>
      <c r="D54" s="183"/>
      <c r="E54" s="201">
        <f>ROUND(E51*E53,0)</f>
        <v>0</v>
      </c>
      <c r="F54" s="201">
        <f t="shared" ref="F54" si="32">ROUND(F51*F53,0)</f>
        <v>0</v>
      </c>
      <c r="G54" s="201">
        <f t="shared" ref="G54" si="33">ROUND(G51*G53,0)</f>
        <v>0</v>
      </c>
      <c r="H54" s="201">
        <f t="shared" ref="H54" si="34">ROUND(H51*H53,0)</f>
        <v>0</v>
      </c>
      <c r="I54" s="201">
        <f t="shared" ref="I54" si="35">ROUND(I51*I53,0)</f>
        <v>0</v>
      </c>
      <c r="J54" s="201">
        <f t="shared" ref="J54" si="36">ROUND(J51*J53,0)</f>
        <v>0</v>
      </c>
      <c r="K54" s="326">
        <f>SUM(E54:J54)</f>
        <v>0</v>
      </c>
      <c r="L54" s="316"/>
      <c r="M54" s="293"/>
      <c r="N54" s="293"/>
      <c r="O54" s="293"/>
      <c r="P54" s="293"/>
    </row>
    <row r="55" spans="1:16" s="289" customFormat="1" ht="15.75" thickBot="1" x14ac:dyDescent="0.3">
      <c r="A55" s="321">
        <f t="shared" si="1"/>
        <v>51</v>
      </c>
      <c r="B55" s="293"/>
      <c r="C55" s="184" t="s">
        <v>156</v>
      </c>
      <c r="D55" s="183"/>
      <c r="E55" s="205">
        <f>E49+E54</f>
        <v>0</v>
      </c>
      <c r="F55" s="205">
        <f t="shared" ref="F55" si="37">F49+F54</f>
        <v>0</v>
      </c>
      <c r="G55" s="205">
        <f t="shared" ref="G55" si="38">G49+G54</f>
        <v>0</v>
      </c>
      <c r="H55" s="205">
        <f t="shared" ref="H55" si="39">H49+H54</f>
        <v>0</v>
      </c>
      <c r="I55" s="205">
        <f t="shared" ref="I55" si="40">I49+I54</f>
        <v>0</v>
      </c>
      <c r="J55" s="205">
        <f t="shared" ref="J55" si="41">J49+J54</f>
        <v>0</v>
      </c>
      <c r="K55" s="327">
        <f>K46+K48+K54</f>
        <v>0</v>
      </c>
      <c r="L55" s="309"/>
      <c r="M55" s="293"/>
      <c r="N55" s="293"/>
      <c r="O55" s="293"/>
      <c r="P55" s="293"/>
    </row>
    <row r="56" spans="1:16" s="293" customFormat="1" ht="15.75" thickTop="1" x14ac:dyDescent="0.25">
      <c r="A56" s="321">
        <f t="shared" si="1"/>
        <v>52</v>
      </c>
      <c r="E56" s="300"/>
      <c r="F56" s="300"/>
      <c r="G56" s="300"/>
      <c r="H56" s="300"/>
      <c r="I56" s="300"/>
      <c r="J56" s="300"/>
      <c r="L56" s="289"/>
    </row>
    <row r="57" spans="1:16" x14ac:dyDescent="0.25">
      <c r="A57" s="321">
        <f t="shared" si="1"/>
        <v>53</v>
      </c>
      <c r="C57" s="91" t="s">
        <v>247</v>
      </c>
      <c r="D57" s="293"/>
      <c r="E57" s="176">
        <v>3.2500000000000001E-2</v>
      </c>
      <c r="F57" s="176">
        <v>3.2500000000000001E-2</v>
      </c>
      <c r="G57" s="176">
        <v>3.2500000000000001E-2</v>
      </c>
      <c r="H57" s="176">
        <v>3.2500000000000001E-2</v>
      </c>
      <c r="I57" s="176">
        <v>3.2500000000000001E-2</v>
      </c>
      <c r="J57" s="176">
        <v>3.2500000000000001E-2</v>
      </c>
      <c r="K57" s="293"/>
      <c r="M57" s="293"/>
      <c r="N57" s="293"/>
      <c r="O57" s="293"/>
      <c r="P57" s="293"/>
    </row>
    <row r="58" spans="1:16" x14ac:dyDescent="0.25">
      <c r="A58" s="321">
        <f t="shared" si="1"/>
        <v>54</v>
      </c>
      <c r="C58" s="91" t="s">
        <v>249</v>
      </c>
      <c r="D58" s="272"/>
      <c r="E58" s="176">
        <v>1.2500000000000001E-2</v>
      </c>
      <c r="F58" s="176">
        <v>1.2500000000000001E-2</v>
      </c>
      <c r="G58" s="176">
        <v>1.2500000000000001E-2</v>
      </c>
      <c r="H58" s="176">
        <v>1.2500000000000001E-2</v>
      </c>
      <c r="I58" s="176">
        <v>1.2500000000000001E-2</v>
      </c>
      <c r="J58" s="176">
        <v>1.2500000000000001E-2</v>
      </c>
      <c r="K58" s="293"/>
      <c r="M58" s="293"/>
      <c r="N58" s="293"/>
      <c r="O58" s="293"/>
      <c r="P58" s="293"/>
    </row>
    <row r="59" spans="1:16" s="293" customFormat="1" x14ac:dyDescent="0.25">
      <c r="A59" s="321">
        <f t="shared" si="1"/>
        <v>55</v>
      </c>
      <c r="C59" s="91" t="s">
        <v>250</v>
      </c>
      <c r="E59" s="176">
        <f>ROUND(E$58/12,6)</f>
        <v>1.042E-3</v>
      </c>
      <c r="F59" s="176">
        <f t="shared" ref="F59:J59" si="42">ROUND(F$58/12,6)</f>
        <v>1.042E-3</v>
      </c>
      <c r="G59" s="176">
        <f t="shared" si="42"/>
        <v>1.042E-3</v>
      </c>
      <c r="H59" s="176">
        <f t="shared" si="42"/>
        <v>1.042E-3</v>
      </c>
      <c r="I59" s="176">
        <f t="shared" si="42"/>
        <v>1.042E-3</v>
      </c>
      <c r="J59" s="176">
        <f t="shared" si="42"/>
        <v>1.042E-3</v>
      </c>
      <c r="L59" s="289"/>
    </row>
    <row r="60" spans="1:16" s="293" customFormat="1" x14ac:dyDescent="0.25">
      <c r="C60" s="91"/>
      <c r="E60" s="176"/>
      <c r="F60" s="176"/>
      <c r="G60" s="176"/>
      <c r="H60" s="176"/>
      <c r="I60" s="176"/>
      <c r="J60" s="176"/>
      <c r="L60" s="289"/>
    </row>
    <row r="61" spans="1:16" x14ac:dyDescent="0.25">
      <c r="C61" s="91" t="s">
        <v>248</v>
      </c>
      <c r="D61" s="293"/>
      <c r="E61" s="300"/>
      <c r="F61" s="300"/>
      <c r="G61" s="300"/>
      <c r="H61" s="300"/>
      <c r="I61" s="300"/>
      <c r="J61" s="300"/>
      <c r="K61" s="293"/>
      <c r="M61" s="293"/>
      <c r="N61" s="293"/>
      <c r="O61" s="293"/>
      <c r="P61" s="293"/>
    </row>
    <row r="62" spans="1:16" x14ac:dyDescent="0.25">
      <c r="C62" s="91" t="s">
        <v>293</v>
      </c>
      <c r="D62" s="293"/>
      <c r="E62" s="300"/>
      <c r="F62" s="300"/>
      <c r="G62" s="300"/>
      <c r="H62" s="300"/>
      <c r="I62" s="300"/>
      <c r="J62" s="300"/>
      <c r="K62" s="293"/>
      <c r="M62" s="293"/>
      <c r="N62" s="293"/>
      <c r="O62" s="293"/>
      <c r="P62" s="293"/>
    </row>
    <row r="63" spans="1:16" x14ac:dyDescent="0.25">
      <c r="D63" s="293"/>
      <c r="E63" s="300"/>
      <c r="F63" s="300"/>
      <c r="G63" s="300"/>
      <c r="H63" s="300"/>
      <c r="I63" s="300"/>
      <c r="J63" s="300"/>
      <c r="K63" s="293"/>
      <c r="M63" s="293"/>
      <c r="N63" s="293"/>
      <c r="O63" s="293"/>
      <c r="P63" s="293"/>
    </row>
    <row r="64" spans="1:16" x14ac:dyDescent="0.25">
      <c r="D64" s="293"/>
      <c r="E64" s="300"/>
      <c r="F64" s="300"/>
      <c r="G64" s="300"/>
      <c r="H64" s="300"/>
      <c r="I64" s="300"/>
      <c r="J64" s="300"/>
      <c r="K64" s="293"/>
      <c r="M64" s="293"/>
      <c r="N64" s="293"/>
      <c r="O64" s="293"/>
      <c r="P64" s="293"/>
    </row>
  </sheetData>
  <mergeCells count="5">
    <mergeCell ref="M6:P6"/>
    <mergeCell ref="M19:P19"/>
    <mergeCell ref="M32:P32"/>
    <mergeCell ref="M45:P45"/>
    <mergeCell ref="A1:C1"/>
  </mergeCells>
  <printOptions horizontalCentered="1"/>
  <pageMargins left="0.45" right="0.45" top="0.5" bottom="0.5" header="0.3" footer="0.3"/>
  <pageSetup scale="6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P105"/>
  <sheetViews>
    <sheetView zoomScale="90" zoomScaleNormal="90" workbookViewId="0">
      <selection activeCell="A8" sqref="A8:O8"/>
    </sheetView>
  </sheetViews>
  <sheetFormatPr defaultRowHeight="15" x14ac:dyDescent="0.25"/>
  <cols>
    <col min="2" max="2" width="15" customWidth="1"/>
    <col min="3" max="3" width="9.140625" style="245"/>
    <col min="4" max="16" width="13.28515625" customWidth="1"/>
    <col min="17" max="17" width="15.85546875" customWidth="1"/>
  </cols>
  <sheetData>
    <row r="1" spans="1:16" s="243" customFormat="1" ht="18.75" customHeight="1" x14ac:dyDescent="0.3">
      <c r="C1" s="245"/>
      <c r="I1" s="246" t="s">
        <v>143</v>
      </c>
    </row>
    <row r="2" spans="1:16" s="243" customFormat="1" x14ac:dyDescent="0.25">
      <c r="C2" s="245"/>
      <c r="I2" s="247" t="s">
        <v>122</v>
      </c>
    </row>
    <row r="3" spans="1:16" s="243" customFormat="1" ht="15" customHeight="1" x14ac:dyDescent="0.25">
      <c r="C3" s="245"/>
      <c r="I3" s="247" t="s">
        <v>123</v>
      </c>
    </row>
    <row r="4" spans="1:16" s="243" customFormat="1" x14ac:dyDescent="0.25">
      <c r="C4" s="245"/>
      <c r="I4" s="247" t="s">
        <v>205</v>
      </c>
    </row>
    <row r="5" spans="1:16" s="243" customFormat="1" x14ac:dyDescent="0.25">
      <c r="C5" s="245"/>
      <c r="I5" s="247" t="s">
        <v>300</v>
      </c>
    </row>
    <row r="6" spans="1:16" s="243" customFormat="1" x14ac:dyDescent="0.25">
      <c r="C6" s="245"/>
    </row>
    <row r="7" spans="1:16" s="243" customFormat="1" x14ac:dyDescent="0.25">
      <c r="C7" s="245"/>
    </row>
    <row r="8" spans="1:16" ht="18.75" x14ac:dyDescent="0.3">
      <c r="A8" s="405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236"/>
    </row>
    <row r="9" spans="1:16" x14ac:dyDescent="0.25">
      <c r="A9" s="236"/>
      <c r="B9" s="236"/>
      <c r="C9" s="238" t="s">
        <v>204</v>
      </c>
      <c r="D9" s="237"/>
      <c r="E9" s="237"/>
      <c r="F9" s="237"/>
      <c r="G9" s="237"/>
      <c r="H9" s="237"/>
      <c r="I9" s="237"/>
      <c r="J9" s="237"/>
      <c r="K9" s="237"/>
      <c r="L9" s="237"/>
      <c r="M9" s="406" t="s">
        <v>202</v>
      </c>
      <c r="N9" s="406"/>
      <c r="O9" s="406"/>
      <c r="P9" s="236"/>
    </row>
    <row r="10" spans="1:16" x14ac:dyDescent="0.25">
      <c r="B10" s="236"/>
      <c r="C10" s="247" t="s">
        <v>185</v>
      </c>
      <c r="D10" s="239">
        <v>43922</v>
      </c>
      <c r="E10" s="239">
        <f>EDATE(D10,1)</f>
        <v>43952</v>
      </c>
      <c r="F10" s="239">
        <f t="shared" ref="F10:O10" si="0">EDATE(E10,1)</f>
        <v>43983</v>
      </c>
      <c r="G10" s="239">
        <f t="shared" si="0"/>
        <v>44013</v>
      </c>
      <c r="H10" s="239">
        <f t="shared" si="0"/>
        <v>44044</v>
      </c>
      <c r="I10" s="239">
        <f t="shared" si="0"/>
        <v>44075</v>
      </c>
      <c r="J10" s="239">
        <f t="shared" si="0"/>
        <v>44105</v>
      </c>
      <c r="K10" s="239">
        <f t="shared" si="0"/>
        <v>44136</v>
      </c>
      <c r="L10" s="239">
        <f t="shared" si="0"/>
        <v>44166</v>
      </c>
      <c r="M10" s="239">
        <f t="shared" si="0"/>
        <v>44197</v>
      </c>
      <c r="N10" s="239">
        <f t="shared" si="0"/>
        <v>44228</v>
      </c>
      <c r="O10" s="239">
        <f t="shared" si="0"/>
        <v>44256</v>
      </c>
      <c r="P10" s="238" t="s">
        <v>17</v>
      </c>
    </row>
    <row r="11" spans="1:16" x14ac:dyDescent="0.25">
      <c r="A11" s="407" t="s">
        <v>104</v>
      </c>
      <c r="B11" s="408"/>
    </row>
    <row r="12" spans="1:16" x14ac:dyDescent="0.25">
      <c r="A12" s="409" t="s">
        <v>18</v>
      </c>
      <c r="B12" s="409"/>
      <c r="I12" s="230"/>
    </row>
    <row r="13" spans="1:16" x14ac:dyDescent="0.25">
      <c r="A13" t="s">
        <v>25</v>
      </c>
      <c r="B13" t="s">
        <v>201</v>
      </c>
      <c r="D13" s="70"/>
    </row>
    <row r="14" spans="1:16" x14ac:dyDescent="0.25">
      <c r="B14" s="235" t="s">
        <v>206</v>
      </c>
      <c r="D14" s="248">
        <v>12212.625015591388</v>
      </c>
      <c r="E14" s="248">
        <v>8041.9345318638188</v>
      </c>
      <c r="F14" s="248">
        <v>3201.4479240936726</v>
      </c>
      <c r="G14" s="248">
        <v>2509.9753285583893</v>
      </c>
      <c r="H14" s="248">
        <v>2554.862115188912</v>
      </c>
      <c r="I14" s="248">
        <v>2959.3412774421049</v>
      </c>
      <c r="J14" s="248">
        <v>9321.6297717312227</v>
      </c>
      <c r="K14" s="248">
        <v>20898.348324157152</v>
      </c>
      <c r="L14" s="248">
        <v>32204.593916389422</v>
      </c>
      <c r="M14" s="241">
        <v>0</v>
      </c>
      <c r="N14" s="241">
        <v>0</v>
      </c>
      <c r="O14" s="241">
        <v>0</v>
      </c>
      <c r="P14" s="70">
        <f>SUM(D14:O14)</f>
        <v>93904.758205016085</v>
      </c>
    </row>
    <row r="15" spans="1:16" x14ac:dyDescent="0.25">
      <c r="B15" s="235" t="s">
        <v>208</v>
      </c>
      <c r="D15" s="3">
        <f>'SRR Res NEMO'!G21</f>
        <v>12212.625015591388</v>
      </c>
      <c r="E15" s="244">
        <f>'SRR Res NEMO'!H21</f>
        <v>8041.9345318638188</v>
      </c>
      <c r="F15" s="244">
        <f>'SRR Res NEMO'!I21</f>
        <v>3201.4479240936726</v>
      </c>
      <c r="G15" s="244">
        <f>'SRR Res NEMO'!J21</f>
        <v>2509.9753285583893</v>
      </c>
      <c r="H15" s="244">
        <f>'SRR Res NEMO'!K21</f>
        <v>2554.862115188912</v>
      </c>
      <c r="I15" s="244">
        <f>'SRR Res NEMO'!L21</f>
        <v>2959.3412774421049</v>
      </c>
      <c r="J15" s="244">
        <f>'SRR Res NEMO'!M21</f>
        <v>9321.6297717312227</v>
      </c>
      <c r="K15" s="244">
        <f>'SRR Res NEMO'!N21</f>
        <v>20898.348324157152</v>
      </c>
      <c r="L15" s="244">
        <f>'SRR Res NEMO'!O21</f>
        <v>32204.593916389422</v>
      </c>
      <c r="M15" s="240">
        <v>0</v>
      </c>
      <c r="N15" s="240">
        <v>0</v>
      </c>
      <c r="O15" s="240">
        <v>0</v>
      </c>
      <c r="P15" s="244">
        <f>SUM(D15:O15)</f>
        <v>93904.758205016085</v>
      </c>
    </row>
    <row r="16" spans="1:16" x14ac:dyDescent="0.25">
      <c r="B16" s="233" t="s">
        <v>200</v>
      </c>
      <c r="D16" s="155">
        <f t="shared" ref="D16:L16" si="1">D14-D15</f>
        <v>0</v>
      </c>
      <c r="E16" s="155">
        <f t="shared" si="1"/>
        <v>0</v>
      </c>
      <c r="F16" s="155">
        <f t="shared" si="1"/>
        <v>0</v>
      </c>
      <c r="G16" s="155">
        <f t="shared" si="1"/>
        <v>0</v>
      </c>
      <c r="H16" s="155">
        <f t="shared" si="1"/>
        <v>0</v>
      </c>
      <c r="I16" s="155">
        <f t="shared" si="1"/>
        <v>0</v>
      </c>
      <c r="J16" s="155">
        <f t="shared" si="1"/>
        <v>0</v>
      </c>
      <c r="K16" s="155">
        <f t="shared" si="1"/>
        <v>0</v>
      </c>
      <c r="L16" s="155">
        <f t="shared" si="1"/>
        <v>0</v>
      </c>
      <c r="M16" s="242">
        <f t="shared" ref="M16:O16" si="2">SUM(M14:M15)</f>
        <v>0</v>
      </c>
      <c r="N16" s="242">
        <f t="shared" si="2"/>
        <v>0</v>
      </c>
      <c r="O16" s="242">
        <f t="shared" si="2"/>
        <v>0</v>
      </c>
      <c r="P16" s="155">
        <f>SUM(D16:O16)</f>
        <v>0</v>
      </c>
    </row>
    <row r="17" spans="1:16" s="243" customFormat="1" x14ac:dyDescent="0.25">
      <c r="C17" s="249"/>
      <c r="D17" s="244"/>
    </row>
    <row r="18" spans="1:16" s="293" customFormat="1" x14ac:dyDescent="0.25">
      <c r="A18" s="293" t="s">
        <v>108</v>
      </c>
      <c r="B18" s="293" t="s">
        <v>201</v>
      </c>
      <c r="C18" s="328"/>
      <c r="D18" s="279"/>
    </row>
    <row r="19" spans="1:16" s="293" customFormat="1" x14ac:dyDescent="0.25">
      <c r="B19" s="235" t="s">
        <v>206</v>
      </c>
      <c r="C19" s="328"/>
      <c r="D19" s="248">
        <v>-1396.9144475195569</v>
      </c>
      <c r="E19" s="248">
        <v>-798.55151314783734</v>
      </c>
      <c r="F19" s="248">
        <v>-317.89876850147641</v>
      </c>
      <c r="G19" s="248">
        <v>-249.23662193995881</v>
      </c>
      <c r="H19" s="248">
        <v>-253.69380960321627</v>
      </c>
      <c r="I19" s="248">
        <v>-293.85795739306383</v>
      </c>
      <c r="J19" s="248">
        <v>-925.62324770563669</v>
      </c>
      <c r="K19" s="248">
        <v>-2075.1732820533816</v>
      </c>
      <c r="L19" s="248">
        <v>-3197.8657747521065</v>
      </c>
      <c r="M19" s="241">
        <v>0</v>
      </c>
      <c r="N19" s="241">
        <v>0</v>
      </c>
      <c r="O19" s="241">
        <v>0</v>
      </c>
      <c r="P19" s="70">
        <f>SUM(D19:O19)</f>
        <v>-9508.8154226162333</v>
      </c>
    </row>
    <row r="20" spans="1:16" s="293" customFormat="1" x14ac:dyDescent="0.25">
      <c r="B20" s="235" t="s">
        <v>208</v>
      </c>
      <c r="C20" s="328"/>
      <c r="D20" s="279">
        <f>'SRR Res NEMO'!G22</f>
        <v>-1396.9144475195569</v>
      </c>
      <c r="E20" s="279">
        <f>'SRR Res NEMO'!H22</f>
        <v>-798.55151314783734</v>
      </c>
      <c r="F20" s="279">
        <f>'SRR Res NEMO'!I22</f>
        <v>-317.89876850147641</v>
      </c>
      <c r="G20" s="279">
        <f>'SRR Res NEMO'!J22</f>
        <v>-249.23662193995881</v>
      </c>
      <c r="H20" s="279">
        <f>'SRR Res NEMO'!K22</f>
        <v>-253.69380960321627</v>
      </c>
      <c r="I20" s="279">
        <f>'SRR Res NEMO'!L22</f>
        <v>-293.85795739306383</v>
      </c>
      <c r="J20" s="279">
        <f>'SRR Res NEMO'!M22</f>
        <v>-925.62324770563669</v>
      </c>
      <c r="K20" s="279">
        <f>'SRR Res NEMO'!N22</f>
        <v>-2075.1732820533816</v>
      </c>
      <c r="L20" s="279">
        <f>'SRR Res NEMO'!O22</f>
        <v>-3197.8657747521065</v>
      </c>
      <c r="M20" s="240">
        <v>0</v>
      </c>
      <c r="N20" s="240">
        <v>0</v>
      </c>
      <c r="O20" s="240">
        <v>0</v>
      </c>
      <c r="P20" s="279">
        <f>SUM(D20:O20)</f>
        <v>-9508.8154226162333</v>
      </c>
    </row>
    <row r="21" spans="1:16" s="293" customFormat="1" x14ac:dyDescent="0.25">
      <c r="B21" s="328" t="s">
        <v>200</v>
      </c>
      <c r="C21" s="328"/>
      <c r="D21" s="155">
        <f t="shared" ref="D21:L21" si="3">D19-D20</f>
        <v>0</v>
      </c>
      <c r="E21" s="155">
        <f t="shared" si="3"/>
        <v>0</v>
      </c>
      <c r="F21" s="155">
        <f t="shared" si="3"/>
        <v>0</v>
      </c>
      <c r="G21" s="155">
        <f t="shared" si="3"/>
        <v>0</v>
      </c>
      <c r="H21" s="155">
        <f t="shared" si="3"/>
        <v>0</v>
      </c>
      <c r="I21" s="155">
        <f t="shared" si="3"/>
        <v>0</v>
      </c>
      <c r="J21" s="155">
        <f t="shared" si="3"/>
        <v>0</v>
      </c>
      <c r="K21" s="155">
        <f t="shared" si="3"/>
        <v>0</v>
      </c>
      <c r="L21" s="155">
        <f t="shared" si="3"/>
        <v>0</v>
      </c>
      <c r="M21" s="242">
        <f t="shared" ref="M21:O21" si="4">SUM(M19:M20)</f>
        <v>0</v>
      </c>
      <c r="N21" s="242">
        <f t="shared" si="4"/>
        <v>0</v>
      </c>
      <c r="O21" s="242">
        <f t="shared" si="4"/>
        <v>0</v>
      </c>
      <c r="P21" s="155">
        <f>SUM(D21:O21)</f>
        <v>0</v>
      </c>
    </row>
    <row r="22" spans="1:16" s="293" customFormat="1" x14ac:dyDescent="0.25">
      <c r="C22" s="328"/>
      <c r="D22" s="279"/>
    </row>
    <row r="23" spans="1:16" x14ac:dyDescent="0.25">
      <c r="A23" s="410" t="s">
        <v>64</v>
      </c>
      <c r="B23" s="410"/>
    </row>
    <row r="24" spans="1:16" x14ac:dyDescent="0.25">
      <c r="A24" s="293" t="s">
        <v>25</v>
      </c>
      <c r="B24" t="s">
        <v>201</v>
      </c>
      <c r="D24" s="70"/>
    </row>
    <row r="25" spans="1:16" x14ac:dyDescent="0.25">
      <c r="B25" s="235" t="s">
        <v>206</v>
      </c>
      <c r="D25" s="248">
        <v>1295.7288960312148</v>
      </c>
      <c r="E25" s="248">
        <v>795.81212238374337</v>
      </c>
      <c r="F25" s="248">
        <v>460.80023628966399</v>
      </c>
      <c r="G25" s="248">
        <v>382.49990286815125</v>
      </c>
      <c r="H25" s="248">
        <v>400.75288236085458</v>
      </c>
      <c r="I25" s="248">
        <v>422.24712733641496</v>
      </c>
      <c r="J25" s="248">
        <v>1015.4022688490213</v>
      </c>
      <c r="K25" s="248">
        <v>2361.8934473360355</v>
      </c>
      <c r="L25" s="248">
        <v>3999.8816183306781</v>
      </c>
      <c r="M25" s="241">
        <v>0</v>
      </c>
      <c r="N25" s="241">
        <v>0</v>
      </c>
      <c r="O25" s="241">
        <v>0</v>
      </c>
      <c r="P25" s="70">
        <f>SUM(D25:O25)</f>
        <v>11135.018501785777</v>
      </c>
    </row>
    <row r="26" spans="1:16" x14ac:dyDescent="0.25">
      <c r="B26" s="235" t="s">
        <v>207</v>
      </c>
      <c r="D26" s="3">
        <f>'SRR SGS NEMO'!G21</f>
        <v>1295.7288960312148</v>
      </c>
      <c r="E26" s="244">
        <f>'SRR SGS NEMO'!H21</f>
        <v>795.81212238374337</v>
      </c>
      <c r="F26" s="244">
        <f>'SRR SGS NEMO'!I21</f>
        <v>460.80023628966399</v>
      </c>
      <c r="G26" s="244">
        <f>'SRR SGS NEMO'!J21</f>
        <v>382.49990286815125</v>
      </c>
      <c r="H26" s="244">
        <f>'SRR SGS NEMO'!K21</f>
        <v>400.75288236085458</v>
      </c>
      <c r="I26" s="244">
        <f>'SRR SGS NEMO'!L21</f>
        <v>422.24712733641496</v>
      </c>
      <c r="J26" s="244">
        <f>'SRR SGS NEMO'!M21</f>
        <v>1015.4022688490213</v>
      </c>
      <c r="K26" s="244">
        <f>'SRR SGS NEMO'!N21</f>
        <v>2361.8934473360355</v>
      </c>
      <c r="L26" s="244">
        <f>'SRR SGS NEMO'!O21</f>
        <v>3999.8816183306781</v>
      </c>
      <c r="M26" s="240">
        <v>0</v>
      </c>
      <c r="N26" s="240">
        <v>0</v>
      </c>
      <c r="O26" s="240">
        <v>0</v>
      </c>
      <c r="P26" s="244">
        <f>SUM(D26:O26)</f>
        <v>11135.018501785777</v>
      </c>
    </row>
    <row r="27" spans="1:16" x14ac:dyDescent="0.25">
      <c r="B27" s="233" t="s">
        <v>200</v>
      </c>
      <c r="D27" s="155">
        <f t="shared" ref="D27:L27" si="5">D25-D26</f>
        <v>0</v>
      </c>
      <c r="E27" s="155">
        <f t="shared" si="5"/>
        <v>0</v>
      </c>
      <c r="F27" s="155">
        <f t="shared" si="5"/>
        <v>0</v>
      </c>
      <c r="G27" s="155">
        <f t="shared" si="5"/>
        <v>0</v>
      </c>
      <c r="H27" s="155">
        <f t="shared" si="5"/>
        <v>0</v>
      </c>
      <c r="I27" s="155">
        <f t="shared" si="5"/>
        <v>0</v>
      </c>
      <c r="J27" s="155">
        <f t="shared" si="5"/>
        <v>0</v>
      </c>
      <c r="K27" s="155">
        <f t="shared" si="5"/>
        <v>0</v>
      </c>
      <c r="L27" s="155">
        <f t="shared" si="5"/>
        <v>0</v>
      </c>
      <c r="M27" s="242">
        <f t="shared" ref="M27" si="6">SUM(M25:M26)</f>
        <v>0</v>
      </c>
      <c r="N27" s="242">
        <f t="shared" ref="N27" si="7">SUM(N25:N26)</f>
        <v>0</v>
      </c>
      <c r="O27" s="242">
        <f t="shared" ref="O27" si="8">SUM(O25:O26)</f>
        <v>0</v>
      </c>
      <c r="P27" s="155">
        <f>SUM(D27:O27)</f>
        <v>0</v>
      </c>
    </row>
    <row r="28" spans="1:16" s="293" customFormat="1" x14ac:dyDescent="0.25">
      <c r="B28" s="328"/>
      <c r="C28" s="328"/>
      <c r="D28" s="152"/>
      <c r="E28" s="152"/>
      <c r="F28" s="152"/>
      <c r="G28" s="152"/>
      <c r="H28" s="152"/>
      <c r="I28" s="152"/>
      <c r="J28" s="152"/>
      <c r="K28" s="152"/>
      <c r="L28" s="152"/>
      <c r="M28" s="251"/>
      <c r="N28" s="251"/>
      <c r="O28" s="251"/>
      <c r="P28" s="152"/>
    </row>
    <row r="29" spans="1:16" s="293" customFormat="1" x14ac:dyDescent="0.25">
      <c r="A29" s="293" t="s">
        <v>108</v>
      </c>
      <c r="B29" s="293" t="s">
        <v>201</v>
      </c>
      <c r="C29" s="328"/>
      <c r="D29" s="70"/>
    </row>
    <row r="30" spans="1:16" s="293" customFormat="1" x14ac:dyDescent="0.25">
      <c r="B30" s="235" t="s">
        <v>206</v>
      </c>
      <c r="C30" s="328"/>
      <c r="D30" s="248">
        <v>92.232563405152632</v>
      </c>
      <c r="E30" s="248">
        <v>49.993325636927473</v>
      </c>
      <c r="F30" s="248">
        <v>28.947707151530171</v>
      </c>
      <c r="G30" s="248">
        <v>24.028840051973603</v>
      </c>
      <c r="H30" s="248">
        <v>25.175501584207531</v>
      </c>
      <c r="I30" s="248">
        <v>26.525781076261964</v>
      </c>
      <c r="J30" s="248">
        <v>63.788091248207763</v>
      </c>
      <c r="K30" s="248">
        <v>148.37535758905864</v>
      </c>
      <c r="L30" s="248">
        <v>251.27461448487594</v>
      </c>
      <c r="M30" s="241">
        <v>0</v>
      </c>
      <c r="N30" s="241">
        <v>0</v>
      </c>
      <c r="O30" s="241">
        <v>0</v>
      </c>
      <c r="P30" s="70">
        <f>SUM(D30:O30)</f>
        <v>710.34178222819571</v>
      </c>
    </row>
    <row r="31" spans="1:16" s="293" customFormat="1" x14ac:dyDescent="0.25">
      <c r="B31" s="235" t="s">
        <v>207</v>
      </c>
      <c r="C31" s="328"/>
      <c r="D31" s="279">
        <f>'SRR SGS NEMO'!G22</f>
        <v>92.232563405152632</v>
      </c>
      <c r="E31" s="279">
        <f>'SRR SGS NEMO'!H22</f>
        <v>49.993325636927473</v>
      </c>
      <c r="F31" s="279">
        <f>'SRR SGS NEMO'!I22</f>
        <v>28.947707151530171</v>
      </c>
      <c r="G31" s="279">
        <f>'SRR SGS NEMO'!J22</f>
        <v>24.028840051973603</v>
      </c>
      <c r="H31" s="279">
        <f>'SRR SGS NEMO'!K22</f>
        <v>25.175501584207531</v>
      </c>
      <c r="I31" s="279">
        <f>'SRR SGS NEMO'!L22</f>
        <v>26.525781076261964</v>
      </c>
      <c r="J31" s="279">
        <f>'SRR SGS NEMO'!M22</f>
        <v>63.788091248207763</v>
      </c>
      <c r="K31" s="279">
        <f>'SRR SGS NEMO'!N22</f>
        <v>148.37535758905864</v>
      </c>
      <c r="L31" s="279">
        <f>'SRR SGS NEMO'!O22</f>
        <v>251.27461448487594</v>
      </c>
      <c r="M31" s="240">
        <v>0</v>
      </c>
      <c r="N31" s="240">
        <v>0</v>
      </c>
      <c r="O31" s="240">
        <v>0</v>
      </c>
      <c r="P31" s="279">
        <f>SUM(D31:O31)</f>
        <v>710.34178222819571</v>
      </c>
    </row>
    <row r="32" spans="1:16" s="293" customFormat="1" x14ac:dyDescent="0.25">
      <c r="B32" s="328" t="s">
        <v>200</v>
      </c>
      <c r="C32" s="328"/>
      <c r="D32" s="155">
        <f t="shared" ref="D32:L32" si="9">D30-D31</f>
        <v>0</v>
      </c>
      <c r="E32" s="155">
        <f t="shared" si="9"/>
        <v>0</v>
      </c>
      <c r="F32" s="155">
        <f t="shared" si="9"/>
        <v>0</v>
      </c>
      <c r="G32" s="155">
        <f t="shared" si="9"/>
        <v>0</v>
      </c>
      <c r="H32" s="155">
        <f t="shared" si="9"/>
        <v>0</v>
      </c>
      <c r="I32" s="155">
        <f t="shared" si="9"/>
        <v>0</v>
      </c>
      <c r="J32" s="155">
        <f t="shared" si="9"/>
        <v>0</v>
      </c>
      <c r="K32" s="155">
        <f t="shared" si="9"/>
        <v>0</v>
      </c>
      <c r="L32" s="155">
        <f t="shared" si="9"/>
        <v>0</v>
      </c>
      <c r="M32" s="242">
        <f t="shared" ref="M32:O32" si="10">SUM(M30:M31)</f>
        <v>0</v>
      </c>
      <c r="N32" s="242">
        <f t="shared" si="10"/>
        <v>0</v>
      </c>
      <c r="O32" s="242">
        <f t="shared" si="10"/>
        <v>0</v>
      </c>
      <c r="P32" s="155">
        <f>SUM(D32:O32)</f>
        <v>0</v>
      </c>
    </row>
    <row r="33" spans="1:16" s="243" customFormat="1" x14ac:dyDescent="0.25">
      <c r="C33" s="249"/>
    </row>
    <row r="34" spans="1:16" s="293" customFormat="1" x14ac:dyDescent="0.25">
      <c r="A34" s="407" t="s">
        <v>19</v>
      </c>
      <c r="B34" s="408"/>
      <c r="C34" s="328"/>
    </row>
    <row r="35" spans="1:16" x14ac:dyDescent="0.25">
      <c r="A35" s="411" t="s">
        <v>18</v>
      </c>
      <c r="B35" s="411"/>
    </row>
    <row r="36" spans="1:16" x14ac:dyDescent="0.25">
      <c r="A36" t="s">
        <v>25</v>
      </c>
      <c r="B36" t="s">
        <v>201</v>
      </c>
      <c r="D36" s="70"/>
    </row>
    <row r="37" spans="1:16" x14ac:dyDescent="0.25">
      <c r="B37" s="235" t="s">
        <v>206</v>
      </c>
      <c r="D37" s="248">
        <v>14654.519618295233</v>
      </c>
      <c r="E37" s="248">
        <v>9364.1716189267336</v>
      </c>
      <c r="F37" s="248">
        <v>5159.3994662733166</v>
      </c>
      <c r="G37" s="248">
        <v>4420.2014388069274</v>
      </c>
      <c r="H37" s="248">
        <v>4485.2292156368558</v>
      </c>
      <c r="I37" s="248">
        <v>4396.9133027518446</v>
      </c>
      <c r="J37" s="248">
        <v>9504.4817777562912</v>
      </c>
      <c r="K37" s="248">
        <v>22285.590508790672</v>
      </c>
      <c r="L37" s="248">
        <v>46219.070065798303</v>
      </c>
      <c r="M37" s="241">
        <v>0</v>
      </c>
      <c r="N37" s="241">
        <v>0</v>
      </c>
      <c r="O37" s="241">
        <v>0</v>
      </c>
      <c r="P37" s="70">
        <f>SUM(D37:O37)</f>
        <v>120489.57701303618</v>
      </c>
    </row>
    <row r="38" spans="1:16" x14ac:dyDescent="0.25">
      <c r="B38" s="235" t="s">
        <v>207</v>
      </c>
      <c r="D38" s="3">
        <f>'SRR Res SEMO'!G21</f>
        <v>14654.519618295233</v>
      </c>
      <c r="E38" s="244">
        <f>'SRR Res SEMO'!H21</f>
        <v>9364.1716189267336</v>
      </c>
      <c r="F38" s="244">
        <f>'SRR Res SEMO'!I21</f>
        <v>5159.3994662733166</v>
      </c>
      <c r="G38" s="244">
        <f>'SRR Res SEMO'!J21</f>
        <v>4420.2014388069274</v>
      </c>
      <c r="H38" s="244">
        <f>'SRR Res SEMO'!K21</f>
        <v>4485.2292156368558</v>
      </c>
      <c r="I38" s="244">
        <f>'SRR Res SEMO'!L21</f>
        <v>4396.9133027518446</v>
      </c>
      <c r="J38" s="244">
        <f>'SRR Res SEMO'!M21</f>
        <v>9504.4817777562912</v>
      </c>
      <c r="K38" s="244">
        <f>'SRR Res SEMO'!N21</f>
        <v>22285.590508790672</v>
      </c>
      <c r="L38" s="244">
        <f>'SRR Res SEMO'!O21</f>
        <v>46219.070065798303</v>
      </c>
      <c r="M38" s="240">
        <v>0</v>
      </c>
      <c r="N38" s="240">
        <v>0</v>
      </c>
      <c r="O38" s="240">
        <v>0</v>
      </c>
      <c r="P38" s="244">
        <f>SUM(D38:O38)</f>
        <v>120489.57701303618</v>
      </c>
    </row>
    <row r="39" spans="1:16" x14ac:dyDescent="0.25">
      <c r="B39" s="233" t="s">
        <v>200</v>
      </c>
      <c r="D39" s="155">
        <f t="shared" ref="D39:L39" si="11">D37-D38</f>
        <v>0</v>
      </c>
      <c r="E39" s="155">
        <f t="shared" si="11"/>
        <v>0</v>
      </c>
      <c r="F39" s="155">
        <f t="shared" si="11"/>
        <v>0</v>
      </c>
      <c r="G39" s="155">
        <f t="shared" si="11"/>
        <v>0</v>
      </c>
      <c r="H39" s="155">
        <f t="shared" si="11"/>
        <v>0</v>
      </c>
      <c r="I39" s="155">
        <f t="shared" si="11"/>
        <v>0</v>
      </c>
      <c r="J39" s="155">
        <f t="shared" si="11"/>
        <v>0</v>
      </c>
      <c r="K39" s="155">
        <f t="shared" si="11"/>
        <v>0</v>
      </c>
      <c r="L39" s="155">
        <f t="shared" si="11"/>
        <v>0</v>
      </c>
      <c r="M39" s="242">
        <f t="shared" ref="M39" si="12">SUM(M37:M38)</f>
        <v>0</v>
      </c>
      <c r="N39" s="242">
        <f t="shared" ref="N39" si="13">SUM(N37:N38)</f>
        <v>0</v>
      </c>
      <c r="O39" s="242">
        <f t="shared" ref="O39" si="14">SUM(O37:O38)</f>
        <v>0</v>
      </c>
      <c r="P39" s="155">
        <f>SUM(D39:O39)</f>
        <v>0</v>
      </c>
    </row>
    <row r="40" spans="1:16" s="243" customFormat="1" x14ac:dyDescent="0.25">
      <c r="C40" s="249"/>
    </row>
    <row r="41" spans="1:16" s="293" customFormat="1" x14ac:dyDescent="0.25">
      <c r="A41" s="293" t="s">
        <v>108</v>
      </c>
      <c r="B41" s="293" t="s">
        <v>201</v>
      </c>
      <c r="C41" s="328"/>
      <c r="D41" s="70"/>
    </row>
    <row r="42" spans="1:16" s="293" customFormat="1" x14ac:dyDescent="0.25">
      <c r="B42" s="235" t="s">
        <v>206</v>
      </c>
      <c r="C42" s="328"/>
      <c r="D42" s="248">
        <v>50.845152889715202</v>
      </c>
      <c r="E42" s="248">
        <v>31.996030588587931</v>
      </c>
      <c r="F42" s="248">
        <v>17.628927561298347</v>
      </c>
      <c r="G42" s="248">
        <v>15.103193982256016</v>
      </c>
      <c r="H42" s="248">
        <v>15.325384563679462</v>
      </c>
      <c r="I42" s="248">
        <v>15.023621763388993</v>
      </c>
      <c r="J42" s="248">
        <v>32.475450265682085</v>
      </c>
      <c r="K42" s="248">
        <v>76.146664608624178</v>
      </c>
      <c r="L42" s="248">
        <v>157.92392960978921</v>
      </c>
      <c r="M42" s="241">
        <v>0</v>
      </c>
      <c r="N42" s="241">
        <v>0</v>
      </c>
      <c r="O42" s="241">
        <v>0</v>
      </c>
      <c r="P42" s="70">
        <f>SUM(D42:O42)</f>
        <v>412.46835583302141</v>
      </c>
    </row>
    <row r="43" spans="1:16" s="293" customFormat="1" x14ac:dyDescent="0.25">
      <c r="B43" s="235" t="s">
        <v>207</v>
      </c>
      <c r="C43" s="328"/>
      <c r="D43" s="279">
        <f>'SRR Res SEMO'!G22</f>
        <v>50.845152889715202</v>
      </c>
      <c r="E43" s="279">
        <f>'SRR Res SEMO'!H22</f>
        <v>31.996030588587931</v>
      </c>
      <c r="F43" s="279">
        <f>'SRR Res SEMO'!I22</f>
        <v>17.628927561298347</v>
      </c>
      <c r="G43" s="279">
        <f>'SRR Res SEMO'!J22</f>
        <v>15.103193982256016</v>
      </c>
      <c r="H43" s="279">
        <f>'SRR Res SEMO'!K22</f>
        <v>15.325384563679462</v>
      </c>
      <c r="I43" s="279">
        <f>'SRR Res SEMO'!L22</f>
        <v>15.023621763388993</v>
      </c>
      <c r="J43" s="279">
        <f>'SRR Res SEMO'!M22</f>
        <v>32.475450265682085</v>
      </c>
      <c r="K43" s="279">
        <f>'SRR Res SEMO'!N22</f>
        <v>76.146664608624178</v>
      </c>
      <c r="L43" s="279">
        <f>'SRR Res SEMO'!O22</f>
        <v>157.92392960978921</v>
      </c>
      <c r="M43" s="240">
        <v>0</v>
      </c>
      <c r="N43" s="240">
        <v>0</v>
      </c>
      <c r="O43" s="240">
        <v>0</v>
      </c>
      <c r="P43" s="279">
        <f>SUM(D43:O43)</f>
        <v>412.46835583302141</v>
      </c>
    </row>
    <row r="44" spans="1:16" s="293" customFormat="1" x14ac:dyDescent="0.25">
      <c r="B44" s="328" t="s">
        <v>200</v>
      </c>
      <c r="C44" s="328"/>
      <c r="D44" s="155">
        <f t="shared" ref="D44:L44" si="15">D42-D43</f>
        <v>0</v>
      </c>
      <c r="E44" s="155">
        <f t="shared" si="15"/>
        <v>0</v>
      </c>
      <c r="F44" s="155">
        <f t="shared" si="15"/>
        <v>0</v>
      </c>
      <c r="G44" s="155">
        <f t="shared" si="15"/>
        <v>0</v>
      </c>
      <c r="H44" s="155">
        <f t="shared" si="15"/>
        <v>0</v>
      </c>
      <c r="I44" s="155">
        <f t="shared" si="15"/>
        <v>0</v>
      </c>
      <c r="J44" s="155">
        <f t="shared" si="15"/>
        <v>0</v>
      </c>
      <c r="K44" s="155">
        <f t="shared" si="15"/>
        <v>0</v>
      </c>
      <c r="L44" s="155">
        <f t="shared" si="15"/>
        <v>0</v>
      </c>
      <c r="M44" s="242">
        <f t="shared" ref="M44:O44" si="16">SUM(M42:M43)</f>
        <v>0</v>
      </c>
      <c r="N44" s="242">
        <f t="shared" si="16"/>
        <v>0</v>
      </c>
      <c r="O44" s="242">
        <f t="shared" si="16"/>
        <v>0</v>
      </c>
      <c r="P44" s="155">
        <f>SUM(D44:O44)</f>
        <v>0</v>
      </c>
    </row>
    <row r="45" spans="1:16" s="293" customFormat="1" x14ac:dyDescent="0.25">
      <c r="C45" s="328"/>
    </row>
    <row r="46" spans="1:16" x14ac:dyDescent="0.25">
      <c r="B46" s="109" t="s">
        <v>64</v>
      </c>
    </row>
    <row r="47" spans="1:16" x14ac:dyDescent="0.25">
      <c r="A47" t="s">
        <v>25</v>
      </c>
      <c r="B47" t="s">
        <v>201</v>
      </c>
      <c r="D47" s="70"/>
    </row>
    <row r="48" spans="1:16" x14ac:dyDescent="0.25">
      <c r="B48" s="235" t="s">
        <v>206</v>
      </c>
      <c r="D48" s="248">
        <v>1024.1767572194926</v>
      </c>
      <c r="E48" s="248">
        <v>699.0306964332874</v>
      </c>
      <c r="F48" s="248">
        <v>499.21997454229552</v>
      </c>
      <c r="G48" s="248">
        <v>464.7544299813116</v>
      </c>
      <c r="H48" s="248">
        <v>506.58256978307628</v>
      </c>
      <c r="I48" s="248">
        <v>461.11892941236044</v>
      </c>
      <c r="J48" s="248">
        <v>746.51957171459935</v>
      </c>
      <c r="K48" s="248">
        <v>1754.8552621841338</v>
      </c>
      <c r="L48" s="248">
        <v>4182.7643399801036</v>
      </c>
      <c r="M48" s="241">
        <v>0</v>
      </c>
      <c r="N48" s="241">
        <v>0</v>
      </c>
      <c r="O48" s="241">
        <v>0</v>
      </c>
      <c r="P48" s="70">
        <f>SUM(D48:O48)</f>
        <v>10339.022531250661</v>
      </c>
    </row>
    <row r="49" spans="1:16" x14ac:dyDescent="0.25">
      <c r="B49" s="235" t="s">
        <v>207</v>
      </c>
      <c r="D49" s="3">
        <f>'SRR SGS SEMO'!G21</f>
        <v>1024.1767572194926</v>
      </c>
      <c r="E49" s="244">
        <f>'SRR SGS SEMO'!H21</f>
        <v>699.0306964332874</v>
      </c>
      <c r="F49" s="244">
        <f>'SRR SGS SEMO'!I21</f>
        <v>499.21997454229552</v>
      </c>
      <c r="G49" s="244">
        <f>'SRR SGS SEMO'!J21</f>
        <v>464.7544299813116</v>
      </c>
      <c r="H49" s="244">
        <f>'SRR SGS SEMO'!K21</f>
        <v>506.58256978307628</v>
      </c>
      <c r="I49" s="244">
        <f>'SRR SGS SEMO'!L21</f>
        <v>461.11892941236044</v>
      </c>
      <c r="J49" s="244">
        <f>'SRR SGS SEMO'!M21</f>
        <v>746.51957171459935</v>
      </c>
      <c r="K49" s="244">
        <f>'SRR SGS SEMO'!N21</f>
        <v>1754.8552621841338</v>
      </c>
      <c r="L49" s="244">
        <f>'SRR SGS SEMO'!O21</f>
        <v>4182.7643399801036</v>
      </c>
      <c r="M49" s="240">
        <v>0</v>
      </c>
      <c r="N49" s="240">
        <v>0</v>
      </c>
      <c r="O49" s="240">
        <v>0</v>
      </c>
      <c r="P49" s="244">
        <f>SUM(D49:O49)</f>
        <v>10339.022531250661</v>
      </c>
    </row>
    <row r="50" spans="1:16" x14ac:dyDescent="0.25">
      <c r="B50" s="233" t="s">
        <v>200</v>
      </c>
      <c r="D50" s="155">
        <f t="shared" ref="D50:L50" si="17">D48-D49</f>
        <v>0</v>
      </c>
      <c r="E50" s="155">
        <f t="shared" si="17"/>
        <v>0</v>
      </c>
      <c r="F50" s="155">
        <f t="shared" si="17"/>
        <v>0</v>
      </c>
      <c r="G50" s="155">
        <f t="shared" si="17"/>
        <v>0</v>
      </c>
      <c r="H50" s="155">
        <f t="shared" si="17"/>
        <v>0</v>
      </c>
      <c r="I50" s="155">
        <f t="shared" si="17"/>
        <v>0</v>
      </c>
      <c r="J50" s="155">
        <f t="shared" si="17"/>
        <v>0</v>
      </c>
      <c r="K50" s="155">
        <f t="shared" si="17"/>
        <v>0</v>
      </c>
      <c r="L50" s="155">
        <f t="shared" si="17"/>
        <v>0</v>
      </c>
      <c r="M50" s="242">
        <f t="shared" ref="M50" si="18">SUM(M48:M49)</f>
        <v>0</v>
      </c>
      <c r="N50" s="242">
        <f t="shared" ref="N50" si="19">SUM(N48:N49)</f>
        <v>0</v>
      </c>
      <c r="O50" s="242">
        <f t="shared" ref="O50" si="20">SUM(O48:O49)</f>
        <v>0</v>
      </c>
      <c r="P50" s="155">
        <f>SUM(D50:O50)</f>
        <v>0</v>
      </c>
    </row>
    <row r="51" spans="1:16" s="289" customFormat="1" x14ac:dyDescent="0.25">
      <c r="B51" s="299"/>
      <c r="C51" s="299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</row>
    <row r="52" spans="1:16" s="293" customFormat="1" x14ac:dyDescent="0.25">
      <c r="A52" s="293" t="s">
        <v>108</v>
      </c>
      <c r="B52" s="293" t="s">
        <v>201</v>
      </c>
      <c r="C52" s="328"/>
      <c r="D52" s="70"/>
    </row>
    <row r="53" spans="1:16" s="293" customFormat="1" x14ac:dyDescent="0.25">
      <c r="B53" s="235" t="s">
        <v>206</v>
      </c>
      <c r="C53" s="328"/>
      <c r="D53" s="248">
        <v>12.178638169161223</v>
      </c>
      <c r="E53" s="248">
        <v>8.1826335702893171</v>
      </c>
      <c r="F53" s="248">
        <v>5.8437120765820536</v>
      </c>
      <c r="G53" s="248">
        <v>5.4402692472728775</v>
      </c>
      <c r="H53" s="248">
        <v>5.9298963018085846</v>
      </c>
      <c r="I53" s="248">
        <v>5.3977132205460245</v>
      </c>
      <c r="J53" s="248">
        <v>8.7385234147193902</v>
      </c>
      <c r="K53" s="248">
        <v>20.541784005499892</v>
      </c>
      <c r="L53" s="248">
        <v>48.962124381037995</v>
      </c>
      <c r="M53" s="241">
        <v>0</v>
      </c>
      <c r="N53" s="241">
        <v>0</v>
      </c>
      <c r="O53" s="241">
        <v>0</v>
      </c>
      <c r="P53" s="70">
        <f>SUM(D53:O53)</f>
        <v>121.21529438691735</v>
      </c>
    </row>
    <row r="54" spans="1:16" s="293" customFormat="1" x14ac:dyDescent="0.25">
      <c r="B54" s="235" t="s">
        <v>207</v>
      </c>
      <c r="C54" s="328"/>
      <c r="D54" s="279">
        <f>'SRR SGS SEMO'!G22</f>
        <v>12.178638169161223</v>
      </c>
      <c r="E54" s="279">
        <f>'SRR SGS SEMO'!H22</f>
        <v>8.1826335702893171</v>
      </c>
      <c r="F54" s="279">
        <f>'SRR SGS SEMO'!I22</f>
        <v>5.8437120765820536</v>
      </c>
      <c r="G54" s="279">
        <f>'SRR SGS SEMO'!J22</f>
        <v>5.4402692472728775</v>
      </c>
      <c r="H54" s="279">
        <f>'SRR SGS SEMO'!K22</f>
        <v>5.9298963018085846</v>
      </c>
      <c r="I54" s="279">
        <f>'SRR SGS SEMO'!L22</f>
        <v>5.3977132205460245</v>
      </c>
      <c r="J54" s="279">
        <f>'SRR SGS SEMO'!M22</f>
        <v>8.7385234147193902</v>
      </c>
      <c r="K54" s="279">
        <f>'SRR SGS SEMO'!N22</f>
        <v>20.541784005499892</v>
      </c>
      <c r="L54" s="279">
        <f>'SRR SGS SEMO'!O22</f>
        <v>48.962124381037995</v>
      </c>
      <c r="M54" s="240">
        <v>0</v>
      </c>
      <c r="N54" s="240">
        <v>0</v>
      </c>
      <c r="O54" s="240">
        <v>0</v>
      </c>
      <c r="P54" s="279">
        <f>SUM(D54:O54)</f>
        <v>121.21529438691735</v>
      </c>
    </row>
    <row r="55" spans="1:16" s="293" customFormat="1" x14ac:dyDescent="0.25">
      <c r="B55" s="328" t="s">
        <v>200</v>
      </c>
      <c r="C55" s="328"/>
      <c r="D55" s="155">
        <f t="shared" ref="D55:L55" si="21">D53-D54</f>
        <v>0</v>
      </c>
      <c r="E55" s="155">
        <f t="shared" si="21"/>
        <v>0</v>
      </c>
      <c r="F55" s="155">
        <f t="shared" si="21"/>
        <v>0</v>
      </c>
      <c r="G55" s="155">
        <f t="shared" si="21"/>
        <v>0</v>
      </c>
      <c r="H55" s="155">
        <f t="shared" si="21"/>
        <v>0</v>
      </c>
      <c r="I55" s="155">
        <f t="shared" si="21"/>
        <v>0</v>
      </c>
      <c r="J55" s="155">
        <f t="shared" si="21"/>
        <v>0</v>
      </c>
      <c r="K55" s="155">
        <f t="shared" si="21"/>
        <v>0</v>
      </c>
      <c r="L55" s="155">
        <f t="shared" si="21"/>
        <v>0</v>
      </c>
      <c r="M55" s="242">
        <f t="shared" ref="M55:O55" si="22">SUM(M53:M54)</f>
        <v>0</v>
      </c>
      <c r="N55" s="242">
        <f t="shared" si="22"/>
        <v>0</v>
      </c>
      <c r="O55" s="242">
        <f t="shared" si="22"/>
        <v>0</v>
      </c>
      <c r="P55" s="155">
        <f>SUM(D55:O55)</f>
        <v>0</v>
      </c>
    </row>
    <row r="56" spans="1:16" s="289" customFormat="1" x14ac:dyDescent="0.25">
      <c r="B56" s="299"/>
      <c r="C56" s="29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</row>
    <row r="57" spans="1:16" s="289" customFormat="1" x14ac:dyDescent="0.25">
      <c r="B57" s="299"/>
      <c r="C57" s="299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</row>
    <row r="58" spans="1:16" s="289" customFormat="1" x14ac:dyDescent="0.25">
      <c r="B58" s="299"/>
      <c r="C58" s="299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</row>
    <row r="59" spans="1:16" s="243" customFormat="1" x14ac:dyDescent="0.25">
      <c r="A59" s="407" t="s">
        <v>105</v>
      </c>
      <c r="B59" s="408"/>
      <c r="C59" s="249"/>
    </row>
    <row r="60" spans="1:16" ht="14.25" customHeight="1" x14ac:dyDescent="0.25">
      <c r="A60" s="411" t="s">
        <v>18</v>
      </c>
      <c r="B60" s="411"/>
    </row>
    <row r="61" spans="1:16" ht="15.75" customHeight="1" x14ac:dyDescent="0.25">
      <c r="A61" t="s">
        <v>25</v>
      </c>
      <c r="B61" t="s">
        <v>201</v>
      </c>
      <c r="D61" s="70"/>
    </row>
    <row r="62" spans="1:16" x14ac:dyDescent="0.25">
      <c r="B62" s="235" t="s">
        <v>206</v>
      </c>
      <c r="D62" s="248">
        <v>2162.0202795443615</v>
      </c>
      <c r="E62" s="248">
        <v>1530.5540735611119</v>
      </c>
      <c r="F62" s="248">
        <v>555.5760607793062</v>
      </c>
      <c r="G62" s="248">
        <v>505.91176872583026</v>
      </c>
      <c r="H62" s="248">
        <v>492.22693359772353</v>
      </c>
      <c r="I62" s="248">
        <v>569.07709102521108</v>
      </c>
      <c r="J62" s="248">
        <v>1837.2827360778315</v>
      </c>
      <c r="K62" s="248">
        <v>3931.6604227899484</v>
      </c>
      <c r="L62" s="248">
        <v>6270.152635969579</v>
      </c>
      <c r="M62" s="241">
        <v>0</v>
      </c>
      <c r="N62" s="241">
        <v>0</v>
      </c>
      <c r="O62" s="241">
        <v>0</v>
      </c>
      <c r="P62" s="70">
        <f>SUM(D62:O62)</f>
        <v>17854.462002070904</v>
      </c>
    </row>
    <row r="63" spans="1:16" x14ac:dyDescent="0.25">
      <c r="B63" s="235" t="s">
        <v>207</v>
      </c>
      <c r="D63" s="3">
        <f>'SRR Res WEMO'!G21</f>
        <v>2162.0202795443615</v>
      </c>
      <c r="E63" s="244">
        <f>'SRR Res WEMO'!H21</f>
        <v>1530.5540735611119</v>
      </c>
      <c r="F63" s="244">
        <f>'SRR Res WEMO'!I21</f>
        <v>555.5760607793062</v>
      </c>
      <c r="G63" s="244">
        <f>'SRR Res WEMO'!J21</f>
        <v>505.91176872583026</v>
      </c>
      <c r="H63" s="244">
        <f>'SRR Res WEMO'!K21</f>
        <v>492.22693359772353</v>
      </c>
      <c r="I63" s="244">
        <f>'SRR Res WEMO'!L21</f>
        <v>569.07709102521108</v>
      </c>
      <c r="J63" s="244">
        <f>'SRR Res WEMO'!M21</f>
        <v>1837.2827360778315</v>
      </c>
      <c r="K63" s="244">
        <f>'SRR Res WEMO'!N21</f>
        <v>3931.6604227899484</v>
      </c>
      <c r="L63" s="244">
        <f>'SRR Res WEMO'!O21</f>
        <v>6270.152635969579</v>
      </c>
      <c r="M63" s="240">
        <v>0</v>
      </c>
      <c r="N63" s="240">
        <v>0</v>
      </c>
      <c r="O63" s="240">
        <v>0</v>
      </c>
      <c r="P63" s="244">
        <f>SUM(D63:O63)</f>
        <v>17854.462002070904</v>
      </c>
    </row>
    <row r="64" spans="1:16" x14ac:dyDescent="0.25">
      <c r="B64" s="233" t="s">
        <v>200</v>
      </c>
      <c r="D64" s="155">
        <f t="shared" ref="D64:L64" si="23">D62-D63</f>
        <v>0</v>
      </c>
      <c r="E64" s="155">
        <f t="shared" si="23"/>
        <v>0</v>
      </c>
      <c r="F64" s="155">
        <f t="shared" si="23"/>
        <v>0</v>
      </c>
      <c r="G64" s="155">
        <f t="shared" si="23"/>
        <v>0</v>
      </c>
      <c r="H64" s="155">
        <f t="shared" si="23"/>
        <v>0</v>
      </c>
      <c r="I64" s="155">
        <f t="shared" si="23"/>
        <v>0</v>
      </c>
      <c r="J64" s="155">
        <f t="shared" si="23"/>
        <v>0</v>
      </c>
      <c r="K64" s="155">
        <f t="shared" si="23"/>
        <v>0</v>
      </c>
      <c r="L64" s="155">
        <f t="shared" si="23"/>
        <v>0</v>
      </c>
      <c r="M64" s="242">
        <f t="shared" ref="M64" si="24">SUM(M62:M63)</f>
        <v>0</v>
      </c>
      <c r="N64" s="242">
        <f t="shared" ref="N64" si="25">SUM(N62:N63)</f>
        <v>0</v>
      </c>
      <c r="O64" s="242">
        <f t="shared" ref="O64" si="26">SUM(O62:O63)</f>
        <v>0</v>
      </c>
      <c r="P64" s="155">
        <f>SUM(D64:O64)</f>
        <v>0</v>
      </c>
    </row>
    <row r="65" spans="1:16" s="243" customFormat="1" x14ac:dyDescent="0.25">
      <c r="C65" s="249"/>
    </row>
    <row r="66" spans="1:16" s="293" customFormat="1" ht="15.75" customHeight="1" x14ac:dyDescent="0.25">
      <c r="A66" s="293" t="s">
        <v>108</v>
      </c>
      <c r="B66" s="293" t="s">
        <v>201</v>
      </c>
      <c r="C66" s="328"/>
      <c r="D66" s="70"/>
    </row>
    <row r="67" spans="1:16" s="293" customFormat="1" x14ac:dyDescent="0.25">
      <c r="B67" s="235" t="s">
        <v>206</v>
      </c>
      <c r="C67" s="328"/>
      <c r="D67" s="248">
        <v>-244.45155508692716</v>
      </c>
      <c r="E67" s="248">
        <v>-151.98162414206399</v>
      </c>
      <c r="F67" s="248">
        <v>-55.1678333423596</v>
      </c>
      <c r="G67" s="248">
        <v>-50.236246867540622</v>
      </c>
      <c r="H67" s="248">
        <v>-48.877364156492781</v>
      </c>
      <c r="I67" s="248">
        <v>-56.508464516264894</v>
      </c>
      <c r="J67" s="248">
        <v>-182.43930029051319</v>
      </c>
      <c r="K67" s="248">
        <v>-390.40772681778225</v>
      </c>
      <c r="L67" s="248">
        <v>-622.6163437767957</v>
      </c>
      <c r="M67" s="241">
        <v>0</v>
      </c>
      <c r="N67" s="241">
        <v>0</v>
      </c>
      <c r="O67" s="241">
        <v>0</v>
      </c>
      <c r="P67" s="70">
        <f>SUM(D67:O67)</f>
        <v>-1802.6864589967402</v>
      </c>
    </row>
    <row r="68" spans="1:16" s="293" customFormat="1" x14ac:dyDescent="0.25">
      <c r="B68" s="235" t="s">
        <v>207</v>
      </c>
      <c r="C68" s="328"/>
      <c r="D68" s="279">
        <f>'SRR Res WEMO'!G22</f>
        <v>-244.45155508692716</v>
      </c>
      <c r="E68" s="279">
        <f>'SRR Res WEMO'!H22</f>
        <v>-151.98162414206399</v>
      </c>
      <c r="F68" s="279">
        <f>'SRR Res WEMO'!I22</f>
        <v>-55.1678333423596</v>
      </c>
      <c r="G68" s="279">
        <f>'SRR Res WEMO'!J22</f>
        <v>-50.236246867540622</v>
      </c>
      <c r="H68" s="279">
        <f>'SRR Res WEMO'!K22</f>
        <v>-48.877364156492781</v>
      </c>
      <c r="I68" s="279">
        <f>'SRR Res WEMO'!L22</f>
        <v>-56.508464516264894</v>
      </c>
      <c r="J68" s="279">
        <f>'SRR Res WEMO'!M22</f>
        <v>-182.43930029051319</v>
      </c>
      <c r="K68" s="279">
        <f>'SRR Res WEMO'!N22</f>
        <v>-390.40772681778225</v>
      </c>
      <c r="L68" s="279">
        <f>'SRR Res WEMO'!O22</f>
        <v>-622.6163437767957</v>
      </c>
      <c r="M68" s="240">
        <v>0</v>
      </c>
      <c r="N68" s="240">
        <v>0</v>
      </c>
      <c r="O68" s="240">
        <v>0</v>
      </c>
      <c r="P68" s="279">
        <f>SUM(D68:O68)</f>
        <v>-1802.6864589967402</v>
      </c>
    </row>
    <row r="69" spans="1:16" s="293" customFormat="1" x14ac:dyDescent="0.25">
      <c r="B69" s="328" t="s">
        <v>200</v>
      </c>
      <c r="C69" s="328"/>
      <c r="D69" s="155">
        <f t="shared" ref="D69:L69" si="27">D67-D68</f>
        <v>0</v>
      </c>
      <c r="E69" s="155">
        <f t="shared" si="27"/>
        <v>0</v>
      </c>
      <c r="F69" s="155">
        <f t="shared" si="27"/>
        <v>0</v>
      </c>
      <c r="G69" s="155">
        <f t="shared" si="27"/>
        <v>0</v>
      </c>
      <c r="H69" s="155">
        <f t="shared" si="27"/>
        <v>0</v>
      </c>
      <c r="I69" s="155">
        <f t="shared" si="27"/>
        <v>0</v>
      </c>
      <c r="J69" s="155">
        <f t="shared" si="27"/>
        <v>0</v>
      </c>
      <c r="K69" s="155">
        <f t="shared" si="27"/>
        <v>0</v>
      </c>
      <c r="L69" s="155">
        <f t="shared" si="27"/>
        <v>0</v>
      </c>
      <c r="M69" s="242">
        <f t="shared" ref="M69:O69" si="28">SUM(M67:M68)</f>
        <v>0</v>
      </c>
      <c r="N69" s="242">
        <f t="shared" si="28"/>
        <v>0</v>
      </c>
      <c r="O69" s="242">
        <f t="shared" si="28"/>
        <v>0</v>
      </c>
      <c r="P69" s="155">
        <f>SUM(D69:O69)</f>
        <v>0</v>
      </c>
    </row>
    <row r="70" spans="1:16" s="293" customFormat="1" x14ac:dyDescent="0.25">
      <c r="C70" s="328"/>
    </row>
    <row r="71" spans="1:16" x14ac:dyDescent="0.25">
      <c r="A71" s="411" t="s">
        <v>64</v>
      </c>
      <c r="B71" s="411"/>
    </row>
    <row r="72" spans="1:16" x14ac:dyDescent="0.25">
      <c r="A72" t="s">
        <v>25</v>
      </c>
      <c r="B72" t="s">
        <v>201</v>
      </c>
      <c r="D72" s="70"/>
    </row>
    <row r="73" spans="1:16" x14ac:dyDescent="0.25">
      <c r="B73" s="235" t="s">
        <v>206</v>
      </c>
      <c r="D73" s="248">
        <v>234.75364183311584</v>
      </c>
      <c r="E73" s="248">
        <v>169.25581151681135</v>
      </c>
      <c r="F73" s="248">
        <v>86.543365006602627</v>
      </c>
      <c r="G73" s="248">
        <v>81.562624534562715</v>
      </c>
      <c r="H73" s="248">
        <v>80.604879264053238</v>
      </c>
      <c r="I73" s="248">
        <v>86.281279892159631</v>
      </c>
      <c r="J73" s="248">
        <v>193.56330862386781</v>
      </c>
      <c r="K73" s="248">
        <v>488.97238907689052</v>
      </c>
      <c r="L73" s="248">
        <v>841.70808122978599</v>
      </c>
      <c r="M73" s="241">
        <v>0</v>
      </c>
      <c r="N73" s="241">
        <v>0</v>
      </c>
      <c r="O73" s="241">
        <v>0</v>
      </c>
      <c r="P73" s="70">
        <f>SUM(D73:O73)</f>
        <v>2263.2453809778499</v>
      </c>
    </row>
    <row r="74" spans="1:16" x14ac:dyDescent="0.25">
      <c r="B74" s="235" t="s">
        <v>207</v>
      </c>
      <c r="D74" s="3">
        <f>' SRR SGS WEMO'!G21</f>
        <v>234.75364183311584</v>
      </c>
      <c r="E74" s="244">
        <f>' SRR SGS WEMO'!H21</f>
        <v>169.25581151681135</v>
      </c>
      <c r="F74" s="244">
        <f>' SRR SGS WEMO'!I21</f>
        <v>86.543365006602627</v>
      </c>
      <c r="G74" s="244">
        <f>' SRR SGS WEMO'!J21</f>
        <v>81.562624534562715</v>
      </c>
      <c r="H74" s="244">
        <f>' SRR SGS WEMO'!K21</f>
        <v>80.604879264053238</v>
      </c>
      <c r="I74" s="244">
        <f>' SRR SGS WEMO'!L21</f>
        <v>86.281279892159631</v>
      </c>
      <c r="J74" s="244">
        <f>' SRR SGS WEMO'!M21</f>
        <v>193.56330862386781</v>
      </c>
      <c r="K74" s="244">
        <f>' SRR SGS WEMO'!N21</f>
        <v>488.97238907689052</v>
      </c>
      <c r="L74" s="244">
        <f>' SRR SGS WEMO'!O21</f>
        <v>841.70808122978599</v>
      </c>
      <c r="M74" s="240">
        <v>0</v>
      </c>
      <c r="N74" s="240">
        <v>0</v>
      </c>
      <c r="O74" s="240">
        <v>0</v>
      </c>
      <c r="P74" s="3">
        <f>SUM(D74:O74)</f>
        <v>2263.2453809778499</v>
      </c>
    </row>
    <row r="75" spans="1:16" x14ac:dyDescent="0.25">
      <c r="B75" s="233" t="s">
        <v>200</v>
      </c>
      <c r="D75" s="155">
        <f t="shared" ref="D75:L75" si="29">D73-D74</f>
        <v>0</v>
      </c>
      <c r="E75" s="155">
        <f t="shared" si="29"/>
        <v>0</v>
      </c>
      <c r="F75" s="155">
        <f t="shared" si="29"/>
        <v>0</v>
      </c>
      <c r="G75" s="155">
        <f t="shared" si="29"/>
        <v>0</v>
      </c>
      <c r="H75" s="155">
        <f t="shared" si="29"/>
        <v>0</v>
      </c>
      <c r="I75" s="155">
        <f t="shared" si="29"/>
        <v>0</v>
      </c>
      <c r="J75" s="155">
        <f t="shared" si="29"/>
        <v>0</v>
      </c>
      <c r="K75" s="155">
        <f t="shared" si="29"/>
        <v>0</v>
      </c>
      <c r="L75" s="155">
        <f t="shared" si="29"/>
        <v>0</v>
      </c>
      <c r="M75" s="242">
        <f t="shared" ref="M75" si="30">SUM(M73:M74)</f>
        <v>0</v>
      </c>
      <c r="N75" s="242">
        <f t="shared" ref="N75" si="31">SUM(N73:N74)</f>
        <v>0</v>
      </c>
      <c r="O75" s="242">
        <f t="shared" ref="O75" si="32">SUM(O73:O74)</f>
        <v>0</v>
      </c>
      <c r="P75" s="155">
        <f>SUM(D75:O75)</f>
        <v>0</v>
      </c>
    </row>
    <row r="76" spans="1:16" s="289" customFormat="1" x14ac:dyDescent="0.25">
      <c r="B76" s="299"/>
      <c r="C76" s="299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</row>
    <row r="77" spans="1:16" s="293" customFormat="1" x14ac:dyDescent="0.25">
      <c r="A77" s="293" t="s">
        <v>108</v>
      </c>
      <c r="B77" s="293" t="s">
        <v>201</v>
      </c>
      <c r="C77" s="328"/>
      <c r="D77" s="70"/>
    </row>
    <row r="78" spans="1:16" s="293" customFormat="1" x14ac:dyDescent="0.25">
      <c r="B78" s="235" t="s">
        <v>206</v>
      </c>
      <c r="C78" s="328"/>
      <c r="D78" s="248">
        <v>35.844129078282577</v>
      </c>
      <c r="E78" s="248">
        <v>10.63273687733815</v>
      </c>
      <c r="F78" s="248">
        <v>5.436698570927601</v>
      </c>
      <c r="G78" s="248">
        <v>5.1238059002481702</v>
      </c>
      <c r="H78" s="248">
        <v>5.0636398512033445</v>
      </c>
      <c r="I78" s="248">
        <v>5.4202342496356692</v>
      </c>
      <c r="J78" s="248">
        <v>12.159746310986566</v>
      </c>
      <c r="K78" s="248">
        <v>30.717496236881587</v>
      </c>
      <c r="L78" s="248">
        <v>52.876533308025017</v>
      </c>
      <c r="M78" s="241">
        <v>0</v>
      </c>
      <c r="N78" s="241">
        <v>0</v>
      </c>
      <c r="O78" s="241">
        <v>0</v>
      </c>
      <c r="P78" s="70">
        <f>SUM(D78:O78)</f>
        <v>163.27502038352867</v>
      </c>
    </row>
    <row r="79" spans="1:16" s="293" customFormat="1" x14ac:dyDescent="0.25">
      <c r="B79" s="235" t="s">
        <v>207</v>
      </c>
      <c r="C79" s="328"/>
      <c r="D79" s="279">
        <f>' SRR SGS WEMO'!G22</f>
        <v>35.844129078282577</v>
      </c>
      <c r="E79" s="279">
        <f>' SRR SGS WEMO'!H22</f>
        <v>10.63273687733815</v>
      </c>
      <c r="F79" s="279">
        <f>' SRR SGS WEMO'!I22</f>
        <v>5.436698570927601</v>
      </c>
      <c r="G79" s="279">
        <f>' SRR SGS WEMO'!J22</f>
        <v>5.1238059002481702</v>
      </c>
      <c r="H79" s="279">
        <f>' SRR SGS WEMO'!K22</f>
        <v>5.0636398512033445</v>
      </c>
      <c r="I79" s="279">
        <f>' SRR SGS WEMO'!L22</f>
        <v>5.4202342496356692</v>
      </c>
      <c r="J79" s="279">
        <f>' SRR SGS WEMO'!M22</f>
        <v>12.159746310986566</v>
      </c>
      <c r="K79" s="279">
        <f>' SRR SGS WEMO'!N22</f>
        <v>30.717496236881587</v>
      </c>
      <c r="L79" s="279">
        <f>' SRR SGS WEMO'!O22</f>
        <v>52.876533308025017</v>
      </c>
      <c r="M79" s="240">
        <v>0</v>
      </c>
      <c r="N79" s="240">
        <v>0</v>
      </c>
      <c r="O79" s="240">
        <v>0</v>
      </c>
      <c r="P79" s="279">
        <f>SUM(D79:O79)</f>
        <v>163.27502038352867</v>
      </c>
    </row>
    <row r="80" spans="1:16" s="293" customFormat="1" x14ac:dyDescent="0.25">
      <c r="B80" s="328" t="s">
        <v>200</v>
      </c>
      <c r="C80" s="328"/>
      <c r="D80" s="155">
        <f t="shared" ref="D80:L80" si="33">D78-D79</f>
        <v>0</v>
      </c>
      <c r="E80" s="155">
        <f t="shared" si="33"/>
        <v>0</v>
      </c>
      <c r="F80" s="155">
        <f t="shared" si="33"/>
        <v>0</v>
      </c>
      <c r="G80" s="155">
        <f t="shared" si="33"/>
        <v>0</v>
      </c>
      <c r="H80" s="155">
        <f t="shared" si="33"/>
        <v>0</v>
      </c>
      <c r="I80" s="155">
        <f t="shared" si="33"/>
        <v>0</v>
      </c>
      <c r="J80" s="155">
        <f t="shared" si="33"/>
        <v>0</v>
      </c>
      <c r="K80" s="155">
        <f t="shared" si="33"/>
        <v>0</v>
      </c>
      <c r="L80" s="155">
        <f t="shared" si="33"/>
        <v>0</v>
      </c>
      <c r="M80" s="242">
        <f t="shared" ref="M80:O80" si="34">SUM(M78:M79)</f>
        <v>0</v>
      </c>
      <c r="N80" s="242">
        <f t="shared" si="34"/>
        <v>0</v>
      </c>
      <c r="O80" s="242">
        <f t="shared" si="34"/>
        <v>0</v>
      </c>
      <c r="P80" s="155">
        <f>SUM(D80:O80)</f>
        <v>0</v>
      </c>
    </row>
    <row r="81" spans="1:16" s="289" customFormat="1" x14ac:dyDescent="0.25">
      <c r="B81" s="299"/>
      <c r="C81" s="299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</row>
    <row r="82" spans="1:16" s="289" customFormat="1" x14ac:dyDescent="0.25">
      <c r="B82" s="299"/>
      <c r="C82" s="299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</row>
    <row r="83" spans="1:16" x14ac:dyDescent="0.25">
      <c r="A83" s="403" t="s">
        <v>203</v>
      </c>
      <c r="B83" s="403"/>
    </row>
    <row r="84" spans="1:16" s="293" customFormat="1" x14ac:dyDescent="0.25">
      <c r="A84" s="411" t="s">
        <v>18</v>
      </c>
      <c r="B84" s="411"/>
      <c r="C84" s="328"/>
    </row>
    <row r="85" spans="1:16" x14ac:dyDescent="0.25">
      <c r="A85" t="s">
        <v>25</v>
      </c>
      <c r="B85" t="s">
        <v>201</v>
      </c>
      <c r="D85" s="244"/>
    </row>
    <row r="86" spans="1:16" x14ac:dyDescent="0.25">
      <c r="B86" s="235" t="s">
        <v>206</v>
      </c>
      <c r="D86" s="70">
        <f t="shared" ref="D86:L86" si="35">D14+D25+D37+D48+D62+D73</f>
        <v>31583.824208514805</v>
      </c>
      <c r="E86" s="70">
        <f t="shared" si="35"/>
        <v>20600.758854685508</v>
      </c>
      <c r="F86" s="70">
        <f t="shared" si="35"/>
        <v>9962.9870269848561</v>
      </c>
      <c r="G86" s="70">
        <f t="shared" si="35"/>
        <v>8364.905493475173</v>
      </c>
      <c r="H86" s="70">
        <f t="shared" si="35"/>
        <v>8520.2585958314758</v>
      </c>
      <c r="I86" s="70">
        <f t="shared" si="35"/>
        <v>8894.9790078600945</v>
      </c>
      <c r="J86" s="70">
        <f t="shared" si="35"/>
        <v>22618.879434752831</v>
      </c>
      <c r="K86" s="70">
        <f t="shared" si="35"/>
        <v>51721.320354334835</v>
      </c>
      <c r="L86" s="70">
        <f t="shared" si="35"/>
        <v>93718.170657697876</v>
      </c>
      <c r="M86" s="241">
        <v>0</v>
      </c>
      <c r="N86" s="241">
        <v>0</v>
      </c>
      <c r="O86" s="241">
        <v>0</v>
      </c>
      <c r="P86" s="70">
        <f>SUM(D86:O86)</f>
        <v>255986.08363413747</v>
      </c>
    </row>
    <row r="87" spans="1:16" x14ac:dyDescent="0.25">
      <c r="B87" s="235" t="s">
        <v>207</v>
      </c>
      <c r="D87" s="3">
        <f t="shared" ref="D87:L87" si="36">D15+D26+D38+D49+D63+D74</f>
        <v>31583.824208514805</v>
      </c>
      <c r="E87" s="244">
        <f t="shared" si="36"/>
        <v>20600.758854685508</v>
      </c>
      <c r="F87" s="244">
        <f t="shared" si="36"/>
        <v>9962.9870269848561</v>
      </c>
      <c r="G87" s="244">
        <f t="shared" si="36"/>
        <v>8364.905493475173</v>
      </c>
      <c r="H87" s="244">
        <f t="shared" si="36"/>
        <v>8520.2585958314758</v>
      </c>
      <c r="I87" s="244">
        <f t="shared" si="36"/>
        <v>8894.9790078600945</v>
      </c>
      <c r="J87" s="244">
        <f t="shared" si="36"/>
        <v>22618.879434752831</v>
      </c>
      <c r="K87" s="244">
        <f t="shared" si="36"/>
        <v>51721.320354334835</v>
      </c>
      <c r="L87" s="244">
        <f t="shared" si="36"/>
        <v>93718.170657697876</v>
      </c>
      <c r="M87" s="240">
        <v>0</v>
      </c>
      <c r="N87" s="240">
        <v>0</v>
      </c>
      <c r="O87" s="240">
        <v>0</v>
      </c>
      <c r="P87" s="3">
        <f>SUM(D87:O87)</f>
        <v>255986.08363413747</v>
      </c>
    </row>
    <row r="88" spans="1:16" x14ac:dyDescent="0.25">
      <c r="B88" s="233" t="s">
        <v>200</v>
      </c>
      <c r="D88" s="155">
        <f t="shared" ref="D88:L88" si="37">D86-D87</f>
        <v>0</v>
      </c>
      <c r="E88" s="155">
        <f t="shared" si="37"/>
        <v>0</v>
      </c>
      <c r="F88" s="155">
        <f t="shared" si="37"/>
        <v>0</v>
      </c>
      <c r="G88" s="155">
        <f t="shared" si="37"/>
        <v>0</v>
      </c>
      <c r="H88" s="155">
        <f t="shared" si="37"/>
        <v>0</v>
      </c>
      <c r="I88" s="155">
        <f t="shared" si="37"/>
        <v>0</v>
      </c>
      <c r="J88" s="155">
        <f t="shared" si="37"/>
        <v>0</v>
      </c>
      <c r="K88" s="155">
        <f t="shared" si="37"/>
        <v>0</v>
      </c>
      <c r="L88" s="155">
        <f t="shared" si="37"/>
        <v>0</v>
      </c>
      <c r="M88" s="242">
        <f t="shared" ref="M88" si="38">SUM(M86:M87)</f>
        <v>0</v>
      </c>
      <c r="N88" s="242">
        <f t="shared" ref="N88" si="39">SUM(N86:N87)</f>
        <v>0</v>
      </c>
      <c r="O88" s="242">
        <f t="shared" ref="O88" si="40">SUM(O86:O87)</f>
        <v>0</v>
      </c>
      <c r="P88" s="155">
        <f>SUM(D88:O88)</f>
        <v>0</v>
      </c>
    </row>
    <row r="89" spans="1:16" s="243" customFormat="1" x14ac:dyDescent="0.25">
      <c r="B89" s="252"/>
      <c r="C89" s="252"/>
      <c r="D89" s="152"/>
      <c r="E89" s="152"/>
      <c r="F89" s="152"/>
      <c r="G89" s="152"/>
      <c r="H89" s="152"/>
      <c r="I89" s="152"/>
      <c r="J89" s="152"/>
      <c r="K89" s="152"/>
      <c r="L89" s="152"/>
      <c r="P89" s="152"/>
    </row>
    <row r="90" spans="1:16" s="293" customFormat="1" x14ac:dyDescent="0.25">
      <c r="A90" s="293" t="s">
        <v>108</v>
      </c>
      <c r="B90" s="293" t="s">
        <v>201</v>
      </c>
      <c r="C90" s="328"/>
      <c r="D90" s="279"/>
    </row>
    <row r="91" spans="1:16" s="293" customFormat="1" x14ac:dyDescent="0.25">
      <c r="B91" s="235" t="s">
        <v>206</v>
      </c>
      <c r="C91" s="328"/>
      <c r="D91" s="70">
        <f t="shared" ref="D91:L91" si="41">D19+D30+D42+D53+D67+D78</f>
        <v>-1450.2655190641724</v>
      </c>
      <c r="E91" s="70">
        <f t="shared" si="41"/>
        <v>-849.72841061675842</v>
      </c>
      <c r="F91" s="70">
        <f t="shared" si="41"/>
        <v>-315.20955648349786</v>
      </c>
      <c r="G91" s="70">
        <f t="shared" si="41"/>
        <v>-249.77675962574878</v>
      </c>
      <c r="H91" s="70">
        <f t="shared" si="41"/>
        <v>-251.07675145881018</v>
      </c>
      <c r="I91" s="70">
        <f t="shared" si="41"/>
        <v>-297.99907159949606</v>
      </c>
      <c r="J91" s="70">
        <f t="shared" si="41"/>
        <v>-990.90073675655412</v>
      </c>
      <c r="K91" s="70">
        <f t="shared" si="41"/>
        <v>-2189.7997064310994</v>
      </c>
      <c r="L91" s="70">
        <f t="shared" si="41"/>
        <v>-3309.4449167451735</v>
      </c>
      <c r="M91" s="241">
        <v>0</v>
      </c>
      <c r="N91" s="241">
        <v>0</v>
      </c>
      <c r="O91" s="241">
        <v>0</v>
      </c>
      <c r="P91" s="70">
        <f>SUM(D91:O91)</f>
        <v>-9904.2014287813108</v>
      </c>
    </row>
    <row r="92" spans="1:16" s="293" customFormat="1" x14ac:dyDescent="0.25">
      <c r="B92" s="235" t="s">
        <v>207</v>
      </c>
      <c r="C92" s="328"/>
      <c r="D92" s="279">
        <f t="shared" ref="D92:L92" si="42">D20+D31+D43+D54+D68+D79</f>
        <v>-1450.2655190641724</v>
      </c>
      <c r="E92" s="279">
        <f t="shared" si="42"/>
        <v>-849.72841061675842</v>
      </c>
      <c r="F92" s="279">
        <f t="shared" si="42"/>
        <v>-315.20955648349786</v>
      </c>
      <c r="G92" s="279">
        <f t="shared" si="42"/>
        <v>-249.77675962574878</v>
      </c>
      <c r="H92" s="279">
        <f t="shared" si="42"/>
        <v>-251.07675145881018</v>
      </c>
      <c r="I92" s="279">
        <f t="shared" si="42"/>
        <v>-297.99907159949606</v>
      </c>
      <c r="J92" s="279">
        <f t="shared" si="42"/>
        <v>-990.90073675655412</v>
      </c>
      <c r="K92" s="279">
        <f t="shared" si="42"/>
        <v>-2189.7997064310994</v>
      </c>
      <c r="L92" s="279">
        <f t="shared" si="42"/>
        <v>-3309.4449167451735</v>
      </c>
      <c r="M92" s="240">
        <v>0</v>
      </c>
      <c r="N92" s="240">
        <v>0</v>
      </c>
      <c r="O92" s="240">
        <v>0</v>
      </c>
      <c r="P92" s="279">
        <f>SUM(D92:O92)</f>
        <v>-9904.2014287813108</v>
      </c>
    </row>
    <row r="93" spans="1:16" s="293" customFormat="1" x14ac:dyDescent="0.25">
      <c r="B93" s="328" t="s">
        <v>200</v>
      </c>
      <c r="C93" s="328"/>
      <c r="D93" s="155">
        <f t="shared" ref="D93:L93" si="43">D91-D92</f>
        <v>0</v>
      </c>
      <c r="E93" s="155">
        <f t="shared" si="43"/>
        <v>0</v>
      </c>
      <c r="F93" s="155">
        <f t="shared" si="43"/>
        <v>0</v>
      </c>
      <c r="G93" s="155">
        <f t="shared" si="43"/>
        <v>0</v>
      </c>
      <c r="H93" s="155">
        <f t="shared" si="43"/>
        <v>0</v>
      </c>
      <c r="I93" s="155">
        <f t="shared" si="43"/>
        <v>0</v>
      </c>
      <c r="J93" s="155">
        <f t="shared" si="43"/>
        <v>0</v>
      </c>
      <c r="K93" s="155">
        <f t="shared" si="43"/>
        <v>0</v>
      </c>
      <c r="L93" s="155">
        <f t="shared" si="43"/>
        <v>0</v>
      </c>
      <c r="M93" s="242">
        <f t="shared" ref="M93:O93" si="44">SUM(M91:M92)</f>
        <v>0</v>
      </c>
      <c r="N93" s="242">
        <f t="shared" si="44"/>
        <v>0</v>
      </c>
      <c r="O93" s="242">
        <f t="shared" si="44"/>
        <v>0</v>
      </c>
      <c r="P93" s="155">
        <f>SUM(D93:O93)</f>
        <v>0</v>
      </c>
    </row>
    <row r="94" spans="1:16" s="293" customFormat="1" x14ac:dyDescent="0.25">
      <c r="B94" s="328"/>
      <c r="C94" s="328"/>
      <c r="D94" s="152"/>
      <c r="E94" s="152"/>
      <c r="F94" s="152"/>
      <c r="G94" s="152"/>
      <c r="H94" s="152"/>
      <c r="I94" s="152"/>
      <c r="J94" s="152"/>
      <c r="K94" s="152"/>
      <c r="L94" s="152"/>
      <c r="P94" s="152"/>
    </row>
    <row r="95" spans="1:16" x14ac:dyDescent="0.25">
      <c r="A95" s="411" t="s">
        <v>64</v>
      </c>
      <c r="B95" s="411"/>
    </row>
    <row r="97" spans="1:16" x14ac:dyDescent="0.25">
      <c r="A97" t="s">
        <v>25</v>
      </c>
      <c r="B97" t="s">
        <v>201</v>
      </c>
      <c r="D97" s="244"/>
    </row>
    <row r="98" spans="1:16" x14ac:dyDescent="0.25">
      <c r="B98" s="235" t="s">
        <v>206</v>
      </c>
      <c r="D98" s="70">
        <f t="shared" ref="D98:L98" si="45">D25+D37+D48+D62+D73+D86</f>
        <v>50955.023401438222</v>
      </c>
      <c r="E98" s="70">
        <f t="shared" si="45"/>
        <v>33159.583177507193</v>
      </c>
      <c r="F98" s="70">
        <f t="shared" si="45"/>
        <v>16724.526129876042</v>
      </c>
      <c r="G98" s="70">
        <f t="shared" si="45"/>
        <v>14219.835658391956</v>
      </c>
      <c r="H98" s="70">
        <f t="shared" si="45"/>
        <v>14485.655076474039</v>
      </c>
      <c r="I98" s="70">
        <f t="shared" si="45"/>
        <v>14830.616738278086</v>
      </c>
      <c r="J98" s="70">
        <f t="shared" si="45"/>
        <v>35916.129097774443</v>
      </c>
      <c r="K98" s="70">
        <f t="shared" si="45"/>
        <v>82544.292384512519</v>
      </c>
      <c r="L98" s="70">
        <f t="shared" si="45"/>
        <v>155231.74739900633</v>
      </c>
      <c r="M98" s="241">
        <v>0</v>
      </c>
      <c r="N98" s="241">
        <v>0</v>
      </c>
      <c r="O98" s="241">
        <v>0</v>
      </c>
      <c r="P98" s="70">
        <f>SUM(D98:O98)</f>
        <v>418067.40906325885</v>
      </c>
    </row>
    <row r="99" spans="1:16" x14ac:dyDescent="0.25">
      <c r="B99" s="235" t="s">
        <v>207</v>
      </c>
      <c r="D99" s="244">
        <f t="shared" ref="D99:L99" si="46">D26+D38+D49+D63+D74+D87</f>
        <v>50955.023401438222</v>
      </c>
      <c r="E99" s="244">
        <f t="shared" si="46"/>
        <v>33159.583177507193</v>
      </c>
      <c r="F99" s="244">
        <f t="shared" si="46"/>
        <v>16724.526129876042</v>
      </c>
      <c r="G99" s="244">
        <f t="shared" si="46"/>
        <v>14219.835658391956</v>
      </c>
      <c r="H99" s="244">
        <f t="shared" si="46"/>
        <v>14485.655076474039</v>
      </c>
      <c r="I99" s="244">
        <f t="shared" si="46"/>
        <v>14830.616738278086</v>
      </c>
      <c r="J99" s="244">
        <f t="shared" si="46"/>
        <v>35916.129097774443</v>
      </c>
      <c r="K99" s="244">
        <f t="shared" si="46"/>
        <v>82544.292384512519</v>
      </c>
      <c r="L99" s="244">
        <f t="shared" si="46"/>
        <v>155231.74739900633</v>
      </c>
      <c r="M99" s="240">
        <v>0</v>
      </c>
      <c r="N99" s="240">
        <v>0</v>
      </c>
      <c r="O99" s="240">
        <v>0</v>
      </c>
      <c r="P99" s="3">
        <f>SUM(D99:O99)</f>
        <v>418067.40906325885</v>
      </c>
    </row>
    <row r="100" spans="1:16" x14ac:dyDescent="0.25">
      <c r="B100" s="233" t="s">
        <v>200</v>
      </c>
      <c r="D100" s="155">
        <f t="shared" ref="D100:L100" si="47">D98-D99</f>
        <v>0</v>
      </c>
      <c r="E100" s="155">
        <f t="shared" si="47"/>
        <v>0</v>
      </c>
      <c r="F100" s="155">
        <f t="shared" si="47"/>
        <v>0</v>
      </c>
      <c r="G100" s="155">
        <f t="shared" si="47"/>
        <v>0</v>
      </c>
      <c r="H100" s="155">
        <f t="shared" si="47"/>
        <v>0</v>
      </c>
      <c r="I100" s="155">
        <f t="shared" si="47"/>
        <v>0</v>
      </c>
      <c r="J100" s="155">
        <f t="shared" si="47"/>
        <v>0</v>
      </c>
      <c r="K100" s="155">
        <f t="shared" si="47"/>
        <v>0</v>
      </c>
      <c r="L100" s="155">
        <f t="shared" si="47"/>
        <v>0</v>
      </c>
      <c r="M100" s="242">
        <f t="shared" ref="M100" si="48">SUM(M98:M99)</f>
        <v>0</v>
      </c>
      <c r="N100" s="242">
        <f t="shared" ref="N100" si="49">SUM(N98:N99)</f>
        <v>0</v>
      </c>
      <c r="O100" s="242">
        <f t="shared" ref="O100" si="50">SUM(O98:O99)</f>
        <v>0</v>
      </c>
      <c r="P100" s="155">
        <f>SUM(D100:O100)</f>
        <v>0</v>
      </c>
    </row>
    <row r="102" spans="1:16" s="293" customFormat="1" x14ac:dyDescent="0.25">
      <c r="A102" s="293" t="s">
        <v>108</v>
      </c>
      <c r="B102" s="293" t="s">
        <v>201</v>
      </c>
      <c r="C102" s="328"/>
      <c r="D102" s="279"/>
    </row>
    <row r="103" spans="1:16" s="293" customFormat="1" x14ac:dyDescent="0.25">
      <c r="B103" s="235" t="s">
        <v>206</v>
      </c>
      <c r="C103" s="328"/>
      <c r="D103" s="70">
        <f t="shared" ref="D103:L103" si="51">D30+D42+D53+D67+D78+D91</f>
        <v>-1503.6165906087879</v>
      </c>
      <c r="E103" s="70">
        <f t="shared" si="51"/>
        <v>-900.90530808567951</v>
      </c>
      <c r="F103" s="70">
        <f t="shared" si="51"/>
        <v>-312.52034446551932</v>
      </c>
      <c r="G103" s="70">
        <f t="shared" si="51"/>
        <v>-250.31689731153872</v>
      </c>
      <c r="H103" s="70">
        <f t="shared" si="51"/>
        <v>-248.45969331440403</v>
      </c>
      <c r="I103" s="70">
        <f t="shared" si="51"/>
        <v>-302.1401858059283</v>
      </c>
      <c r="J103" s="70">
        <f t="shared" si="51"/>
        <v>-1056.1782258074716</v>
      </c>
      <c r="K103" s="70">
        <f t="shared" si="51"/>
        <v>-2304.4261308088171</v>
      </c>
      <c r="L103" s="70">
        <f t="shared" si="51"/>
        <v>-3421.0240587382409</v>
      </c>
      <c r="M103" s="241">
        <v>0</v>
      </c>
      <c r="N103" s="241">
        <v>0</v>
      </c>
      <c r="O103" s="241">
        <v>0</v>
      </c>
      <c r="P103" s="70">
        <f>SUM(D103:O103)</f>
        <v>-10299.587434946388</v>
      </c>
    </row>
    <row r="104" spans="1:16" s="293" customFormat="1" x14ac:dyDescent="0.25">
      <c r="B104" s="235" t="s">
        <v>207</v>
      </c>
      <c r="C104" s="328"/>
      <c r="D104" s="279">
        <f t="shared" ref="D104:L104" si="52">D31+D43+D54+D68+D79+D92</f>
        <v>-1503.6165906087879</v>
      </c>
      <c r="E104" s="279">
        <f t="shared" si="52"/>
        <v>-900.90530808567951</v>
      </c>
      <c r="F104" s="279">
        <f t="shared" si="52"/>
        <v>-312.52034446551932</v>
      </c>
      <c r="G104" s="279">
        <f t="shared" si="52"/>
        <v>-250.31689731153872</v>
      </c>
      <c r="H104" s="279">
        <f t="shared" si="52"/>
        <v>-248.45969331440403</v>
      </c>
      <c r="I104" s="279">
        <f t="shared" si="52"/>
        <v>-302.1401858059283</v>
      </c>
      <c r="J104" s="279">
        <f t="shared" si="52"/>
        <v>-1056.1782258074716</v>
      </c>
      <c r="K104" s="279">
        <f t="shared" si="52"/>
        <v>-2304.4261308088171</v>
      </c>
      <c r="L104" s="279">
        <f t="shared" si="52"/>
        <v>-3421.0240587382409</v>
      </c>
      <c r="M104" s="240">
        <v>0</v>
      </c>
      <c r="N104" s="240">
        <v>0</v>
      </c>
      <c r="O104" s="240">
        <v>0</v>
      </c>
      <c r="P104" s="279">
        <f>SUM(D104:O104)</f>
        <v>-10299.587434946388</v>
      </c>
    </row>
    <row r="105" spans="1:16" s="293" customFormat="1" x14ac:dyDescent="0.25">
      <c r="B105" s="328" t="s">
        <v>200</v>
      </c>
      <c r="C105" s="328"/>
      <c r="D105" s="155">
        <f t="shared" ref="D105:L105" si="53">D103-D104</f>
        <v>0</v>
      </c>
      <c r="E105" s="155">
        <f t="shared" si="53"/>
        <v>0</v>
      </c>
      <c r="F105" s="155">
        <f t="shared" si="53"/>
        <v>0</v>
      </c>
      <c r="G105" s="155">
        <f t="shared" si="53"/>
        <v>0</v>
      </c>
      <c r="H105" s="155">
        <f t="shared" si="53"/>
        <v>0</v>
      </c>
      <c r="I105" s="155">
        <f t="shared" si="53"/>
        <v>0</v>
      </c>
      <c r="J105" s="155">
        <f t="shared" si="53"/>
        <v>0</v>
      </c>
      <c r="K105" s="155">
        <f t="shared" si="53"/>
        <v>0</v>
      </c>
      <c r="L105" s="155">
        <f t="shared" si="53"/>
        <v>0</v>
      </c>
      <c r="M105" s="242">
        <f t="shared" ref="M105:O105" si="54">SUM(M103:M104)</f>
        <v>0</v>
      </c>
      <c r="N105" s="242">
        <f t="shared" si="54"/>
        <v>0</v>
      </c>
      <c r="O105" s="242">
        <f t="shared" si="54"/>
        <v>0</v>
      </c>
      <c r="P105" s="155">
        <f>SUM(D105:O105)</f>
        <v>0</v>
      </c>
    </row>
  </sheetData>
  <mergeCells count="13">
    <mergeCell ref="A60:B60"/>
    <mergeCell ref="A71:B71"/>
    <mergeCell ref="A84:B84"/>
    <mergeCell ref="A83:B83"/>
    <mergeCell ref="A95:B95"/>
    <mergeCell ref="A12:B12"/>
    <mergeCell ref="A23:B23"/>
    <mergeCell ref="A34:B34"/>
    <mergeCell ref="A35:B35"/>
    <mergeCell ref="A59:B59"/>
    <mergeCell ref="A8:O8"/>
    <mergeCell ref="M9:O9"/>
    <mergeCell ref="A11:B11"/>
  </mergeCells>
  <pageMargins left="0.45" right="0.45" top="0.75" bottom="0.5" header="0.3" footer="0.3"/>
  <pageSetup scale="6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88"/>
  <sheetViews>
    <sheetView zoomScale="85" zoomScaleNormal="85" workbookViewId="0">
      <pane xSplit="1" ySplit="4" topLeftCell="B53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K1" sqref="K1:P1048576"/>
    </sheetView>
  </sheetViews>
  <sheetFormatPr defaultColWidth="14.7109375" defaultRowHeight="15" x14ac:dyDescent="0.25"/>
  <cols>
    <col min="1" max="1" width="20.7109375" customWidth="1"/>
  </cols>
  <sheetData>
    <row r="1" spans="1:13" x14ac:dyDescent="0.25">
      <c r="A1" s="5"/>
      <c r="B1" s="88">
        <f>A1-1</f>
        <v>-1</v>
      </c>
      <c r="C1" s="88">
        <f t="shared" ref="C1:I1" si="0">B1-1</f>
        <v>-2</v>
      </c>
      <c r="D1" s="88">
        <f t="shared" si="0"/>
        <v>-3</v>
      </c>
      <c r="E1" s="88">
        <f t="shared" si="0"/>
        <v>-4</v>
      </c>
      <c r="F1" s="88">
        <f t="shared" si="0"/>
        <v>-5</v>
      </c>
      <c r="G1" s="88">
        <f t="shared" si="0"/>
        <v>-6</v>
      </c>
      <c r="H1" s="88">
        <f t="shared" si="0"/>
        <v>-7</v>
      </c>
      <c r="I1" s="89">
        <f t="shared" si="0"/>
        <v>-8</v>
      </c>
    </row>
    <row r="2" spans="1:13" x14ac:dyDescent="0.25">
      <c r="A2" s="6" t="s">
        <v>8</v>
      </c>
      <c r="B2" s="178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3" x14ac:dyDescent="0.25">
      <c r="A3" s="10" t="s">
        <v>104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3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3" s="4" customFormat="1" ht="18" x14ac:dyDescent="0.25">
      <c r="A5" s="103"/>
      <c r="B5" s="104" t="s">
        <v>109</v>
      </c>
      <c r="C5" s="104" t="s">
        <v>110</v>
      </c>
      <c r="D5" s="105" t="s">
        <v>111</v>
      </c>
      <c r="E5" s="104" t="s">
        <v>112</v>
      </c>
      <c r="F5" s="106" t="s">
        <v>107</v>
      </c>
      <c r="H5" s="103"/>
      <c r="I5" s="104" t="s">
        <v>124</v>
      </c>
    </row>
    <row r="6" spans="1:13" ht="9" customHeight="1" x14ac:dyDescent="0.25"/>
    <row r="7" spans="1:13" x14ac:dyDescent="0.25">
      <c r="A7" s="18" t="str">
        <f>'CSWNA Summary'!A8&amp;" Billing Cycle"</f>
        <v>July 2020 Billing Cycle</v>
      </c>
    </row>
    <row r="8" spans="1:13" x14ac:dyDescent="0.25">
      <c r="A8" s="150" t="s">
        <v>144</v>
      </c>
      <c r="B8" s="3">
        <f>Input_NEMO!H6</f>
        <v>1.9386200716845867</v>
      </c>
      <c r="C8" s="3">
        <f>Input_NEMO!G6</f>
        <v>0</v>
      </c>
      <c r="D8" s="3">
        <f>+B8-C8</f>
        <v>1.9386200716845867</v>
      </c>
      <c r="E8" s="3">
        <f>Input_NEMO!I6</f>
        <v>13393</v>
      </c>
      <c r="F8" s="27">
        <f>Assumptions!B7</f>
        <v>0.11254740000000001</v>
      </c>
      <c r="G8" s="20">
        <f>+D8*E8*$F$8</f>
        <v>2922.1737854486541</v>
      </c>
      <c r="H8" s="28">
        <v>0.33048</v>
      </c>
      <c r="I8" s="70">
        <f>+ROUND(G8*H8,0)</f>
        <v>966</v>
      </c>
      <c r="K8" s="281"/>
      <c r="L8" s="290"/>
      <c r="M8" s="288"/>
    </row>
    <row r="9" spans="1:13" x14ac:dyDescent="0.25">
      <c r="A9" s="1"/>
      <c r="B9" s="3"/>
      <c r="C9" s="3"/>
      <c r="D9" s="3"/>
      <c r="E9" s="3"/>
      <c r="G9" s="20"/>
      <c r="I9" s="2"/>
      <c r="K9" s="281"/>
      <c r="L9" s="293"/>
      <c r="M9" s="280"/>
    </row>
    <row r="10" spans="1:13" ht="15.75" thickBot="1" x14ac:dyDescent="0.3">
      <c r="A10" s="1" t="s">
        <v>17</v>
      </c>
      <c r="B10" s="19">
        <f>SUM(B8:B8)</f>
        <v>1.9386200716845867</v>
      </c>
      <c r="C10" s="19">
        <f>SUM(C8:C8)</f>
        <v>0</v>
      </c>
      <c r="D10" s="19">
        <f>SUM(D8:D8)</f>
        <v>1.9386200716845867</v>
      </c>
      <c r="E10" s="19">
        <f>SUM(E8:E8)</f>
        <v>13393</v>
      </c>
      <c r="G10" s="21">
        <f>SUM(G8:G8)</f>
        <v>2922.1737854486541</v>
      </c>
      <c r="H10" s="17">
        <f>SUM(H8:H8)</f>
        <v>0.33048</v>
      </c>
      <c r="I10" s="198">
        <f>SUM(I8:I8)</f>
        <v>966</v>
      </c>
      <c r="K10" s="281"/>
      <c r="L10" s="293"/>
      <c r="M10" s="288"/>
    </row>
    <row r="11" spans="1:13" ht="15.75" thickTop="1" x14ac:dyDescent="0.25">
      <c r="A11" s="1"/>
      <c r="B11" s="149"/>
      <c r="C11" s="149"/>
      <c r="D11" s="149"/>
      <c r="E11" s="149"/>
      <c r="G11" s="160"/>
      <c r="H11" s="115"/>
      <c r="I11" s="152"/>
      <c r="K11" s="281"/>
      <c r="L11" s="293"/>
      <c r="M11" s="288"/>
    </row>
    <row r="12" spans="1:13" x14ac:dyDescent="0.25">
      <c r="A12" s="1"/>
      <c r="K12" s="293"/>
      <c r="L12" s="293"/>
      <c r="M12" s="293"/>
    </row>
    <row r="13" spans="1:13" x14ac:dyDescent="0.25">
      <c r="A13" t="s">
        <v>22</v>
      </c>
      <c r="I13" s="196">
        <f>I10</f>
        <v>966</v>
      </c>
      <c r="K13" s="293"/>
      <c r="L13" s="293"/>
      <c r="M13" s="288"/>
    </row>
    <row r="14" spans="1:13" x14ac:dyDescent="0.25">
      <c r="K14" s="293"/>
      <c r="L14" s="293"/>
      <c r="M14" s="293"/>
    </row>
    <row r="15" spans="1:13" x14ac:dyDescent="0.25">
      <c r="A15" t="s">
        <v>24</v>
      </c>
      <c r="I15" s="29">
        <f>Assumptions!B20</f>
        <v>11089284.458101537</v>
      </c>
      <c r="K15" s="293"/>
      <c r="L15" s="293"/>
      <c r="M15" s="282"/>
    </row>
    <row r="16" spans="1:13" x14ac:dyDescent="0.25">
      <c r="K16" s="293"/>
      <c r="L16" s="293"/>
      <c r="M16" s="293"/>
    </row>
    <row r="17" spans="1:13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9.0000000000000006E-5</v>
      </c>
      <c r="J17" s="114"/>
      <c r="K17" s="293"/>
      <c r="L17" s="293"/>
      <c r="M17" s="290"/>
    </row>
    <row r="18" spans="1:13" x14ac:dyDescent="0.25">
      <c r="K18" s="293"/>
      <c r="L18" s="293"/>
      <c r="M18" s="293"/>
    </row>
    <row r="19" spans="1:13" x14ac:dyDescent="0.25">
      <c r="K19" s="293"/>
      <c r="L19" s="293"/>
      <c r="M19" s="293"/>
    </row>
    <row r="20" spans="1:13" x14ac:dyDescent="0.25">
      <c r="A20" s="18" t="str">
        <f>'CSWNA Summary'!A9&amp;" Billing Cycle"</f>
        <v>August 2020 Billing Cycle</v>
      </c>
      <c r="K20" s="293"/>
      <c r="L20" s="293"/>
      <c r="M20" s="293"/>
    </row>
    <row r="21" spans="1:13" x14ac:dyDescent="0.25">
      <c r="A21" s="150" t="s">
        <v>144</v>
      </c>
      <c r="B21" s="3">
        <f>Input_NEMO!H9</f>
        <v>6.4418817204300991</v>
      </c>
      <c r="C21" s="3">
        <f>Input_NEMO!G9</f>
        <v>5.1895000000000007</v>
      </c>
      <c r="D21" s="3">
        <f>+B21-C21</f>
        <v>1.2523817204300984</v>
      </c>
      <c r="E21" s="3">
        <f>Input_NEMO!I9</f>
        <v>13228</v>
      </c>
      <c r="F21" s="27">
        <f>F8</f>
        <v>0.11254740000000001</v>
      </c>
      <c r="G21" s="20">
        <f>+D21*E21*$F$21</f>
        <v>1864.517109613909</v>
      </c>
      <c r="H21" s="28">
        <v>0.33004</v>
      </c>
      <c r="I21" s="70">
        <f>+ROUND(G21*H21,0)</f>
        <v>615</v>
      </c>
      <c r="K21" s="281"/>
      <c r="L21" s="290"/>
      <c r="M21" s="288"/>
    </row>
    <row r="22" spans="1:13" x14ac:dyDescent="0.25">
      <c r="A22" s="1"/>
      <c r="B22" s="3"/>
      <c r="C22" s="3"/>
      <c r="D22" s="3"/>
      <c r="E22" s="3"/>
      <c r="G22" s="20"/>
      <c r="I22" s="2"/>
      <c r="K22" s="281"/>
      <c r="L22" s="293"/>
      <c r="M22" s="280"/>
    </row>
    <row r="23" spans="1:13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13228</v>
      </c>
      <c r="G23" s="21">
        <f>SUM(G21:G21)</f>
        <v>1864.517109613909</v>
      </c>
      <c r="H23" s="17">
        <f>SUM(H21:H21)</f>
        <v>0.33004</v>
      </c>
      <c r="I23" s="198">
        <f>SUM(I21:I21)</f>
        <v>615</v>
      </c>
      <c r="K23" s="281"/>
      <c r="L23" s="293"/>
      <c r="M23" s="288"/>
    </row>
    <row r="24" spans="1:13" ht="15.75" thickTop="1" x14ac:dyDescent="0.25">
      <c r="A24" s="1"/>
      <c r="B24" s="149"/>
      <c r="C24" s="149"/>
      <c r="D24" s="149"/>
      <c r="E24" s="149"/>
      <c r="G24" s="160"/>
      <c r="H24" s="115"/>
      <c r="I24" s="152"/>
      <c r="K24" s="281"/>
      <c r="L24" s="293"/>
      <c r="M24" s="288"/>
    </row>
    <row r="25" spans="1:13" x14ac:dyDescent="0.25">
      <c r="K25" s="293"/>
      <c r="L25" s="293"/>
      <c r="M25" s="293"/>
    </row>
    <row r="26" spans="1:13" x14ac:dyDescent="0.25">
      <c r="A26" t="s">
        <v>22</v>
      </c>
      <c r="I26" s="196">
        <f>I23</f>
        <v>615</v>
      </c>
      <c r="K26" s="293"/>
      <c r="L26" s="293"/>
      <c r="M26" s="288"/>
    </row>
    <row r="27" spans="1:13" x14ac:dyDescent="0.25">
      <c r="K27" s="293"/>
      <c r="L27" s="293"/>
      <c r="M27" s="293"/>
    </row>
    <row r="28" spans="1:13" x14ac:dyDescent="0.25">
      <c r="A28" t="s">
        <v>24</v>
      </c>
      <c r="I28" s="29">
        <f>I15</f>
        <v>11089284.458101537</v>
      </c>
      <c r="K28" s="293"/>
      <c r="L28" s="293"/>
      <c r="M28" s="282"/>
    </row>
    <row r="29" spans="1:13" x14ac:dyDescent="0.25">
      <c r="K29" s="293"/>
      <c r="L29" s="293"/>
      <c r="M29" s="293"/>
    </row>
    <row r="30" spans="1:13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6.0000000000000002E-5</v>
      </c>
      <c r="K30" s="293"/>
      <c r="L30" s="293"/>
      <c r="M30" s="290"/>
    </row>
    <row r="31" spans="1:13" x14ac:dyDescent="0.25">
      <c r="K31" s="293"/>
      <c r="L31" s="293"/>
      <c r="M31" s="293"/>
    </row>
    <row r="32" spans="1:13" x14ac:dyDescent="0.25">
      <c r="K32" s="293"/>
      <c r="L32" s="293"/>
      <c r="M32" s="293"/>
    </row>
    <row r="33" spans="1:13" x14ac:dyDescent="0.25">
      <c r="A33" s="18" t="str">
        <f>'CSWNA Summary'!A10&amp;" Billing Cycle"</f>
        <v>September 2020 Billing Cycle</v>
      </c>
      <c r="K33" s="293"/>
      <c r="L33" s="293"/>
      <c r="M33" s="293"/>
    </row>
    <row r="34" spans="1:13" x14ac:dyDescent="0.25">
      <c r="A34" s="150" t="s">
        <v>144</v>
      </c>
      <c r="B34" s="3">
        <f>Input_NEMO!H12</f>
        <v>85.807777777777758</v>
      </c>
      <c r="C34" s="3">
        <f>Input_NEMO!G12</f>
        <v>106.05329999999998</v>
      </c>
      <c r="D34" s="3">
        <f>+B34-C34</f>
        <v>-20.24552222222222</v>
      </c>
      <c r="E34" s="3">
        <f>Input_NEMO!I12</f>
        <v>13105</v>
      </c>
      <c r="F34" s="27">
        <f>F21</f>
        <v>0.11254740000000001</v>
      </c>
      <c r="G34" s="20">
        <f>+D34*E34*F34</f>
        <v>-29860.802534007431</v>
      </c>
      <c r="H34" s="28">
        <v>0.33028999999999997</v>
      </c>
      <c r="I34" s="70">
        <f>+ROUND(G34*H34,0)</f>
        <v>-9863</v>
      </c>
      <c r="K34" s="281"/>
      <c r="L34" s="290"/>
      <c r="M34" s="288"/>
    </row>
    <row r="35" spans="1:13" x14ac:dyDescent="0.25">
      <c r="A35" s="1"/>
      <c r="B35" s="3"/>
      <c r="C35" s="3"/>
      <c r="D35" s="3"/>
      <c r="E35" s="3"/>
      <c r="G35" s="20"/>
      <c r="I35" s="2"/>
      <c r="K35" s="281"/>
      <c r="L35" s="293"/>
      <c r="M35" s="280"/>
    </row>
    <row r="36" spans="1:13" ht="15.75" thickBot="1" x14ac:dyDescent="0.3">
      <c r="A36" s="1" t="s">
        <v>17</v>
      </c>
      <c r="B36" s="19">
        <f>SUM(B34:B34)</f>
        <v>85.807777777777758</v>
      </c>
      <c r="C36" s="19">
        <f>SUM(C34:C34)</f>
        <v>106.05329999999998</v>
      </c>
      <c r="D36" s="19">
        <f>SUM(D34:D34)</f>
        <v>-20.24552222222222</v>
      </c>
      <c r="E36" s="19">
        <f>SUM(E34:E34)</f>
        <v>13105</v>
      </c>
      <c r="G36" s="21">
        <f>SUM(G34:G34)</f>
        <v>-29860.802534007431</v>
      </c>
      <c r="H36" s="17">
        <f>SUM(H34:H34)</f>
        <v>0.33028999999999997</v>
      </c>
      <c r="I36" s="70">
        <f>SUM(I34:I34)</f>
        <v>-9863</v>
      </c>
      <c r="K36" s="281"/>
      <c r="L36" s="293"/>
      <c r="M36" s="288"/>
    </row>
    <row r="37" spans="1:13" ht="15.75" thickTop="1" x14ac:dyDescent="0.25">
      <c r="A37" s="1"/>
      <c r="B37" s="149"/>
      <c r="C37" s="149"/>
      <c r="D37" s="149"/>
      <c r="E37" s="149"/>
      <c r="G37" s="160"/>
      <c r="H37" s="115"/>
      <c r="I37" s="70"/>
      <c r="K37" s="281"/>
      <c r="L37" s="293"/>
      <c r="M37" s="288"/>
    </row>
    <row r="38" spans="1:13" x14ac:dyDescent="0.25">
      <c r="K38" s="293"/>
      <c r="L38" s="293"/>
      <c r="M38" s="293"/>
    </row>
    <row r="39" spans="1:13" x14ac:dyDescent="0.25">
      <c r="A39" t="s">
        <v>22</v>
      </c>
      <c r="I39" s="70">
        <f>I36</f>
        <v>-9863</v>
      </c>
      <c r="K39" s="293"/>
      <c r="L39" s="293"/>
      <c r="M39" s="288"/>
    </row>
    <row r="40" spans="1:13" x14ac:dyDescent="0.25">
      <c r="K40" s="293"/>
      <c r="L40" s="293"/>
      <c r="M40" s="293"/>
    </row>
    <row r="41" spans="1:13" x14ac:dyDescent="0.25">
      <c r="A41" t="s">
        <v>24</v>
      </c>
      <c r="I41" s="29">
        <f>I28</f>
        <v>11089284.458101537</v>
      </c>
      <c r="K41" s="293"/>
      <c r="L41" s="293"/>
      <c r="M41" s="282"/>
    </row>
    <row r="42" spans="1:13" x14ac:dyDescent="0.25">
      <c r="K42" s="293"/>
      <c r="L42" s="293"/>
      <c r="M42" s="293"/>
    </row>
    <row r="43" spans="1:13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-8.8999999999999995E-4</v>
      </c>
      <c r="K43" s="293"/>
      <c r="L43" s="293"/>
      <c r="M43" s="290"/>
    </row>
    <row r="44" spans="1:13" x14ac:dyDescent="0.25">
      <c r="K44" s="293"/>
      <c r="L44" s="293"/>
      <c r="M44" s="293"/>
    </row>
    <row r="45" spans="1:13" x14ac:dyDescent="0.25">
      <c r="K45" s="293"/>
      <c r="L45" s="293"/>
      <c r="M45" s="293"/>
    </row>
    <row r="46" spans="1:13" x14ac:dyDescent="0.25">
      <c r="A46" s="18" t="str">
        <f>'CSWNA Summary'!A11&amp;" Billing Cycle"</f>
        <v>October 2020 Billing Cycle</v>
      </c>
      <c r="K46" s="293"/>
      <c r="L46" s="293"/>
      <c r="M46" s="293"/>
    </row>
    <row r="47" spans="1:13" x14ac:dyDescent="0.25">
      <c r="A47" s="150" t="s">
        <v>144</v>
      </c>
      <c r="B47" s="3">
        <f>Input_NEMO!H15</f>
        <v>357.78539426523304</v>
      </c>
      <c r="C47" s="3">
        <f>Input_NEMO!G15</f>
        <v>512.27149999999995</v>
      </c>
      <c r="D47" s="3">
        <f>+B47-C47</f>
        <v>-154.48610573476691</v>
      </c>
      <c r="E47" s="3">
        <f>Input_NEMO!I15</f>
        <v>13194</v>
      </c>
      <c r="F47" s="27">
        <f>F34</f>
        <v>0.11254740000000001</v>
      </c>
      <c r="G47" s="20">
        <f>+D47*E47*F47</f>
        <v>-229404.20382554556</v>
      </c>
      <c r="H47" s="28">
        <v>0.33187</v>
      </c>
      <c r="I47" s="70">
        <f>+ROUND(G47*H47,0)</f>
        <v>-76132</v>
      </c>
      <c r="J47" s="72"/>
      <c r="K47" s="281"/>
      <c r="L47" s="290"/>
      <c r="M47" s="288"/>
    </row>
    <row r="48" spans="1:13" x14ac:dyDescent="0.25">
      <c r="A48" s="1"/>
      <c r="B48" s="3"/>
      <c r="C48" s="3"/>
      <c r="D48" s="3"/>
      <c r="E48" s="3"/>
      <c r="G48" s="20"/>
      <c r="I48" s="2"/>
      <c r="K48" s="281"/>
      <c r="L48" s="293"/>
      <c r="M48" s="280"/>
    </row>
    <row r="49" spans="1:13" ht="15.75" thickBot="1" x14ac:dyDescent="0.3">
      <c r="A49" s="1" t="s">
        <v>17</v>
      </c>
      <c r="B49" s="19">
        <f>SUM(B47:B47)</f>
        <v>357.78539426523304</v>
      </c>
      <c r="C49" s="19">
        <f>SUM(C47:C47)</f>
        <v>512.27149999999995</v>
      </c>
      <c r="D49" s="19">
        <f>SUM(D47:D47)</f>
        <v>-154.48610573476691</v>
      </c>
      <c r="E49" s="19">
        <f>SUM(E47:E47)</f>
        <v>13194</v>
      </c>
      <c r="G49" s="21">
        <f>SUM(G47:G47)</f>
        <v>-229404.20382554556</v>
      </c>
      <c r="H49" s="17">
        <f>SUM(H47:H47)</f>
        <v>0.33187</v>
      </c>
      <c r="I49" s="70">
        <f>SUM(I47:I47)</f>
        <v>-76132</v>
      </c>
      <c r="K49" s="281"/>
      <c r="L49" s="293"/>
      <c r="M49" s="288"/>
    </row>
    <row r="50" spans="1:13" ht="15.75" thickTop="1" x14ac:dyDescent="0.25">
      <c r="A50" s="1"/>
      <c r="B50" s="149"/>
      <c r="C50" s="149"/>
      <c r="D50" s="149"/>
      <c r="E50" s="149"/>
      <c r="G50" s="160"/>
      <c r="H50" s="115"/>
      <c r="I50" s="70"/>
      <c r="K50" s="281"/>
      <c r="L50" s="293"/>
      <c r="M50" s="288"/>
    </row>
    <row r="51" spans="1:13" x14ac:dyDescent="0.25">
      <c r="D51" s="73"/>
      <c r="K51" s="293"/>
      <c r="L51" s="293"/>
      <c r="M51" s="293"/>
    </row>
    <row r="52" spans="1:13" x14ac:dyDescent="0.25">
      <c r="A52" t="s">
        <v>22</v>
      </c>
      <c r="I52" s="70">
        <f>I49</f>
        <v>-76132</v>
      </c>
      <c r="K52" s="293"/>
      <c r="L52" s="293"/>
      <c r="M52" s="288"/>
    </row>
    <row r="53" spans="1:13" x14ac:dyDescent="0.25">
      <c r="K53" s="293"/>
      <c r="L53" s="293"/>
      <c r="M53" s="293"/>
    </row>
    <row r="54" spans="1:13" x14ac:dyDescent="0.25">
      <c r="A54" t="s">
        <v>24</v>
      </c>
      <c r="I54" s="29">
        <f>I41</f>
        <v>11089284.458101537</v>
      </c>
      <c r="K54" s="293"/>
      <c r="L54" s="293"/>
      <c r="M54" s="282"/>
    </row>
    <row r="55" spans="1:13" x14ac:dyDescent="0.25">
      <c r="K55" s="293"/>
      <c r="L55" s="293"/>
      <c r="M55" s="293"/>
    </row>
    <row r="56" spans="1:13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-6.8700000000000002E-3</v>
      </c>
      <c r="K56" s="293"/>
      <c r="L56" s="293"/>
      <c r="M56" s="290"/>
    </row>
    <row r="57" spans="1:13" x14ac:dyDescent="0.25">
      <c r="K57" s="293"/>
      <c r="L57" s="293"/>
      <c r="M57" s="293"/>
    </row>
    <row r="58" spans="1:13" x14ac:dyDescent="0.25">
      <c r="K58" s="293"/>
      <c r="L58" s="293"/>
      <c r="M58" s="293"/>
    </row>
    <row r="59" spans="1:13" x14ac:dyDescent="0.25">
      <c r="A59" s="18" t="str">
        <f>'CSWNA Summary'!A12&amp;" Billing Cycle"</f>
        <v>November 2020 Billing Cycle</v>
      </c>
      <c r="K59" s="293"/>
      <c r="L59" s="293"/>
      <c r="M59" s="293"/>
    </row>
    <row r="60" spans="1:13" x14ac:dyDescent="0.25">
      <c r="A60" s="150" t="s">
        <v>144</v>
      </c>
      <c r="B60" s="3">
        <f>Input_NEMO!H18</f>
        <v>831.78145758661879</v>
      </c>
      <c r="C60" s="3">
        <f>Input_NEMO!G18</f>
        <v>568.26989999999978</v>
      </c>
      <c r="D60" s="3">
        <f>+B60-C60</f>
        <v>263.51155758661901</v>
      </c>
      <c r="E60" s="3">
        <f>Input_NEMO!I18</f>
        <v>13635</v>
      </c>
      <c r="F60" s="27">
        <f>F47</f>
        <v>0.11254740000000001</v>
      </c>
      <c r="G60" s="20">
        <f>+D60*E60*F60</f>
        <v>404380.56712168106</v>
      </c>
      <c r="H60" s="28">
        <v>0.33606999999999998</v>
      </c>
      <c r="I60" s="70">
        <f>+ROUND(G60*H60,0)</f>
        <v>135900</v>
      </c>
      <c r="J60" s="72"/>
      <c r="K60" s="281"/>
      <c r="L60" s="290"/>
      <c r="M60" s="288"/>
    </row>
    <row r="61" spans="1:13" x14ac:dyDescent="0.25">
      <c r="A61" s="1"/>
      <c r="B61" s="3"/>
      <c r="C61" s="3"/>
      <c r="D61" s="3"/>
      <c r="E61" s="3"/>
      <c r="G61" s="20"/>
      <c r="I61" s="2"/>
      <c r="K61" s="281"/>
      <c r="L61" s="293"/>
      <c r="M61" s="280"/>
    </row>
    <row r="62" spans="1:13" ht="15.75" thickBot="1" x14ac:dyDescent="0.3">
      <c r="A62" s="1" t="s">
        <v>17</v>
      </c>
      <c r="B62" s="19">
        <f>SUM(B60:B60)</f>
        <v>831.78145758661879</v>
      </c>
      <c r="C62" s="19">
        <f>SUM(C60:C60)</f>
        <v>568.26989999999978</v>
      </c>
      <c r="D62" s="19">
        <f>SUM(D60:D60)</f>
        <v>263.51155758661901</v>
      </c>
      <c r="E62" s="19">
        <f>SUM(E60:E60)</f>
        <v>13635</v>
      </c>
      <c r="G62" s="21">
        <f>SUM(G60:G60)</f>
        <v>404380.56712168106</v>
      </c>
      <c r="H62" s="17">
        <f>SUM(H60:H60)</f>
        <v>0.33606999999999998</v>
      </c>
      <c r="I62" s="70">
        <f>SUM(I60:I60)</f>
        <v>135900</v>
      </c>
      <c r="K62" s="281"/>
      <c r="L62" s="293"/>
      <c r="M62" s="288"/>
    </row>
    <row r="63" spans="1:13" ht="15.75" thickTop="1" x14ac:dyDescent="0.25">
      <c r="A63" s="1"/>
      <c r="B63" s="149"/>
      <c r="C63" s="149"/>
      <c r="D63" s="149"/>
      <c r="E63" s="149"/>
      <c r="G63" s="160"/>
      <c r="H63" s="115"/>
      <c r="I63" s="70"/>
      <c r="K63" s="281"/>
      <c r="L63" s="293"/>
      <c r="M63" s="288"/>
    </row>
    <row r="64" spans="1:13" x14ac:dyDescent="0.25">
      <c r="D64" s="73"/>
      <c r="K64" s="293"/>
      <c r="L64" s="293"/>
      <c r="M64" s="293"/>
    </row>
    <row r="65" spans="1:13" x14ac:dyDescent="0.25">
      <c r="A65" t="s">
        <v>22</v>
      </c>
      <c r="I65" s="70">
        <f>I62</f>
        <v>135900</v>
      </c>
      <c r="K65" s="293"/>
      <c r="L65" s="293"/>
      <c r="M65" s="288"/>
    </row>
    <row r="66" spans="1:13" x14ac:dyDescent="0.25">
      <c r="K66" s="293"/>
      <c r="L66" s="293"/>
      <c r="M66" s="293"/>
    </row>
    <row r="67" spans="1:13" x14ac:dyDescent="0.25">
      <c r="A67" t="s">
        <v>24</v>
      </c>
      <c r="I67" s="29">
        <f>I54</f>
        <v>11089284.458101537</v>
      </c>
      <c r="K67" s="293"/>
      <c r="L67" s="293"/>
      <c r="M67" s="282"/>
    </row>
    <row r="68" spans="1:13" x14ac:dyDescent="0.25">
      <c r="K68" s="293"/>
      <c r="L68" s="293"/>
      <c r="M68" s="293"/>
    </row>
    <row r="69" spans="1:13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1.226E-2</v>
      </c>
      <c r="K69" s="293"/>
      <c r="L69" s="293"/>
      <c r="M69" s="290"/>
    </row>
    <row r="70" spans="1:13" x14ac:dyDescent="0.25">
      <c r="K70" s="293"/>
      <c r="L70" s="293"/>
      <c r="M70" s="293"/>
    </row>
    <row r="71" spans="1:13" x14ac:dyDescent="0.25">
      <c r="K71" s="293"/>
      <c r="L71" s="293"/>
      <c r="M71" s="293"/>
    </row>
    <row r="72" spans="1:13" x14ac:dyDescent="0.25">
      <c r="A72" s="18" t="str">
        <f>'CSWNA Summary'!A13&amp;" Billing Cycle"</f>
        <v>December 2020 Billing Cycle</v>
      </c>
      <c r="K72" s="293"/>
      <c r="L72" s="293"/>
      <c r="M72" s="293"/>
    </row>
    <row r="73" spans="1:13" x14ac:dyDescent="0.25">
      <c r="A73" s="150" t="s">
        <v>144</v>
      </c>
      <c r="B73" s="3">
        <f>Input_NEMO!H21</f>
        <v>1199.5575627240146</v>
      </c>
      <c r="C73" s="3">
        <f>Input_NEMO!G21</f>
        <v>1041.6078999999997</v>
      </c>
      <c r="D73" s="3">
        <f>+B73-C73</f>
        <v>157.94966272401484</v>
      </c>
      <c r="E73" s="3">
        <f>Input_NEMO!I21</f>
        <v>13695</v>
      </c>
      <c r="F73" s="27">
        <f>F60</f>
        <v>0.11254740000000001</v>
      </c>
      <c r="G73" s="20">
        <f>+D73*E73*F73</f>
        <v>243453.60290601527</v>
      </c>
      <c r="H73" s="28">
        <v>0.33606999999999998</v>
      </c>
      <c r="I73" s="70">
        <f>+ROUND(G73*H73,0)</f>
        <v>81817</v>
      </c>
      <c r="K73" s="281"/>
      <c r="L73" s="290"/>
      <c r="M73" s="288"/>
    </row>
    <row r="74" spans="1:13" x14ac:dyDescent="0.25">
      <c r="A74" s="1"/>
      <c r="B74" s="3"/>
      <c r="C74" s="3"/>
      <c r="D74" s="3"/>
      <c r="E74" s="3"/>
      <c r="G74" s="20"/>
      <c r="I74" s="2"/>
      <c r="K74" s="281"/>
      <c r="L74" s="293"/>
      <c r="M74" s="280"/>
    </row>
    <row r="75" spans="1:13" ht="15.75" thickBot="1" x14ac:dyDescent="0.3">
      <c r="A75" s="1" t="s">
        <v>17</v>
      </c>
      <c r="B75" s="19">
        <f>SUM(B73:B73)</f>
        <v>1199.5575627240146</v>
      </c>
      <c r="C75" s="19">
        <f>SUM(C73:C73)</f>
        <v>1041.6078999999997</v>
      </c>
      <c r="D75" s="19">
        <f>SUM(D73:D73)</f>
        <v>157.94966272401484</v>
      </c>
      <c r="E75" s="19">
        <f>SUM(E73:E73)</f>
        <v>13695</v>
      </c>
      <c r="G75" s="21">
        <f>SUM(G73:G73)</f>
        <v>243453.60290601527</v>
      </c>
      <c r="H75" s="17">
        <f>SUM(H73:H73)</f>
        <v>0.33606999999999998</v>
      </c>
      <c r="I75" s="70">
        <f>SUM(I73:I73)</f>
        <v>81817</v>
      </c>
      <c r="K75" s="281"/>
      <c r="L75" s="293"/>
      <c r="M75" s="288"/>
    </row>
    <row r="76" spans="1:13" ht="15.75" thickTop="1" x14ac:dyDescent="0.25">
      <c r="A76" s="1"/>
      <c r="B76" s="149"/>
      <c r="C76" s="149"/>
      <c r="D76" s="149"/>
      <c r="E76" s="149"/>
      <c r="G76" s="160"/>
      <c r="H76" s="115"/>
      <c r="I76" s="70"/>
      <c r="K76" s="281"/>
      <c r="L76" s="293"/>
      <c r="M76" s="288"/>
    </row>
    <row r="77" spans="1:13" x14ac:dyDescent="0.25">
      <c r="K77" s="293"/>
      <c r="L77" s="293"/>
      <c r="M77" s="293"/>
    </row>
    <row r="78" spans="1:13" x14ac:dyDescent="0.25">
      <c r="A78" t="s">
        <v>22</v>
      </c>
      <c r="I78" s="70">
        <f>I75</f>
        <v>81817</v>
      </c>
      <c r="K78" s="293"/>
      <c r="L78" s="293"/>
      <c r="M78" s="288"/>
    </row>
    <row r="79" spans="1:13" x14ac:dyDescent="0.25">
      <c r="K79" s="293"/>
      <c r="L79" s="293"/>
      <c r="M79" s="293"/>
    </row>
    <row r="80" spans="1:13" x14ac:dyDescent="0.25">
      <c r="A80" t="s">
        <v>24</v>
      </c>
      <c r="I80" s="29">
        <f>I67</f>
        <v>11089284.458101537</v>
      </c>
      <c r="K80" s="293"/>
      <c r="L80" s="293"/>
      <c r="M80" s="282"/>
    </row>
    <row r="81" spans="1:13" x14ac:dyDescent="0.25">
      <c r="K81" s="293"/>
      <c r="L81" s="293"/>
      <c r="M81" s="293"/>
    </row>
    <row r="82" spans="1:13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7.3800000000000003E-3</v>
      </c>
      <c r="K82" s="293"/>
      <c r="L82" s="293"/>
      <c r="M82" s="290"/>
    </row>
    <row r="83" spans="1:13" x14ac:dyDescent="0.25">
      <c r="K83" s="293"/>
      <c r="L83" s="293"/>
      <c r="M83" s="293"/>
    </row>
    <row r="87" spans="1:13" x14ac:dyDescent="0.25">
      <c r="B87" s="69"/>
    </row>
    <row r="88" spans="1:13" x14ac:dyDescent="0.25">
      <c r="B88" s="72"/>
    </row>
  </sheetData>
  <phoneticPr fontId="20" type="noConversion"/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87"/>
  <sheetViews>
    <sheetView zoomScale="85" zoomScaleNormal="85" workbookViewId="0">
      <pane xSplit="1" ySplit="4" topLeftCell="B7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K1" sqref="K1:N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8">
        <f>A1-1</f>
        <v>-1</v>
      </c>
      <c r="C1" s="88">
        <f t="shared" ref="C1:I1" si="0">B1-1</f>
        <v>-2</v>
      </c>
      <c r="D1" s="88">
        <f t="shared" si="0"/>
        <v>-3</v>
      </c>
      <c r="E1" s="88">
        <f t="shared" si="0"/>
        <v>-4</v>
      </c>
      <c r="F1" s="88">
        <f t="shared" si="0"/>
        <v>-5</v>
      </c>
      <c r="G1" s="88">
        <f t="shared" si="0"/>
        <v>-6</v>
      </c>
      <c r="H1" s="88">
        <f t="shared" si="0"/>
        <v>-7</v>
      </c>
      <c r="I1" s="89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104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3"/>
      <c r="B5" s="104" t="s">
        <v>109</v>
      </c>
      <c r="C5" s="104" t="s">
        <v>110</v>
      </c>
      <c r="D5" s="105" t="s">
        <v>111</v>
      </c>
      <c r="E5" s="104" t="s">
        <v>112</v>
      </c>
      <c r="F5" s="106" t="s">
        <v>107</v>
      </c>
      <c r="H5" s="103"/>
      <c r="I5" s="104" t="s">
        <v>124</v>
      </c>
    </row>
    <row r="6" spans="1:9" ht="6.75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50" t="s">
        <v>144</v>
      </c>
      <c r="B8" s="3">
        <f>Input_NEMO!H6</f>
        <v>1.9386200716845867</v>
      </c>
      <c r="C8" s="3">
        <f>Input_NEMO!G6</f>
        <v>0</v>
      </c>
      <c r="D8" s="3">
        <f>+B8-C8</f>
        <v>1.9386200716845867</v>
      </c>
      <c r="E8" s="3">
        <f>Input_NEMO!J6</f>
        <v>1706</v>
      </c>
      <c r="F8" s="27">
        <f>Assumptions!C7</f>
        <v>0.23893880000000001</v>
      </c>
      <c r="G8" s="20">
        <f>+D8*E8*$F$8</f>
        <v>790.23891041469483</v>
      </c>
      <c r="H8" s="28">
        <v>0.14216000000000001</v>
      </c>
      <c r="I8" s="70">
        <f>+ROUND(G8*H8,0)</f>
        <v>112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1.9386200716845867</v>
      </c>
      <c r="C10" s="19">
        <f>SUM(C8:C8)</f>
        <v>0</v>
      </c>
      <c r="D10" s="19">
        <f>SUM(D8:D8)</f>
        <v>1.9386200716845867</v>
      </c>
      <c r="E10" s="19">
        <f>SUM(E8:E8)</f>
        <v>1706</v>
      </c>
      <c r="G10" s="21">
        <f>SUM(G8:G8)</f>
        <v>790.23891041469483</v>
      </c>
      <c r="H10" s="17">
        <f>SUM(H8:H8)</f>
        <v>0.14216000000000001</v>
      </c>
      <c r="I10" s="70">
        <f>SUM(I8:I8)</f>
        <v>112</v>
      </c>
    </row>
    <row r="11" spans="1:9" ht="15.75" thickTop="1" x14ac:dyDescent="0.25">
      <c r="A11" s="1"/>
      <c r="B11" s="149"/>
      <c r="C11" s="149"/>
      <c r="D11" s="149"/>
      <c r="E11" s="149"/>
      <c r="G11" s="160"/>
      <c r="H11" s="115"/>
      <c r="I11" s="70"/>
    </row>
    <row r="12" spans="1:9" x14ac:dyDescent="0.25">
      <c r="A12" s="1"/>
    </row>
    <row r="13" spans="1:9" x14ac:dyDescent="0.25">
      <c r="A13" t="s">
        <v>22</v>
      </c>
      <c r="I13" s="70">
        <f>I10</f>
        <v>112</v>
      </c>
    </row>
    <row r="15" spans="1:9" x14ac:dyDescent="0.25">
      <c r="A15" t="s">
        <v>24</v>
      </c>
      <c r="I15" s="29">
        <f>Assumptions!C20</f>
        <v>3249867.6799999997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3.0000000000000001E-5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50" t="s">
        <v>144</v>
      </c>
      <c r="B21" s="3">
        <f>Input_NEMO!H9</f>
        <v>6.4418817204300991</v>
      </c>
      <c r="C21" s="3">
        <f>Input_NEMO!G9</f>
        <v>5.1895000000000007</v>
      </c>
      <c r="D21" s="3">
        <f>+B21-C21</f>
        <v>1.2523817204300984</v>
      </c>
      <c r="E21" s="3">
        <f>Input_NEMO!J9</f>
        <v>1713</v>
      </c>
      <c r="F21" s="27">
        <f>F8</f>
        <v>0.23893880000000001</v>
      </c>
      <c r="G21" s="20">
        <f>+D21*E21*$F$21</f>
        <v>512.60254882703498</v>
      </c>
      <c r="H21" s="28">
        <v>0.14216000000000001</v>
      </c>
      <c r="I21" s="70">
        <f>+ROUND(G21*H21,0)</f>
        <v>73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1713</v>
      </c>
      <c r="G23" s="21">
        <f>SUM(G21:G21)</f>
        <v>512.60254882703498</v>
      </c>
      <c r="H23" s="17">
        <f>SUM(H21:H21)</f>
        <v>0.14216000000000001</v>
      </c>
      <c r="I23" s="70">
        <f>SUM(I21:I21)</f>
        <v>73</v>
      </c>
    </row>
    <row r="24" spans="1:9" ht="15.75" thickTop="1" x14ac:dyDescent="0.25">
      <c r="A24" s="1"/>
      <c r="B24" s="149"/>
      <c r="C24" s="149"/>
      <c r="D24" s="149"/>
      <c r="E24" s="149"/>
      <c r="G24" s="160"/>
      <c r="H24" s="115"/>
      <c r="I24" s="70"/>
    </row>
    <row r="26" spans="1:9" x14ac:dyDescent="0.25">
      <c r="A26" t="s">
        <v>22</v>
      </c>
      <c r="I26" s="70">
        <f>I23</f>
        <v>73</v>
      </c>
    </row>
    <row r="28" spans="1:9" x14ac:dyDescent="0.25">
      <c r="A28" t="s">
        <v>24</v>
      </c>
      <c r="I28" s="29">
        <f>I15</f>
        <v>3249867.6799999997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2.0000000000000002E-5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50" t="s">
        <v>144</v>
      </c>
      <c r="B34" s="3">
        <f>Input_NEMO!H12</f>
        <v>85.807777777777758</v>
      </c>
      <c r="C34" s="3">
        <f>Input_NEMO!G12</f>
        <v>106.05329999999998</v>
      </c>
      <c r="D34" s="3">
        <f>+B34-C34</f>
        <v>-20.24552222222222</v>
      </c>
      <c r="E34" s="3">
        <f>Input_NEMO!J12</f>
        <v>1698</v>
      </c>
      <c r="F34" s="27">
        <f>F21</f>
        <v>0.23893880000000001</v>
      </c>
      <c r="G34" s="20">
        <f>+D34*E34*F34</f>
        <v>-8213.9744531865854</v>
      </c>
      <c r="H34" s="28">
        <v>0.14216000000000001</v>
      </c>
      <c r="I34" s="70">
        <f>+ROUND(G34*H34,0)</f>
        <v>-1168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85.807777777777758</v>
      </c>
      <c r="C36" s="19">
        <f>SUM(C34:C34)</f>
        <v>106.05329999999998</v>
      </c>
      <c r="D36" s="19">
        <f>SUM(D34:D34)</f>
        <v>-20.24552222222222</v>
      </c>
      <c r="E36" s="19">
        <f>SUM(E34:E34)</f>
        <v>1698</v>
      </c>
      <c r="G36" s="21">
        <f>SUM(G34:G34)</f>
        <v>-8213.9744531865854</v>
      </c>
      <c r="H36" s="17">
        <f>SUM(H34:H34)</f>
        <v>0.14216000000000001</v>
      </c>
      <c r="I36" s="70">
        <f>SUM(I34:I34)</f>
        <v>-1168</v>
      </c>
    </row>
    <row r="37" spans="1:9" ht="15.75" thickTop="1" x14ac:dyDescent="0.25">
      <c r="A37" s="1"/>
      <c r="H37" s="115"/>
    </row>
    <row r="39" spans="1:9" x14ac:dyDescent="0.25">
      <c r="A39" t="s">
        <v>22</v>
      </c>
      <c r="I39" s="70">
        <f>I36</f>
        <v>-1168</v>
      </c>
    </row>
    <row r="41" spans="1:9" x14ac:dyDescent="0.25">
      <c r="A41" t="s">
        <v>24</v>
      </c>
      <c r="I41" s="29">
        <f>I28</f>
        <v>3249867.6799999997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-3.6000000000000002E-4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50" t="s">
        <v>144</v>
      </c>
      <c r="B47" s="3">
        <f>Input_NEMO!H15</f>
        <v>357.78539426523304</v>
      </c>
      <c r="C47" s="3">
        <f>Input_NEMO!G15</f>
        <v>512.27149999999995</v>
      </c>
      <c r="D47" s="3">
        <f>+B47-C47</f>
        <v>-154.48610573476691</v>
      </c>
      <c r="E47" s="3">
        <f>Input_NEMO!J15</f>
        <v>1712</v>
      </c>
      <c r="F47" s="27">
        <f>F34</f>
        <v>0.23893880000000001</v>
      </c>
      <c r="G47" s="20">
        <f>+D47*E47*F47</f>
        <v>-63194.584722246414</v>
      </c>
      <c r="H47" s="28">
        <v>0.14216000000000001</v>
      </c>
      <c r="I47" s="70">
        <f>+ROUND(G47*H47,0)</f>
        <v>-8984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357.78539426523304</v>
      </c>
      <c r="C49" s="19">
        <f>SUM(C47:C47)</f>
        <v>512.27149999999995</v>
      </c>
      <c r="D49" s="19">
        <f>SUM(D47:D47)</f>
        <v>-154.48610573476691</v>
      </c>
      <c r="E49" s="19">
        <f>SUM(E47:E47)</f>
        <v>1712</v>
      </c>
      <c r="G49" s="21">
        <f>SUM(G47:G47)</f>
        <v>-63194.584722246414</v>
      </c>
      <c r="H49" s="17">
        <f>SUM(H47:H47)</f>
        <v>0.14216000000000001</v>
      </c>
      <c r="I49" s="70">
        <f>SUM(I47:I47)</f>
        <v>-8984</v>
      </c>
    </row>
    <row r="50" spans="1:9" ht="15.75" thickTop="1" x14ac:dyDescent="0.25">
      <c r="A50" s="1"/>
      <c r="H50" s="115"/>
    </row>
    <row r="52" spans="1:9" x14ac:dyDescent="0.25">
      <c r="A52" t="s">
        <v>22</v>
      </c>
      <c r="I52" s="70">
        <f>I49</f>
        <v>-8984</v>
      </c>
    </row>
    <row r="54" spans="1:9" x14ac:dyDescent="0.25">
      <c r="A54" t="s">
        <v>24</v>
      </c>
      <c r="I54" s="29">
        <f>I41</f>
        <v>3249867.6799999997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-2.7599999999999999E-3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50" t="s">
        <v>144</v>
      </c>
      <c r="B60" s="3">
        <f>Input_NEMO!H18</f>
        <v>831.78145758661879</v>
      </c>
      <c r="C60" s="3">
        <f>Input_NEMO!G18</f>
        <v>568.26989999999978</v>
      </c>
      <c r="D60" s="3">
        <f>+B60-C60</f>
        <v>263.51155758661901</v>
      </c>
      <c r="E60" s="3">
        <f>Input_NEMO!J18</f>
        <v>1767</v>
      </c>
      <c r="F60" s="27">
        <f>F47</f>
        <v>0.23893880000000001</v>
      </c>
      <c r="G60" s="20">
        <f>+D60*E60*F60</f>
        <v>111255.8601738358</v>
      </c>
      <c r="H60" s="28">
        <v>0.14216000000000001</v>
      </c>
      <c r="I60" s="70">
        <f>+ROUND(G60*H60,0)</f>
        <v>15816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831.78145758661879</v>
      </c>
      <c r="C62" s="19">
        <f>SUM(C60:C60)</f>
        <v>568.26989999999978</v>
      </c>
      <c r="D62" s="19">
        <f>SUM(D60:D60)</f>
        <v>263.51155758661901</v>
      </c>
      <c r="E62" s="19">
        <f>SUM(E60:E60)</f>
        <v>1767</v>
      </c>
      <c r="G62" s="21">
        <f>SUM(G60:G60)</f>
        <v>111255.8601738358</v>
      </c>
      <c r="H62" s="17">
        <f>SUM(H60:H60)</f>
        <v>0.14216000000000001</v>
      </c>
      <c r="I62" s="70">
        <f>SUM(I60:I60)</f>
        <v>15816</v>
      </c>
    </row>
    <row r="63" spans="1:9" ht="15.75" thickTop="1" x14ac:dyDescent="0.25">
      <c r="A63" s="1"/>
      <c r="B63" s="149"/>
      <c r="C63" s="149"/>
      <c r="D63" s="149"/>
      <c r="E63" s="149"/>
      <c r="G63" s="160"/>
      <c r="H63" s="115"/>
      <c r="I63" s="70"/>
    </row>
    <row r="64" spans="1:9" x14ac:dyDescent="0.25">
      <c r="A64" s="1"/>
    </row>
    <row r="65" spans="1:9" x14ac:dyDescent="0.25">
      <c r="A65" t="s">
        <v>22</v>
      </c>
      <c r="I65" s="70">
        <f>I62</f>
        <v>15816</v>
      </c>
    </row>
    <row r="67" spans="1:9" x14ac:dyDescent="0.25">
      <c r="A67" t="s">
        <v>24</v>
      </c>
      <c r="I67" s="29">
        <f>I54</f>
        <v>3249867.6799999997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4.8700000000000002E-3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50" t="s">
        <v>144</v>
      </c>
      <c r="B73" s="3">
        <f>Input_NEMO!H21</f>
        <v>1199.5575627240146</v>
      </c>
      <c r="C73" s="3">
        <f>Input_NEMO!G21</f>
        <v>1041.6078999999997</v>
      </c>
      <c r="D73" s="3">
        <f>+B73-C73</f>
        <v>157.94966272401484</v>
      </c>
      <c r="E73" s="3">
        <f>Input_NEMO!J21</f>
        <v>1775</v>
      </c>
      <c r="F73" s="27">
        <f>F60</f>
        <v>0.23893880000000001</v>
      </c>
      <c r="G73" s="20">
        <f>+D73*E73*F73</f>
        <v>66989.037597233488</v>
      </c>
      <c r="H73" s="28">
        <v>0.14216000000000001</v>
      </c>
      <c r="I73" s="70">
        <f>+ROUND(G73*H73,0)</f>
        <v>9523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1199.5575627240146</v>
      </c>
      <c r="C75" s="19">
        <f>SUM(C73:C73)</f>
        <v>1041.6078999999997</v>
      </c>
      <c r="D75" s="19">
        <f>SUM(D73:D73)</f>
        <v>157.94966272401484</v>
      </c>
      <c r="E75" s="19">
        <f>SUM(E73:E73)</f>
        <v>1775</v>
      </c>
      <c r="G75" s="21">
        <f>SUM(G73:G73)</f>
        <v>66989.037597233488</v>
      </c>
      <c r="H75" s="17">
        <f>SUM(H73:H73)</f>
        <v>0.14216000000000001</v>
      </c>
      <c r="I75" s="70">
        <f>SUM(I73:I73)</f>
        <v>9523</v>
      </c>
    </row>
    <row r="76" spans="1:9" ht="15.75" thickTop="1" x14ac:dyDescent="0.25">
      <c r="A76" s="1"/>
    </row>
    <row r="78" spans="1:9" x14ac:dyDescent="0.25">
      <c r="A78" t="s">
        <v>22</v>
      </c>
      <c r="I78" s="70">
        <f>I75</f>
        <v>9523</v>
      </c>
    </row>
    <row r="80" spans="1:9" x14ac:dyDescent="0.25">
      <c r="A80" t="s">
        <v>24</v>
      </c>
      <c r="I80" s="29">
        <f>I67</f>
        <v>3249867.6799999997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2.9299999999999999E-3</v>
      </c>
    </row>
    <row r="87" spans="1:9" x14ac:dyDescent="0.25">
      <c r="B87" s="69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88"/>
  <sheetViews>
    <sheetView zoomScale="85" zoomScaleNormal="85" workbookViewId="0">
      <pane xSplit="1" ySplit="4" topLeftCell="B29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N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8">
        <f>A1-1</f>
        <v>-1</v>
      </c>
      <c r="C1" s="88">
        <f t="shared" ref="C1:I1" si="0">B1-1</f>
        <v>-2</v>
      </c>
      <c r="D1" s="88">
        <f t="shared" si="0"/>
        <v>-3</v>
      </c>
      <c r="E1" s="88">
        <f t="shared" si="0"/>
        <v>-4</v>
      </c>
      <c r="F1" s="88">
        <f t="shared" si="0"/>
        <v>-5</v>
      </c>
      <c r="G1" s="88">
        <f t="shared" si="0"/>
        <v>-6</v>
      </c>
      <c r="H1" s="88">
        <f t="shared" si="0"/>
        <v>-7</v>
      </c>
      <c r="I1" s="89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105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3"/>
      <c r="B5" s="104" t="s">
        <v>109</v>
      </c>
      <c r="C5" s="104" t="s">
        <v>110</v>
      </c>
      <c r="D5" s="105" t="s">
        <v>111</v>
      </c>
      <c r="E5" s="104" t="s">
        <v>112</v>
      </c>
      <c r="F5" s="106" t="s">
        <v>107</v>
      </c>
      <c r="H5" s="103"/>
      <c r="I5" s="104" t="s">
        <v>124</v>
      </c>
    </row>
    <row r="6" spans="1:9" ht="7.5" customHeight="1" x14ac:dyDescent="0.25"/>
    <row r="7" spans="1:9" x14ac:dyDescent="0.25">
      <c r="A7" s="18" t="str">
        <f>'CSWNA Summary'!$A$8&amp;" Billing Cycle"</f>
        <v>July 2020 Billing Cycle</v>
      </c>
    </row>
    <row r="8" spans="1:9" x14ac:dyDescent="0.25">
      <c r="A8" s="150" t="s">
        <v>144</v>
      </c>
      <c r="B8" s="3">
        <f>Input_WEMO!H6</f>
        <v>2.4013978494623633</v>
      </c>
      <c r="C8" s="3">
        <f>Input_WEMO!G6</f>
        <v>0</v>
      </c>
      <c r="D8" s="3">
        <f>+B8-C8</f>
        <v>2.4013978494623633</v>
      </c>
      <c r="E8" s="3">
        <f>SUM(Input_WEMO!I6)</f>
        <v>2725</v>
      </c>
      <c r="F8" s="27">
        <f>Assumptions!D7</f>
        <v>0.11254740000000001</v>
      </c>
      <c r="G8" s="20">
        <f>+D8*E8*$F$8</f>
        <v>736.48870477903165</v>
      </c>
      <c r="H8" s="28">
        <v>0.33048</v>
      </c>
      <c r="I8" s="70">
        <f>+ROUND(G8*H8,0)</f>
        <v>243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2.4013978494623633</v>
      </c>
      <c r="C10" s="19">
        <f>SUM(C8:C8)</f>
        <v>0</v>
      </c>
      <c r="D10" s="19">
        <f>SUM(D8:D8)</f>
        <v>2.4013978494623633</v>
      </c>
      <c r="E10" s="19">
        <f>SUM(E8:E8)</f>
        <v>2725</v>
      </c>
      <c r="G10" s="21">
        <f>SUM(G8:G8)</f>
        <v>736.48870477903165</v>
      </c>
      <c r="H10" s="17">
        <f>SUM(H8:H8)</f>
        <v>0.33048</v>
      </c>
      <c r="I10" s="70">
        <f>SUM(I8:I8)</f>
        <v>243</v>
      </c>
    </row>
    <row r="11" spans="1:9" ht="15.75" thickTop="1" x14ac:dyDescent="0.25">
      <c r="A11" s="1"/>
      <c r="H11" s="115"/>
    </row>
    <row r="13" spans="1:9" x14ac:dyDescent="0.25">
      <c r="A13" t="s">
        <v>22</v>
      </c>
      <c r="I13" s="70">
        <f>I10</f>
        <v>243</v>
      </c>
    </row>
    <row r="15" spans="1:9" x14ac:dyDescent="0.25">
      <c r="A15" t="s">
        <v>24</v>
      </c>
      <c r="I15" s="29">
        <f>Assumptions!D20</f>
        <v>2140376.9890333959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1.1E-4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50" t="s">
        <v>144</v>
      </c>
      <c r="B21" s="3">
        <f>Input_WEMO!H9</f>
        <v>6.4418817204300991</v>
      </c>
      <c r="C21" s="3">
        <f>Input_WEMO!G9</f>
        <v>5.1895000000000007</v>
      </c>
      <c r="D21" s="3">
        <f>+B21-C21</f>
        <v>1.2523817204300984</v>
      </c>
      <c r="E21" s="3">
        <f>Input_WEMO!I9</f>
        <v>2695</v>
      </c>
      <c r="F21" s="27">
        <f>F8</f>
        <v>0.11254740000000001</v>
      </c>
      <c r="G21" s="20">
        <f>+D21*E21*$F$21</f>
        <v>379.86646586101335</v>
      </c>
      <c r="H21" s="28">
        <v>0.33004</v>
      </c>
      <c r="I21" s="70">
        <f>+ROUND(G21*H21,0)</f>
        <v>125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2695</v>
      </c>
      <c r="G23" s="21">
        <f>SUM(G21:G21)</f>
        <v>379.86646586101335</v>
      </c>
      <c r="H23" s="17">
        <f>SUM(H21:H21)</f>
        <v>0.33004</v>
      </c>
      <c r="I23" s="70">
        <f>SUM(I21:I21)</f>
        <v>125</v>
      </c>
    </row>
    <row r="24" spans="1:9" ht="15.75" thickTop="1" x14ac:dyDescent="0.25">
      <c r="A24" s="1"/>
      <c r="H24" s="115"/>
    </row>
    <row r="26" spans="1:9" x14ac:dyDescent="0.25">
      <c r="A26" t="s">
        <v>22</v>
      </c>
      <c r="I26" s="70">
        <f>I23</f>
        <v>125</v>
      </c>
    </row>
    <row r="28" spans="1:9" x14ac:dyDescent="0.25">
      <c r="A28" t="s">
        <v>24</v>
      </c>
      <c r="I28" s="29">
        <f>I15</f>
        <v>2140376.9890333959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6.0000000000000002E-5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50" t="s">
        <v>144</v>
      </c>
      <c r="B34" s="3">
        <f>Input_WEMO!H12</f>
        <v>69.859074074074059</v>
      </c>
      <c r="C34" s="3">
        <f>Input_WEMO!G12</f>
        <v>83.14054999999999</v>
      </c>
      <c r="D34" s="3">
        <f>+B34-C34</f>
        <v>-13.281475925925932</v>
      </c>
      <c r="E34" s="3">
        <f>Input_WEMO!I12</f>
        <v>2675</v>
      </c>
      <c r="F34" s="27">
        <f>F21</f>
        <v>0.11254740000000001</v>
      </c>
      <c r="G34" s="20">
        <f>+D34*E34*F34</f>
        <v>-3998.5781861983633</v>
      </c>
      <c r="H34" s="28">
        <v>0.33028999999999997</v>
      </c>
      <c r="I34" s="70">
        <f>+ROUND(G34*H34,0)</f>
        <v>-1321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69.859074074074059</v>
      </c>
      <c r="C36" s="19">
        <f>SUM(C34:C34)</f>
        <v>83.14054999999999</v>
      </c>
      <c r="D36" s="19">
        <f>SUM(D34:D34)</f>
        <v>-13.281475925925932</v>
      </c>
      <c r="E36" s="19">
        <f>SUM(E34:E34)</f>
        <v>2675</v>
      </c>
      <c r="G36" s="21">
        <f>SUM(G34:G34)</f>
        <v>-3998.5781861983633</v>
      </c>
      <c r="H36" s="17">
        <f>SUM(H34:H34)</f>
        <v>0.33028999999999997</v>
      </c>
      <c r="I36" s="70">
        <f>SUM(I34:I34)</f>
        <v>-1321</v>
      </c>
    </row>
    <row r="37" spans="1:9" ht="15.75" thickTop="1" x14ac:dyDescent="0.25">
      <c r="A37" s="1"/>
      <c r="H37" s="115"/>
    </row>
    <row r="39" spans="1:9" x14ac:dyDescent="0.25">
      <c r="A39" t="s">
        <v>22</v>
      </c>
      <c r="I39" s="70">
        <f>I36</f>
        <v>-1321</v>
      </c>
    </row>
    <row r="40" spans="1:9" x14ac:dyDescent="0.25">
      <c r="I40" s="70"/>
    </row>
    <row r="41" spans="1:9" x14ac:dyDescent="0.25">
      <c r="A41" t="s">
        <v>24</v>
      </c>
      <c r="I41" s="29">
        <f>I28</f>
        <v>2140376.9890333959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-6.2E-4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50" t="s">
        <v>144</v>
      </c>
      <c r="B47" s="3">
        <f>Input_WEMO!H15</f>
        <v>248.83850657108724</v>
      </c>
      <c r="C47" s="3">
        <f>Input_WEMO!G15</f>
        <v>362.36154999999997</v>
      </c>
      <c r="D47" s="3">
        <f>+B47-C47</f>
        <v>-113.52304342891273</v>
      </c>
      <c r="E47" s="3">
        <f>Input_WEMO!I15</f>
        <v>2685</v>
      </c>
      <c r="F47" s="27">
        <f>F34</f>
        <v>0.11254740000000001</v>
      </c>
      <c r="G47" s="20">
        <f>+D47*E47*F47</f>
        <v>-34305.50226996011</v>
      </c>
      <c r="H47" s="28">
        <v>0.33187</v>
      </c>
      <c r="I47" s="70">
        <f>+ROUND(G47*H47,0)</f>
        <v>-11385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248.83850657108724</v>
      </c>
      <c r="C49" s="19">
        <f>SUM(C47:C47)</f>
        <v>362.36154999999997</v>
      </c>
      <c r="D49" s="19">
        <f>SUM(D47:D47)</f>
        <v>-113.52304342891273</v>
      </c>
      <c r="E49" s="19">
        <f>SUM(E47:E47)</f>
        <v>2685</v>
      </c>
      <c r="G49" s="21">
        <f>SUM(G47:G47)</f>
        <v>-34305.50226996011</v>
      </c>
      <c r="H49" s="17">
        <f>SUM(H47:H47)</f>
        <v>0.33187</v>
      </c>
      <c r="I49" s="70">
        <f>SUM(I47:I47)</f>
        <v>-11385</v>
      </c>
    </row>
    <row r="50" spans="1:9" ht="15.75" thickTop="1" x14ac:dyDescent="0.25">
      <c r="A50" s="1"/>
      <c r="H50" s="115"/>
    </row>
    <row r="52" spans="1:9" x14ac:dyDescent="0.25">
      <c r="A52" t="s">
        <v>22</v>
      </c>
      <c r="I52" s="70">
        <f>I49</f>
        <v>-11385</v>
      </c>
    </row>
    <row r="54" spans="1:9" x14ac:dyDescent="0.25">
      <c r="A54" t="s">
        <v>24</v>
      </c>
      <c r="I54" s="29">
        <f>I41</f>
        <v>2140376.9890333959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-5.3200000000000001E-3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50" t="s">
        <v>144</v>
      </c>
      <c r="B60" s="3">
        <f>Input_WEMO!H18</f>
        <v>824.55612305854243</v>
      </c>
      <c r="C60" s="3">
        <f>Input_WEMO!G18</f>
        <v>622.75750000000005</v>
      </c>
      <c r="D60" s="3">
        <f>+B60-C60</f>
        <v>201.79862305854238</v>
      </c>
      <c r="E60" s="3">
        <f>Input_WEMO!I18</f>
        <v>2743</v>
      </c>
      <c r="F60" s="27">
        <f>F47</f>
        <v>0.11254740000000001</v>
      </c>
      <c r="G60" s="20">
        <f>+D60*E60*F60</f>
        <v>62298.770086810502</v>
      </c>
      <c r="H60" s="28">
        <v>0.33606999999999998</v>
      </c>
      <c r="I60" s="70">
        <f>+ROUND(G60*H60,0)</f>
        <v>20937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824.55612305854243</v>
      </c>
      <c r="C62" s="19">
        <f>SUM(C60:C60)</f>
        <v>622.75750000000005</v>
      </c>
      <c r="D62" s="19">
        <f>SUM(D60:D60)</f>
        <v>201.79862305854238</v>
      </c>
      <c r="E62" s="19">
        <f>SUM(E60:E60)</f>
        <v>2743</v>
      </c>
      <c r="G62" s="21">
        <f>SUM(G60:G60)</f>
        <v>62298.770086810502</v>
      </c>
      <c r="H62" s="17">
        <f>SUM(H60:H60)</f>
        <v>0.33606999999999998</v>
      </c>
      <c r="I62" s="70">
        <f>SUM(I60:I60)</f>
        <v>20937</v>
      </c>
    </row>
    <row r="63" spans="1:9" ht="15.75" thickTop="1" x14ac:dyDescent="0.25">
      <c r="A63" s="1"/>
      <c r="H63" s="115"/>
    </row>
    <row r="64" spans="1:9" x14ac:dyDescent="0.25">
      <c r="D64" s="73"/>
    </row>
    <row r="65" spans="1:9" x14ac:dyDescent="0.25">
      <c r="A65" t="s">
        <v>22</v>
      </c>
      <c r="I65" s="70">
        <f>I62</f>
        <v>20937</v>
      </c>
    </row>
    <row r="67" spans="1:9" x14ac:dyDescent="0.25">
      <c r="A67" t="s">
        <v>24</v>
      </c>
      <c r="I67" s="29">
        <f>I54</f>
        <v>2140376.9890333959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9.7800000000000005E-3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50" t="s">
        <v>144</v>
      </c>
      <c r="B73" s="3">
        <f>Input_WEMO!H21</f>
        <v>1331.6784886499404</v>
      </c>
      <c r="C73" s="3">
        <f>Input_WEMO!G21</f>
        <v>1159.943</v>
      </c>
      <c r="D73" s="3">
        <f>+B73-C73</f>
        <v>171.73548864994041</v>
      </c>
      <c r="E73" s="3">
        <f>Input_WEMO!I21</f>
        <v>2756</v>
      </c>
      <c r="F73" s="27">
        <f>F60</f>
        <v>0.11254740000000001</v>
      </c>
      <c r="G73" s="20">
        <f>+D73*E73*F73</f>
        <v>53269.022818432517</v>
      </c>
      <c r="H73" s="28">
        <v>0.33606999999999998</v>
      </c>
      <c r="I73" s="70">
        <f>+ROUND(G73*H73,0)</f>
        <v>17902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1331.6784886499404</v>
      </c>
      <c r="C75" s="19">
        <f>SUM(C73:C73)</f>
        <v>1159.943</v>
      </c>
      <c r="D75" s="19">
        <f>SUM(D73:D73)</f>
        <v>171.73548864994041</v>
      </c>
      <c r="E75" s="19">
        <f>SUM(E73:E73)</f>
        <v>2756</v>
      </c>
      <c r="G75" s="21">
        <f>SUM(G73:G73)</f>
        <v>53269.022818432517</v>
      </c>
      <c r="H75" s="17">
        <f>SUM(H73:H73)</f>
        <v>0.33606999999999998</v>
      </c>
      <c r="I75" s="70">
        <f>SUM(I73:I73)</f>
        <v>17902</v>
      </c>
    </row>
    <row r="76" spans="1:9" ht="15.75" thickTop="1" x14ac:dyDescent="0.25">
      <c r="A76" s="1"/>
    </row>
    <row r="78" spans="1:9" x14ac:dyDescent="0.25">
      <c r="A78" t="s">
        <v>22</v>
      </c>
      <c r="I78" s="70">
        <f>I75</f>
        <v>17902</v>
      </c>
    </row>
    <row r="80" spans="1:9" x14ac:dyDescent="0.25">
      <c r="A80" t="s">
        <v>24</v>
      </c>
      <c r="I80" s="29">
        <f>I67</f>
        <v>2140376.9890333959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8.3599999999999994E-3</v>
      </c>
    </row>
    <row r="87" spans="1:9" x14ac:dyDescent="0.25">
      <c r="B87" s="69"/>
    </row>
    <row r="88" spans="1:9" x14ac:dyDescent="0.25">
      <c r="B88" s="72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87"/>
  <sheetViews>
    <sheetView zoomScaleNormal="100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M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8">
        <f>A1-1</f>
        <v>-1</v>
      </c>
      <c r="C1" s="88">
        <f t="shared" ref="C1:I1" si="0">B1-1</f>
        <v>-2</v>
      </c>
      <c r="D1" s="88">
        <f t="shared" si="0"/>
        <v>-3</v>
      </c>
      <c r="E1" s="88">
        <f t="shared" si="0"/>
        <v>-4</v>
      </c>
      <c r="F1" s="88">
        <f t="shared" si="0"/>
        <v>-5</v>
      </c>
      <c r="G1" s="88">
        <f t="shared" si="0"/>
        <v>-6</v>
      </c>
      <c r="H1" s="88">
        <f t="shared" si="0"/>
        <v>-7</v>
      </c>
      <c r="I1" s="89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105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3"/>
      <c r="B5" s="104" t="s">
        <v>109</v>
      </c>
      <c r="C5" s="104" t="s">
        <v>110</v>
      </c>
      <c r="D5" s="105" t="s">
        <v>111</v>
      </c>
      <c r="E5" s="104" t="s">
        <v>112</v>
      </c>
      <c r="F5" s="106" t="s">
        <v>107</v>
      </c>
      <c r="H5" s="103"/>
      <c r="I5" s="104" t="s">
        <v>124</v>
      </c>
    </row>
    <row r="6" spans="1:9" ht="7.5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50" t="s">
        <v>144</v>
      </c>
      <c r="B8" s="3">
        <f>Input_WEMO!H6</f>
        <v>2.4013978494623633</v>
      </c>
      <c r="C8" s="3">
        <f>Input_WEMO!G6</f>
        <v>0</v>
      </c>
      <c r="D8" s="3">
        <f>+B8-C8</f>
        <v>2.4013978494623633</v>
      </c>
      <c r="E8" s="3">
        <f>Input_WEMO!J6</f>
        <v>422</v>
      </c>
      <c r="F8" s="27">
        <f>Assumptions!E7</f>
        <v>0.23893880000000001</v>
      </c>
      <c r="G8" s="20">
        <f>+D8*E8*$F$8</f>
        <v>242.1381648396557</v>
      </c>
      <c r="H8" s="28">
        <v>0.14216000000000001</v>
      </c>
      <c r="I8" s="70">
        <f>+ROUND(G8*H8,0)</f>
        <v>34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2.4013978494623633</v>
      </c>
      <c r="C10" s="19">
        <f>SUM(C8:C8)</f>
        <v>0</v>
      </c>
      <c r="D10" s="19">
        <f>SUM(D8:D8)</f>
        <v>2.4013978494623633</v>
      </c>
      <c r="E10" s="19">
        <f>SUM(E8:E8)</f>
        <v>422</v>
      </c>
      <c r="G10" s="21">
        <f>SUM(G8:G8)</f>
        <v>242.1381648396557</v>
      </c>
      <c r="H10" s="17">
        <f>SUM(H8:H8)</f>
        <v>0.14216000000000001</v>
      </c>
      <c r="I10" s="70">
        <f>SUM(I8:I8)</f>
        <v>34</v>
      </c>
    </row>
    <row r="11" spans="1:9" ht="15.75" thickTop="1" x14ac:dyDescent="0.25">
      <c r="A11" s="1"/>
      <c r="H11" s="115"/>
    </row>
    <row r="13" spans="1:9" x14ac:dyDescent="0.25">
      <c r="A13" t="s">
        <v>22</v>
      </c>
      <c r="I13" s="70">
        <f>I10</f>
        <v>34</v>
      </c>
    </row>
    <row r="15" spans="1:9" x14ac:dyDescent="0.25">
      <c r="A15" t="s">
        <v>24</v>
      </c>
      <c r="I15" s="29">
        <f>Assumptions!E20</f>
        <v>700365.64440726885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5.0000000000000002E-5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50" t="s">
        <v>144</v>
      </c>
      <c r="B21" s="3">
        <f>Input_WEMO!H9</f>
        <v>6.4418817204300991</v>
      </c>
      <c r="C21" s="3">
        <f>Input_WEMO!G9</f>
        <v>5.1895000000000007</v>
      </c>
      <c r="D21" s="3">
        <f>+B21-C21</f>
        <v>1.2523817204300984</v>
      </c>
      <c r="E21" s="3">
        <f>Input_WEMO!J9</f>
        <v>421</v>
      </c>
      <c r="F21" s="27">
        <f>F8</f>
        <v>0.23893880000000001</v>
      </c>
      <c r="G21" s="20">
        <f>+D21*E21*$F$21</f>
        <v>125.98112846245284</v>
      </c>
      <c r="H21" s="28">
        <v>0.14216000000000001</v>
      </c>
      <c r="I21" s="70">
        <f>+ROUND(G21*H21,0)</f>
        <v>18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421</v>
      </c>
      <c r="G23" s="21">
        <f>SUM(G21:G21)</f>
        <v>125.98112846245284</v>
      </c>
      <c r="H23" s="17">
        <f>SUM(H21:H21)</f>
        <v>0.14216000000000001</v>
      </c>
      <c r="I23" s="70">
        <f>SUM(I21:I21)</f>
        <v>18</v>
      </c>
    </row>
    <row r="24" spans="1:9" ht="15.75" thickTop="1" x14ac:dyDescent="0.25">
      <c r="A24" s="1"/>
      <c r="H24" s="115"/>
    </row>
    <row r="26" spans="1:9" x14ac:dyDescent="0.25">
      <c r="A26" t="s">
        <v>22</v>
      </c>
      <c r="I26" s="70">
        <f>I23</f>
        <v>18</v>
      </c>
    </row>
    <row r="28" spans="1:9" x14ac:dyDescent="0.25">
      <c r="A28" t="s">
        <v>24</v>
      </c>
      <c r="I28" s="29">
        <f>I15</f>
        <v>700365.64440726885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3.0000000000000001E-5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50" t="s">
        <v>144</v>
      </c>
      <c r="B34" s="3">
        <f>Input_WEMO!H12</f>
        <v>69.859074074074059</v>
      </c>
      <c r="C34" s="3">
        <f>Input_WEMO!G12</f>
        <v>83.14054999999999</v>
      </c>
      <c r="D34" s="3">
        <f>+B34-C34</f>
        <v>-13.281475925925932</v>
      </c>
      <c r="E34" s="3">
        <f>Input_WEMO!J12</f>
        <v>423</v>
      </c>
      <c r="F34" s="27">
        <f>F21</f>
        <v>0.23893880000000001</v>
      </c>
      <c r="G34" s="20">
        <f>+D34*E34*F34</f>
        <v>-1342.373546147154</v>
      </c>
      <c r="H34" s="28">
        <v>0.14216000000000001</v>
      </c>
      <c r="I34" s="70">
        <f>+ROUND(G34*H34,0)</f>
        <v>-191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69.859074074074059</v>
      </c>
      <c r="C36" s="19">
        <f>SUM(C34:C34)</f>
        <v>83.14054999999999</v>
      </c>
      <c r="D36" s="19">
        <f>SUM(D34:D34)</f>
        <v>-13.281475925925932</v>
      </c>
      <c r="E36" s="19">
        <f>SUM(E34:E34)</f>
        <v>423</v>
      </c>
      <c r="G36" s="21">
        <f>SUM(G34:G34)</f>
        <v>-1342.373546147154</v>
      </c>
      <c r="H36" s="17">
        <f>SUM(H34:H34)</f>
        <v>0.14216000000000001</v>
      </c>
      <c r="I36" s="70">
        <f>SUM(I34:I34)</f>
        <v>-191</v>
      </c>
    </row>
    <row r="37" spans="1:9" ht="15.75" thickTop="1" x14ac:dyDescent="0.25">
      <c r="A37" s="1"/>
      <c r="H37" s="115"/>
    </row>
    <row r="39" spans="1:9" x14ac:dyDescent="0.25">
      <c r="A39" t="s">
        <v>22</v>
      </c>
      <c r="I39" s="70">
        <f>I36</f>
        <v>-191</v>
      </c>
    </row>
    <row r="41" spans="1:9" x14ac:dyDescent="0.25">
      <c r="A41" t="s">
        <v>24</v>
      </c>
      <c r="I41" s="29">
        <f>I28</f>
        <v>700365.64440726885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-2.7E-4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50" t="s">
        <v>144</v>
      </c>
      <c r="B47" s="3">
        <f>Input_WEMO!H15</f>
        <v>248.83850657108724</v>
      </c>
      <c r="C47" s="3">
        <f>Input_WEMO!G15</f>
        <v>362.36154999999997</v>
      </c>
      <c r="D47" s="3">
        <f>+B47-C47</f>
        <v>-113.52304342891273</v>
      </c>
      <c r="E47" s="3">
        <f>Input_WEMO!J15</f>
        <v>424</v>
      </c>
      <c r="F47" s="27">
        <f>F34</f>
        <v>0.23893880000000001</v>
      </c>
      <c r="G47" s="20">
        <f>+D47*E47*F47</f>
        <v>-11501.025342162973</v>
      </c>
      <c r="H47" s="28">
        <v>0.14216000000000001</v>
      </c>
      <c r="I47" s="70">
        <f>+ROUND(G47*H47,0)</f>
        <v>-1635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248.83850657108724</v>
      </c>
      <c r="C49" s="19">
        <f>SUM(C47:C47)</f>
        <v>362.36154999999997</v>
      </c>
      <c r="D49" s="19">
        <f>SUM(D47:D47)</f>
        <v>-113.52304342891273</v>
      </c>
      <c r="E49" s="19">
        <f>SUM(E47:E47)</f>
        <v>424</v>
      </c>
      <c r="G49" s="21">
        <f>SUM(G47:G47)</f>
        <v>-11501.025342162973</v>
      </c>
      <c r="H49" s="17">
        <f>SUM(H47:H47)</f>
        <v>0.14216000000000001</v>
      </c>
      <c r="I49" s="70">
        <f>SUM(I47:I47)</f>
        <v>-1635</v>
      </c>
    </row>
    <row r="50" spans="1:9" ht="15.75" thickTop="1" x14ac:dyDescent="0.25">
      <c r="A50" s="1"/>
      <c r="H50" s="115"/>
    </row>
    <row r="52" spans="1:9" x14ac:dyDescent="0.25">
      <c r="A52" t="s">
        <v>22</v>
      </c>
      <c r="I52" s="70">
        <f>I49</f>
        <v>-1635</v>
      </c>
    </row>
    <row r="54" spans="1:9" x14ac:dyDescent="0.25">
      <c r="A54" t="s">
        <v>24</v>
      </c>
      <c r="I54" s="29">
        <f>I41</f>
        <v>700365.64440726885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-2.33E-3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50" t="s">
        <v>144</v>
      </c>
      <c r="B60" s="3">
        <f>Input_WEMO!H18</f>
        <v>824.55612305854243</v>
      </c>
      <c r="C60" s="3">
        <f>Input_WEMO!G18</f>
        <v>622.75750000000005</v>
      </c>
      <c r="D60" s="3">
        <f>+B60-C60</f>
        <v>201.79862305854238</v>
      </c>
      <c r="E60" s="3">
        <f>Input_WEMO!J18</f>
        <v>441</v>
      </c>
      <c r="F60" s="27">
        <f>F47</f>
        <v>0.23893880000000001</v>
      </c>
      <c r="G60" s="20">
        <f>+D60*E60*F60</f>
        <v>21263.926688349857</v>
      </c>
      <c r="H60" s="28">
        <v>0.14216000000000001</v>
      </c>
      <c r="I60" s="70">
        <f>+ROUND(G60*H60,0)</f>
        <v>3023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824.55612305854243</v>
      </c>
      <c r="C62" s="19">
        <f>SUM(C60:C60)</f>
        <v>622.75750000000005</v>
      </c>
      <c r="D62" s="19">
        <f>SUM(D60:D60)</f>
        <v>201.79862305854238</v>
      </c>
      <c r="E62" s="19">
        <f>SUM(E60:E60)</f>
        <v>441</v>
      </c>
      <c r="G62" s="21">
        <f>SUM(G60:G60)</f>
        <v>21263.926688349857</v>
      </c>
      <c r="H62" s="17">
        <f>SUM(H60:H60)</f>
        <v>0.14216000000000001</v>
      </c>
      <c r="I62" s="70">
        <f>SUM(I60:I60)</f>
        <v>3023</v>
      </c>
    </row>
    <row r="63" spans="1:9" ht="15.75" thickTop="1" x14ac:dyDescent="0.25">
      <c r="A63" s="1"/>
      <c r="H63" s="115"/>
    </row>
    <row r="65" spans="1:9" x14ac:dyDescent="0.25">
      <c r="A65" t="s">
        <v>22</v>
      </c>
      <c r="I65" s="70">
        <f>I62</f>
        <v>3023</v>
      </c>
    </row>
    <row r="67" spans="1:9" x14ac:dyDescent="0.25">
      <c r="A67" t="s">
        <v>24</v>
      </c>
      <c r="I67" s="29">
        <f>I54</f>
        <v>700365.64440726885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4.3200000000000001E-3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">
        <v>1</v>
      </c>
      <c r="B73" s="3">
        <f>Input_WEMO!H21</f>
        <v>1331.6784886499404</v>
      </c>
      <c r="C73" s="3">
        <f>Input_WEMO!G21</f>
        <v>1159.943</v>
      </c>
      <c r="D73" s="3">
        <f>+B73-C73</f>
        <v>171.73548864994041</v>
      </c>
      <c r="E73" s="3">
        <f>Input_WEMO!J21</f>
        <v>442</v>
      </c>
      <c r="F73" s="27">
        <f>F60</f>
        <v>0.23893880000000001</v>
      </c>
      <c r="G73" s="20">
        <f>+D73*E73*F73</f>
        <v>18137.14803634023</v>
      </c>
      <c r="H73" s="28">
        <v>0.14216000000000001</v>
      </c>
      <c r="I73" s="70">
        <f>+ROUND(G73*H73,0)</f>
        <v>2578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1331.6784886499404</v>
      </c>
      <c r="C75" s="19">
        <f>SUM(C73:C73)</f>
        <v>1159.943</v>
      </c>
      <c r="D75" s="19">
        <f>SUM(D73:D73)</f>
        <v>171.73548864994041</v>
      </c>
      <c r="E75" s="19">
        <f>SUM(E73:E73)</f>
        <v>442</v>
      </c>
      <c r="G75" s="21">
        <f>SUM(G73:G73)</f>
        <v>18137.14803634023</v>
      </c>
      <c r="H75" s="17">
        <f>SUM(H73:H73)</f>
        <v>0.14216000000000001</v>
      </c>
      <c r="I75" s="70">
        <f>SUM(I73:I73)</f>
        <v>2578</v>
      </c>
    </row>
    <row r="76" spans="1:9" ht="15.75" thickTop="1" x14ac:dyDescent="0.25">
      <c r="A76" s="1"/>
    </row>
    <row r="78" spans="1:9" x14ac:dyDescent="0.25">
      <c r="A78" t="s">
        <v>22</v>
      </c>
      <c r="I78" s="70">
        <f>I75</f>
        <v>2578</v>
      </c>
    </row>
    <row r="80" spans="1:9" x14ac:dyDescent="0.25">
      <c r="A80" t="s">
        <v>24</v>
      </c>
      <c r="I80" s="29">
        <f>I67</f>
        <v>700365.64440726885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3.6800000000000001E-3</v>
      </c>
    </row>
    <row r="87" spans="1:9" x14ac:dyDescent="0.25">
      <c r="B87" s="69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N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8">
        <f>A1-1</f>
        <v>-1</v>
      </c>
      <c r="C1" s="88">
        <f t="shared" ref="C1:I1" si="0">B1-1</f>
        <v>-2</v>
      </c>
      <c r="D1" s="88">
        <f t="shared" si="0"/>
        <v>-3</v>
      </c>
      <c r="E1" s="88">
        <f t="shared" si="0"/>
        <v>-4</v>
      </c>
      <c r="F1" s="88">
        <f t="shared" si="0"/>
        <v>-5</v>
      </c>
      <c r="G1" s="88">
        <f t="shared" si="0"/>
        <v>-6</v>
      </c>
      <c r="H1" s="88">
        <f t="shared" si="0"/>
        <v>-7</v>
      </c>
      <c r="I1" s="89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3"/>
      <c r="B5" s="104" t="s">
        <v>109</v>
      </c>
      <c r="C5" s="104" t="s">
        <v>110</v>
      </c>
      <c r="D5" s="105" t="s">
        <v>111</v>
      </c>
      <c r="E5" s="104" t="s">
        <v>112</v>
      </c>
      <c r="F5" s="106" t="s">
        <v>107</v>
      </c>
      <c r="H5" s="103"/>
      <c r="I5" s="104" t="s">
        <v>124</v>
      </c>
    </row>
    <row r="6" spans="1:9" ht="6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50" t="s">
        <v>144</v>
      </c>
      <c r="B8" s="3">
        <f>Input_SEMO!H6</f>
        <v>9.3333333333333712E-2</v>
      </c>
      <c r="C8" s="3">
        <f>Input_SEMO!G6</f>
        <v>0</v>
      </c>
      <c r="D8" s="3">
        <f>+B8-C8</f>
        <v>9.3333333333333712E-2</v>
      </c>
      <c r="E8" s="3">
        <f>Input_SEMO!I6</f>
        <v>22707</v>
      </c>
      <c r="F8" s="27">
        <f>Assumptions!F7</f>
        <v>0.110869</v>
      </c>
      <c r="G8" s="20">
        <f>+D8*E8*$F$8</f>
        <v>234.96688908000095</v>
      </c>
      <c r="H8" s="28">
        <v>0.24335000000000001</v>
      </c>
      <c r="I8" s="70">
        <f>+ROUND(G8*H8,0)</f>
        <v>57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9.3333333333333712E-2</v>
      </c>
      <c r="C10" s="19">
        <f>SUM(C8:C8)</f>
        <v>0</v>
      </c>
      <c r="D10" s="19">
        <f>SUM(D8:D8)</f>
        <v>9.3333333333333712E-2</v>
      </c>
      <c r="E10" s="19">
        <f>SUM(E8:E8)</f>
        <v>22707</v>
      </c>
      <c r="G10" s="21">
        <f>SUM(G8:G8)</f>
        <v>234.96688908000095</v>
      </c>
      <c r="H10" s="17">
        <f>SUM(H8:H8)</f>
        <v>0.24335000000000001</v>
      </c>
      <c r="I10" s="70">
        <f>SUM(I8:I8)</f>
        <v>57</v>
      </c>
    </row>
    <row r="11" spans="1:9" ht="15.75" thickTop="1" x14ac:dyDescent="0.25">
      <c r="A11" s="1"/>
      <c r="H11" s="115"/>
    </row>
    <row r="13" spans="1:9" x14ac:dyDescent="0.25">
      <c r="A13" t="s">
        <v>22</v>
      </c>
      <c r="I13" s="70">
        <f>I10</f>
        <v>57</v>
      </c>
    </row>
    <row r="15" spans="1:9" x14ac:dyDescent="0.25">
      <c r="A15" t="s">
        <v>24</v>
      </c>
      <c r="I15" s="29">
        <f>Assumptions!F20</f>
        <v>15300894.639401933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0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50" t="s">
        <v>144</v>
      </c>
      <c r="B21" s="3">
        <f>Input_SEMO!H9</f>
        <v>0.85489247311827943</v>
      </c>
      <c r="C21" s="3">
        <f>Input_SEMO!G9</f>
        <v>0</v>
      </c>
      <c r="D21" s="3">
        <f>+B21-C21</f>
        <v>0.85489247311827943</v>
      </c>
      <c r="E21" s="3">
        <f>Input_SEMO!I9</f>
        <v>22444</v>
      </c>
      <c r="F21" s="27">
        <f>F8</f>
        <v>0.110869</v>
      </c>
      <c r="G21" s="20">
        <f>+D21*E21*$F$21</f>
        <v>2127.2664159266665</v>
      </c>
      <c r="H21" s="28">
        <v>0.24335000000000001</v>
      </c>
      <c r="I21" s="70">
        <f>+ROUND(G21*H21,0)</f>
        <v>518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0.85489247311827943</v>
      </c>
      <c r="C23" s="19">
        <f>SUM(C21:C21)</f>
        <v>0</v>
      </c>
      <c r="D23" s="19">
        <f>SUM(D21:D21)</f>
        <v>0.85489247311827943</v>
      </c>
      <c r="E23" s="19">
        <f>SUM(E21:E21)</f>
        <v>22444</v>
      </c>
      <c r="G23" s="21">
        <f>SUM(G21:G21)</f>
        <v>2127.2664159266665</v>
      </c>
      <c r="H23" s="17">
        <f>SUM(H21:H21)</f>
        <v>0.24335000000000001</v>
      </c>
      <c r="I23" s="70">
        <f>SUM(I21:I21)</f>
        <v>518</v>
      </c>
    </row>
    <row r="24" spans="1:9" ht="15.75" thickTop="1" x14ac:dyDescent="0.25">
      <c r="A24" s="1"/>
      <c r="H24" s="115"/>
    </row>
    <row r="26" spans="1:9" x14ac:dyDescent="0.25">
      <c r="A26" t="s">
        <v>22</v>
      </c>
      <c r="I26" s="70">
        <f>I23</f>
        <v>518</v>
      </c>
    </row>
    <row r="28" spans="1:9" x14ac:dyDescent="0.25">
      <c r="A28" t="s">
        <v>24</v>
      </c>
      <c r="I28" s="29">
        <f>I15</f>
        <v>15300894.639401933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3.0000000000000001E-5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50" t="s">
        <v>144</v>
      </c>
      <c r="B34" s="3">
        <f>Input_SEMO!H12</f>
        <v>22.008148148148145</v>
      </c>
      <c r="C34" s="3">
        <f>Input_SEMO!G12</f>
        <v>21.5</v>
      </c>
      <c r="D34" s="3">
        <f>+B34-C34</f>
        <v>0.50814814814814468</v>
      </c>
      <c r="E34" s="3">
        <f>Input_SEMO!I12</f>
        <v>22227</v>
      </c>
      <c r="F34" s="27">
        <f>F21</f>
        <v>0.110869</v>
      </c>
      <c r="G34" s="20">
        <f>+D34*E34*$F$34</f>
        <v>1252.2219929022135</v>
      </c>
      <c r="H34" s="28">
        <v>0.24335000000000001</v>
      </c>
      <c r="I34" s="70">
        <f>+ROUND(G34*H34,0)</f>
        <v>305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22.008148148148145</v>
      </c>
      <c r="C36" s="19">
        <f>SUM(C34:C34)</f>
        <v>21.5</v>
      </c>
      <c r="D36" s="19">
        <f>SUM(D34:D34)</f>
        <v>0.50814814814814468</v>
      </c>
      <c r="E36" s="19">
        <f>SUM(E34:E34)</f>
        <v>22227</v>
      </c>
      <c r="G36" s="21">
        <f>SUM(G34:G34)</f>
        <v>1252.2219929022135</v>
      </c>
      <c r="H36" s="17">
        <f>SUM(H34:H34)</f>
        <v>0.24335000000000001</v>
      </c>
      <c r="I36" s="70">
        <f>SUM(I34:I34)</f>
        <v>305</v>
      </c>
    </row>
    <row r="37" spans="1:9" ht="15.75" thickTop="1" x14ac:dyDescent="0.25">
      <c r="A37" s="1"/>
      <c r="H37" s="115"/>
    </row>
    <row r="39" spans="1:9" x14ac:dyDescent="0.25">
      <c r="A39" t="s">
        <v>22</v>
      </c>
      <c r="I39" s="70">
        <f>I36</f>
        <v>305</v>
      </c>
    </row>
    <row r="41" spans="1:9" x14ac:dyDescent="0.25">
      <c r="A41" t="s">
        <v>24</v>
      </c>
      <c r="I41" s="29">
        <f>I28</f>
        <v>15300894.639401933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2.0000000000000002E-5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50" t="s">
        <v>144</v>
      </c>
      <c r="B47" s="3">
        <f>Input_SEMO!H15</f>
        <v>172.13802270011948</v>
      </c>
      <c r="C47" s="3">
        <f>Input_SEMO!G15</f>
        <v>206.5</v>
      </c>
      <c r="D47" s="3">
        <f>+B47-C47</f>
        <v>-34.361977299880522</v>
      </c>
      <c r="E47" s="3">
        <f>Input_SEMO!I15</f>
        <v>22238</v>
      </c>
      <c r="F47" s="27">
        <f>F34</f>
        <v>0.110869</v>
      </c>
      <c r="G47" s="20">
        <f>+D47*E47*$F$47</f>
        <v>-84719.620726309964</v>
      </c>
      <c r="H47" s="28">
        <v>0.24335000000000001</v>
      </c>
      <c r="I47" s="70">
        <f>+ROUND(G47*H47,0)</f>
        <v>-20617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172.13802270011948</v>
      </c>
      <c r="C49" s="19">
        <f>SUM(C47:C47)</f>
        <v>206.5</v>
      </c>
      <c r="D49" s="19">
        <f>SUM(D47:D47)</f>
        <v>-34.361977299880522</v>
      </c>
      <c r="E49" s="19">
        <f>SUM(E47:E47)</f>
        <v>22238</v>
      </c>
      <c r="G49" s="21">
        <f>SUM(G47:G47)</f>
        <v>-84719.620726309964</v>
      </c>
      <c r="H49" s="17">
        <f>SUM(H47:H47)</f>
        <v>0.24335000000000001</v>
      </c>
      <c r="I49" s="70">
        <f>SUM(I47:I47)</f>
        <v>-20617</v>
      </c>
    </row>
    <row r="50" spans="1:9" ht="15.75" thickTop="1" x14ac:dyDescent="0.25">
      <c r="A50" s="1"/>
      <c r="H50" s="115"/>
    </row>
    <row r="52" spans="1:9" x14ac:dyDescent="0.25">
      <c r="A52" t="s">
        <v>22</v>
      </c>
      <c r="I52" s="70">
        <f>I49</f>
        <v>-20617</v>
      </c>
    </row>
    <row r="54" spans="1:9" x14ac:dyDescent="0.25">
      <c r="A54" t="s">
        <v>24</v>
      </c>
      <c r="I54" s="29">
        <f>I41</f>
        <v>15300894.639401933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-1.3500000000000001E-3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50" t="s">
        <v>144</v>
      </c>
      <c r="B60" s="3">
        <f>Input_SEMO!H18</f>
        <v>675.91872759856642</v>
      </c>
      <c r="C60" s="3">
        <f>Input_SEMO!G18</f>
        <v>431</v>
      </c>
      <c r="D60" s="3">
        <f>+B60-C60</f>
        <v>244.91872759856642</v>
      </c>
      <c r="E60" s="3">
        <f>Input_SEMO!I18</f>
        <v>22619</v>
      </c>
      <c r="F60" s="27">
        <f>F47</f>
        <v>0.110869</v>
      </c>
      <c r="G60" s="20">
        <f>+D60*E60*$F$60</f>
        <v>614193.93766262778</v>
      </c>
      <c r="H60" s="28">
        <v>0.24335000000000001</v>
      </c>
      <c r="I60" s="70">
        <f>+ROUND(G60*H60,0)</f>
        <v>149464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675.91872759856642</v>
      </c>
      <c r="C62" s="19">
        <f>SUM(C60:C60)</f>
        <v>431</v>
      </c>
      <c r="D62" s="19">
        <f>SUM(D60:D60)</f>
        <v>244.91872759856642</v>
      </c>
      <c r="E62" s="19">
        <f>SUM(E60:E60)</f>
        <v>22619</v>
      </c>
      <c r="G62" s="21">
        <f>SUM(G60:G60)</f>
        <v>614193.93766262778</v>
      </c>
      <c r="H62" s="17">
        <f>SUM(H60:H60)</f>
        <v>0.24335000000000001</v>
      </c>
      <c r="I62" s="70">
        <f>SUM(I60:I60)</f>
        <v>149464</v>
      </c>
    </row>
    <row r="63" spans="1:9" ht="15.75" thickTop="1" x14ac:dyDescent="0.25">
      <c r="A63" s="1"/>
      <c r="H63" s="115"/>
    </row>
    <row r="65" spans="1:9" x14ac:dyDescent="0.25">
      <c r="A65" t="s">
        <v>22</v>
      </c>
      <c r="I65" s="70">
        <f>I62</f>
        <v>149464</v>
      </c>
    </row>
    <row r="67" spans="1:9" x14ac:dyDescent="0.25">
      <c r="A67" t="s">
        <v>24</v>
      </c>
      <c r="I67" s="29">
        <f>I54</f>
        <v>15300894.639401933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9.7699999999999992E-3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">
        <v>1</v>
      </c>
      <c r="B73" s="3">
        <f>Input_SEMO!H21</f>
        <v>1025.9035304659499</v>
      </c>
      <c r="C73" s="3">
        <f>Input_SEMO!G21</f>
        <v>922</v>
      </c>
      <c r="D73" s="3">
        <f>+B73-C73</f>
        <v>103.90353046594987</v>
      </c>
      <c r="E73" s="3">
        <f>Input_SEMO!I21</f>
        <v>22757</v>
      </c>
      <c r="F73" s="27">
        <f>F60</f>
        <v>0.110869</v>
      </c>
      <c r="G73" s="20">
        <f>+D73*E73*$F$73</f>
        <v>262153.36957610335</v>
      </c>
      <c r="H73" s="28">
        <v>0.24335000000000001</v>
      </c>
      <c r="I73" s="70">
        <f>+ROUND(G73*H73,0)</f>
        <v>63795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1025.9035304659499</v>
      </c>
      <c r="C75" s="19">
        <f>SUM(C73:C73)</f>
        <v>922</v>
      </c>
      <c r="D75" s="19">
        <f>SUM(D73:D73)</f>
        <v>103.90353046594987</v>
      </c>
      <c r="E75" s="19">
        <f>SUM(E73:E73)</f>
        <v>22757</v>
      </c>
      <c r="G75" s="21">
        <f>SUM(G73:G73)</f>
        <v>262153.36957610335</v>
      </c>
      <c r="H75" s="17">
        <f>SUM(H73:H73)</f>
        <v>0.24335000000000001</v>
      </c>
      <c r="I75" s="70">
        <f>SUM(I73:I73)</f>
        <v>63795</v>
      </c>
    </row>
    <row r="76" spans="1:9" ht="15.75" thickTop="1" x14ac:dyDescent="0.25">
      <c r="A76" s="1"/>
    </row>
    <row r="78" spans="1:9" x14ac:dyDescent="0.25">
      <c r="A78" t="s">
        <v>22</v>
      </c>
      <c r="I78" s="70">
        <f>I75</f>
        <v>63795</v>
      </c>
    </row>
    <row r="80" spans="1:9" x14ac:dyDescent="0.25">
      <c r="A80" t="s">
        <v>24</v>
      </c>
      <c r="I80" s="29">
        <f>I67</f>
        <v>15300894.639401933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4.1700000000000001E-3</v>
      </c>
    </row>
    <row r="87" spans="1:9" x14ac:dyDescent="0.25">
      <c r="B87" s="69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M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8">
        <f>A1-1</f>
        <v>-1</v>
      </c>
      <c r="C1" s="88">
        <f t="shared" ref="C1:I1" si="0">B1-1</f>
        <v>-2</v>
      </c>
      <c r="D1" s="88">
        <f t="shared" si="0"/>
        <v>-3</v>
      </c>
      <c r="E1" s="88">
        <f t="shared" si="0"/>
        <v>-4</v>
      </c>
      <c r="F1" s="88">
        <f t="shared" si="0"/>
        <v>-5</v>
      </c>
      <c r="G1" s="88">
        <f t="shared" si="0"/>
        <v>-6</v>
      </c>
      <c r="H1" s="88">
        <f t="shared" si="0"/>
        <v>-7</v>
      </c>
      <c r="I1" s="89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3"/>
      <c r="B5" s="104" t="s">
        <v>109</v>
      </c>
      <c r="C5" s="104" t="s">
        <v>110</v>
      </c>
      <c r="D5" s="105" t="s">
        <v>111</v>
      </c>
      <c r="E5" s="104" t="s">
        <v>112</v>
      </c>
      <c r="F5" s="106" t="s">
        <v>107</v>
      </c>
      <c r="H5" s="103"/>
      <c r="I5" s="104" t="s">
        <v>124</v>
      </c>
    </row>
    <row r="6" spans="1:9" ht="6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50" t="s">
        <v>144</v>
      </c>
      <c r="B8" s="3">
        <f>Input_SEMO!H6</f>
        <v>9.3333333333333712E-2</v>
      </c>
      <c r="C8" s="3">
        <f>Input_SEMO!G6</f>
        <v>0</v>
      </c>
      <c r="D8" s="3">
        <f>+B8-C8</f>
        <v>9.3333333333333712E-2</v>
      </c>
      <c r="E8" s="3">
        <f>Input_SEMO!J6</f>
        <v>2717</v>
      </c>
      <c r="F8" s="27">
        <f>Assumptions!G7</f>
        <v>0.23716039999999999</v>
      </c>
      <c r="G8" s="20">
        <f>+D8*E8*$F$8</f>
        <v>60.140715301333579</v>
      </c>
      <c r="H8" s="28">
        <v>8.3119999999999999E-2</v>
      </c>
      <c r="I8" s="70">
        <f>+ROUND(G8*H8,0)</f>
        <v>5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9.3333333333333712E-2</v>
      </c>
      <c r="C10" s="19">
        <f>SUM(C8:C8)</f>
        <v>0</v>
      </c>
      <c r="D10" s="19">
        <f>SUM(D8:D8)</f>
        <v>9.3333333333333712E-2</v>
      </c>
      <c r="E10" s="19">
        <f>SUM(E8:E8)</f>
        <v>2717</v>
      </c>
      <c r="G10" s="21">
        <f>SUM(G8:G8)</f>
        <v>60.140715301333579</v>
      </c>
      <c r="H10" s="17">
        <f>SUM(H8:H8)</f>
        <v>8.3119999999999999E-2</v>
      </c>
      <c r="I10" s="70">
        <f>SUM(I8:I8)</f>
        <v>5</v>
      </c>
    </row>
    <row r="11" spans="1:9" ht="15.75" thickTop="1" x14ac:dyDescent="0.25">
      <c r="A11" s="1"/>
      <c r="H11" s="115"/>
    </row>
    <row r="13" spans="1:9" x14ac:dyDescent="0.25">
      <c r="A13" t="s">
        <v>22</v>
      </c>
      <c r="I13" s="70">
        <f>I10</f>
        <v>5</v>
      </c>
    </row>
    <row r="15" spans="1:9" x14ac:dyDescent="0.25">
      <c r="A15" t="s">
        <v>24</v>
      </c>
      <c r="I15" s="29">
        <f>Assumptions!G20</f>
        <v>3908443.5557121718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0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50" t="s">
        <v>144</v>
      </c>
      <c r="B21" s="3">
        <f>Input_SEMO!H9</f>
        <v>0.85489247311827943</v>
      </c>
      <c r="C21" s="3">
        <f>Input_SEMO!G9</f>
        <v>0</v>
      </c>
      <c r="D21" s="3">
        <f>+B21-C21</f>
        <v>0.85489247311827943</v>
      </c>
      <c r="E21" s="3">
        <f>Input_SEMO!J9</f>
        <v>2675</v>
      </c>
      <c r="F21" s="27">
        <f>F8</f>
        <v>0.23716039999999999</v>
      </c>
      <c r="G21" s="20">
        <f>+D21*E21*$F$8</f>
        <v>542.34726435860205</v>
      </c>
      <c r="H21" s="28">
        <v>8.3119999999999999E-2</v>
      </c>
      <c r="I21" s="70">
        <f>+ROUND(G21*H21,0)</f>
        <v>45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0.85489247311827943</v>
      </c>
      <c r="C23" s="19">
        <f>SUM(C21:C21)</f>
        <v>0</v>
      </c>
      <c r="D23" s="19">
        <f>SUM(D21:D21)</f>
        <v>0.85489247311827943</v>
      </c>
      <c r="E23" s="19">
        <f>SUM(E21:E21)</f>
        <v>2675</v>
      </c>
      <c r="G23" s="21">
        <f>SUM(G21:G21)</f>
        <v>542.34726435860205</v>
      </c>
      <c r="H23" s="17">
        <f>SUM(H21:H21)</f>
        <v>8.3119999999999999E-2</v>
      </c>
      <c r="I23" s="70">
        <f>SUM(I21:I21)</f>
        <v>45</v>
      </c>
    </row>
    <row r="24" spans="1:9" ht="15.75" thickTop="1" x14ac:dyDescent="0.25">
      <c r="A24" s="1"/>
      <c r="H24" s="115"/>
    </row>
    <row r="26" spans="1:9" x14ac:dyDescent="0.25">
      <c r="A26" t="s">
        <v>22</v>
      </c>
      <c r="I26" s="70">
        <f>I23</f>
        <v>45</v>
      </c>
    </row>
    <row r="28" spans="1:9" x14ac:dyDescent="0.25">
      <c r="A28" t="s">
        <v>24</v>
      </c>
      <c r="I28" s="29">
        <f>I15</f>
        <v>3908443.5557121718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1.0000000000000001E-5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50" t="s">
        <v>144</v>
      </c>
      <c r="B34" s="3">
        <f>Input_SEMO!H12</f>
        <v>22.008148148148145</v>
      </c>
      <c r="C34" s="3">
        <f>Input_SEMO!G12</f>
        <v>21.5</v>
      </c>
      <c r="D34" s="3">
        <f>+B34-C34</f>
        <v>0.50814814814814468</v>
      </c>
      <c r="E34" s="3">
        <f>Input_SEMO!J12</f>
        <v>2663</v>
      </c>
      <c r="F34" s="27">
        <f>F21</f>
        <v>0.23716039999999999</v>
      </c>
      <c r="G34" s="20">
        <f>+D34*E34*$F$8</f>
        <v>320.92510193125702</v>
      </c>
      <c r="H34" s="28">
        <v>8.3119999999999999E-2</v>
      </c>
      <c r="I34" s="70">
        <f>+ROUND(G34*H34,0)</f>
        <v>27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22.008148148148145</v>
      </c>
      <c r="C36" s="19">
        <f>SUM(C34:C34)</f>
        <v>21.5</v>
      </c>
      <c r="D36" s="19">
        <f>SUM(D34:D34)</f>
        <v>0.50814814814814468</v>
      </c>
      <c r="E36" s="19">
        <f>SUM(E34:E34)</f>
        <v>2663</v>
      </c>
      <c r="G36" s="21">
        <f>SUM(G34:G34)</f>
        <v>320.92510193125702</v>
      </c>
      <c r="H36" s="17">
        <f>SUM(H34:H34)</f>
        <v>8.3119999999999999E-2</v>
      </c>
      <c r="I36" s="70">
        <f>SUM(I34:I34)</f>
        <v>27</v>
      </c>
    </row>
    <row r="37" spans="1:9" ht="15.75" thickTop="1" x14ac:dyDescent="0.25">
      <c r="A37" s="1"/>
      <c r="H37" s="115"/>
    </row>
    <row r="39" spans="1:9" x14ac:dyDescent="0.25">
      <c r="A39" t="s">
        <v>22</v>
      </c>
      <c r="I39" s="70">
        <f>I36</f>
        <v>27</v>
      </c>
    </row>
    <row r="41" spans="1:9" x14ac:dyDescent="0.25">
      <c r="A41" t="s">
        <v>24</v>
      </c>
      <c r="I41" s="29">
        <f>I28</f>
        <v>3908443.5557121718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1.0000000000000001E-5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50" t="s">
        <v>144</v>
      </c>
      <c r="B47" s="3">
        <f>Input_SEMO!H15</f>
        <v>172.13802270011948</v>
      </c>
      <c r="C47" s="3">
        <f>Input_SEMO!G15</f>
        <v>206.5</v>
      </c>
      <c r="D47" s="3">
        <f>+B47-C47</f>
        <v>-34.361977299880522</v>
      </c>
      <c r="E47" s="3">
        <f>Input_SEMO!J15</f>
        <v>2669</v>
      </c>
      <c r="F47" s="27">
        <f>F34</f>
        <v>0.23716039999999999</v>
      </c>
      <c r="G47" s="20">
        <f>+D47*E47*$F$8</f>
        <v>-21750.482450604432</v>
      </c>
      <c r="H47" s="28">
        <v>8.3119999999999999E-2</v>
      </c>
      <c r="I47" s="70">
        <f>+ROUND(G47*H47,0)</f>
        <v>-1808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172.13802270011948</v>
      </c>
      <c r="C49" s="19">
        <f>SUM(C47:C47)</f>
        <v>206.5</v>
      </c>
      <c r="D49" s="19">
        <f>SUM(D47:D47)</f>
        <v>-34.361977299880522</v>
      </c>
      <c r="E49" s="19">
        <f>SUM(E47:E47)</f>
        <v>2669</v>
      </c>
      <c r="G49" s="21">
        <f>SUM(G47:G47)</f>
        <v>-21750.482450604432</v>
      </c>
      <c r="H49" s="17">
        <f>SUM(H47:H47)</f>
        <v>8.3119999999999999E-2</v>
      </c>
      <c r="I49" s="70">
        <f>SUM(I47:I47)</f>
        <v>-1808</v>
      </c>
    </row>
    <row r="50" spans="1:9" ht="15.75" thickTop="1" x14ac:dyDescent="0.25">
      <c r="A50" s="1"/>
      <c r="H50" s="115"/>
    </row>
    <row r="52" spans="1:9" x14ac:dyDescent="0.25">
      <c r="A52" t="s">
        <v>22</v>
      </c>
      <c r="I52" s="70">
        <f>I49</f>
        <v>-1808</v>
      </c>
    </row>
    <row r="54" spans="1:9" x14ac:dyDescent="0.25">
      <c r="A54" t="s">
        <v>24</v>
      </c>
      <c r="I54" s="29">
        <f>I41</f>
        <v>3908443.5557121718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-4.6000000000000001E-4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50" t="s">
        <v>144</v>
      </c>
      <c r="B60" s="3">
        <f>Input_SEMO!H18</f>
        <v>675.91872759856642</v>
      </c>
      <c r="C60" s="3">
        <f>Input_SEMO!G18</f>
        <v>431</v>
      </c>
      <c r="D60" s="3">
        <f>+B60-C60</f>
        <v>244.91872759856642</v>
      </c>
      <c r="E60" s="3">
        <f>Input_SEMO!J18</f>
        <v>2712</v>
      </c>
      <c r="F60" s="27">
        <f>F47</f>
        <v>0.23716039999999999</v>
      </c>
      <c r="G60" s="20">
        <f>+D60*E60*$F$8</f>
        <v>157526.58347372824</v>
      </c>
      <c r="H60" s="28">
        <v>8.3119999999999999E-2</v>
      </c>
      <c r="I60" s="70">
        <f>+ROUND(G60*H60,0)</f>
        <v>13094</v>
      </c>
    </row>
    <row r="61" spans="1:9" ht="15.75" customHeight="1" x14ac:dyDescent="0.25">
      <c r="A61" s="1"/>
      <c r="B61" s="3"/>
      <c r="C61" s="3"/>
      <c r="D61" s="3"/>
      <c r="E61" s="3"/>
      <c r="G61" s="20"/>
      <c r="I61" s="2"/>
    </row>
    <row r="62" spans="1:9" ht="15.75" customHeight="1" thickBot="1" x14ac:dyDescent="0.3">
      <c r="A62" s="1" t="s">
        <v>17</v>
      </c>
      <c r="B62" s="19">
        <f>SUM(B60:B60)</f>
        <v>675.91872759856642</v>
      </c>
      <c r="C62" s="19">
        <f>SUM(C60:C60)</f>
        <v>431</v>
      </c>
      <c r="D62" s="19">
        <f>SUM(D60:D60)</f>
        <v>244.91872759856642</v>
      </c>
      <c r="E62" s="19">
        <f>SUM(E60:E60)</f>
        <v>2712</v>
      </c>
      <c r="G62" s="21">
        <f>SUM(G60:G60)</f>
        <v>157526.58347372824</v>
      </c>
      <c r="H62" s="17">
        <f>SUM(H60:H60)</f>
        <v>8.3119999999999999E-2</v>
      </c>
      <c r="I62" s="70">
        <f>SUM(I60:I60)</f>
        <v>13094</v>
      </c>
    </row>
    <row r="63" spans="1:9" ht="15.75" customHeight="1" thickTop="1" x14ac:dyDescent="0.25">
      <c r="A63" s="1"/>
      <c r="H63" s="115"/>
    </row>
    <row r="64" spans="1:9" ht="15.75" customHeight="1" x14ac:dyDescent="0.25"/>
    <row r="65" spans="1:9" ht="15.75" customHeight="1" x14ac:dyDescent="0.25">
      <c r="A65" t="s">
        <v>22</v>
      </c>
      <c r="I65" s="70">
        <f>I62</f>
        <v>13094</v>
      </c>
    </row>
    <row r="66" spans="1:9" ht="15.75" customHeight="1" x14ac:dyDescent="0.25"/>
    <row r="67" spans="1:9" ht="15.75" customHeight="1" x14ac:dyDescent="0.25">
      <c r="A67" t="s">
        <v>24</v>
      </c>
      <c r="I67" s="29">
        <f>I54</f>
        <v>3908443.5557121718</v>
      </c>
    </row>
    <row r="68" spans="1:9" ht="15.75" customHeight="1" x14ac:dyDescent="0.25"/>
    <row r="69" spans="1:9" ht="15.75" customHeight="1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3.3500000000000001E-3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8" t="str">
        <f>'CSWNA Summary'!A13&amp;" Billing Cycle"</f>
        <v>December 2020 Billing Cycle</v>
      </c>
    </row>
    <row r="73" spans="1:9" ht="15.75" customHeight="1" x14ac:dyDescent="0.25">
      <c r="A73" s="150" t="s">
        <v>144</v>
      </c>
      <c r="B73" s="3">
        <f>Input_SEMO!H21</f>
        <v>1025.9035304659499</v>
      </c>
      <c r="C73" s="3">
        <f>Input_SEMO!G21</f>
        <v>922</v>
      </c>
      <c r="D73" s="3">
        <f>+B73-C73</f>
        <v>103.90353046594987</v>
      </c>
      <c r="E73" s="3">
        <f>Input_SEMO!J21</f>
        <v>2752</v>
      </c>
      <c r="F73" s="27">
        <f>F60</f>
        <v>0.23716039999999999</v>
      </c>
      <c r="G73" s="20">
        <f>+D73*E73*$F$8</f>
        <v>67814.241434164782</v>
      </c>
      <c r="H73" s="28">
        <v>8.3119999999999999E-2</v>
      </c>
      <c r="I73" s="70">
        <f>+ROUND(G73*H73,0)</f>
        <v>5637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1025.9035304659499</v>
      </c>
      <c r="C75" s="19">
        <f>SUM(C73:C73)</f>
        <v>922</v>
      </c>
      <c r="D75" s="19">
        <f>SUM(D73:D73)</f>
        <v>103.90353046594987</v>
      </c>
      <c r="E75" s="19">
        <f>SUM(E73:E73)</f>
        <v>2752</v>
      </c>
      <c r="G75" s="21">
        <f>SUM(G73:G73)</f>
        <v>67814.241434164782</v>
      </c>
      <c r="H75" s="17">
        <f>SUM(H73:H73)</f>
        <v>8.3119999999999999E-2</v>
      </c>
      <c r="I75" s="70">
        <f>SUM(I73:I73)</f>
        <v>5637</v>
      </c>
    </row>
    <row r="76" spans="1:9" ht="15.75" thickTop="1" x14ac:dyDescent="0.25">
      <c r="A76" s="1"/>
    </row>
    <row r="78" spans="1:9" x14ac:dyDescent="0.25">
      <c r="A78" t="s">
        <v>22</v>
      </c>
      <c r="I78" s="70">
        <f>I75</f>
        <v>5637</v>
      </c>
    </row>
    <row r="80" spans="1:9" x14ac:dyDescent="0.25">
      <c r="A80" t="s">
        <v>24</v>
      </c>
      <c r="I80" s="29">
        <f>I67</f>
        <v>3908443.5557121718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1.4400000000000001E-3</v>
      </c>
    </row>
    <row r="87" spans="1:9" x14ac:dyDescent="0.25">
      <c r="B87" s="69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41</vt:i4>
      </vt:variant>
    </vt:vector>
  </HeadingPairs>
  <TitlesOfParts>
    <vt:vector size="71" baseType="lpstr">
      <vt:lpstr> Rates - Sheets 67.2-67.5</vt:lpstr>
      <vt:lpstr>CSWNA Summary</vt:lpstr>
      <vt:lpstr>WNA Excess Limit Balance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SRR Summary</vt:lpstr>
      <vt:lpstr>SRR Res NEMO</vt:lpstr>
      <vt:lpstr>SRR Res WEMO</vt:lpstr>
      <vt:lpstr>SRR SGS NEMO</vt:lpstr>
      <vt:lpstr> SRR SGS WEMO</vt:lpstr>
      <vt:lpstr>SRR Res SEMO</vt:lpstr>
      <vt:lpstr>SRR SGS SEMO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 Ranked NHDD</vt:lpstr>
      <vt:lpstr>Actual_Kirk_HDD</vt:lpstr>
      <vt:lpstr>Actual_CGI_HDD</vt:lpstr>
      <vt:lpstr>Meter Reading_NEMO</vt:lpstr>
      <vt:lpstr>Meter Reading_WEMO</vt:lpstr>
      <vt:lpstr>Meter Reading_SEMO</vt:lpstr>
      <vt:lpstr>Acctg Recon</vt:lpstr>
      <vt:lpstr>' Rates - Sheets 67.2-67.5'!Print_Area</vt:lpstr>
      <vt:lpstr>' SRR SGS WEMO'!Print_Area</vt:lpstr>
      <vt:lpstr>'Acctg Recon'!Print_Area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'SRR Res NEMO'!Print_Area</vt:lpstr>
      <vt:lpstr>'SRR Res SEMO'!Print_Area</vt:lpstr>
      <vt:lpstr>'SRR Res WEMO'!Print_Area</vt:lpstr>
      <vt:lpstr>'SRR SGS NEMO'!Print_Area</vt:lpstr>
      <vt:lpstr>'SRR SGS SEMO'!Print_Area</vt:lpstr>
      <vt:lpstr>'SRR Summary'!Print_Area</vt:lpstr>
      <vt:lpstr>'Staff Ranked NHDD'!Print_Area</vt:lpstr>
      <vt:lpstr>'WNA Excess Limit Balance'!Print_Area</vt:lpstr>
      <vt:lpstr>' Rates - Sheets 67.2-67.5'!Print_Titles</vt:lpstr>
      <vt:lpstr>'Acctg Recon'!Print_Titles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'Staff Ranked NHDD'!Print_Titles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John Cogan</cp:lastModifiedBy>
  <cp:lastPrinted>2021-02-23T21:54:36Z</cp:lastPrinted>
  <dcterms:created xsi:type="dcterms:W3CDTF">2018-08-13T13:34:05Z</dcterms:created>
  <dcterms:modified xsi:type="dcterms:W3CDTF">2021-03-12T19:03:10Z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