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as22\regulatory\Regulatory\Regulatory Accounting\Projects\KCPL-MO and GMO MEEIA Cycle 2\Semi-Annual Filing\GMO\2019 05 - filed June 5, 2019\"/>
    </mc:Choice>
  </mc:AlternateContent>
  <xr:revisionPtr revIDLastSave="0" documentId="13_ncr:1_{60920E6C-7F28-404A-835C-2F848F67D428}" xr6:coauthVersionLast="36" xr6:coauthVersionMax="36" xr10:uidLastSave="{00000000-0000-0000-0000-000000000000}"/>
  <bookViews>
    <workbookView xWindow="120" yWindow="225" windowWidth="15240" windowHeight="4605" xr2:uid="{00000000-000D-0000-FFFF-FFFF00000000}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6" l="1"/>
  <c r="D24" i="16"/>
  <c r="D39" i="16"/>
  <c r="D23" i="16"/>
  <c r="K13" i="15" l="1"/>
  <c r="J13" i="15"/>
  <c r="C10" i="10" l="1"/>
  <c r="D5" i="10"/>
  <c r="A31" i="10"/>
  <c r="A27" i="10"/>
  <c r="A28" i="10"/>
  <c r="A29" i="10" s="1"/>
  <c r="A30" i="10" s="1"/>
  <c r="A26" i="10"/>
  <c r="I36" i="11"/>
  <c r="H36" i="11"/>
  <c r="G36" i="11"/>
  <c r="F36" i="11"/>
  <c r="E36" i="11"/>
  <c r="D36" i="11"/>
  <c r="D30" i="16" l="1"/>
  <c r="D12" i="16" l="1"/>
  <c r="D29" i="16" l="1"/>
  <c r="I13" i="15" l="1"/>
  <c r="H13" i="15"/>
  <c r="G13" i="15"/>
  <c r="F13" i="15"/>
  <c r="E13" i="15"/>
  <c r="D13" i="15"/>
  <c r="I12" i="15"/>
  <c r="H12" i="15"/>
  <c r="G12" i="15"/>
  <c r="F12" i="15"/>
  <c r="E12" i="15"/>
  <c r="D12" i="15"/>
  <c r="I11" i="15"/>
  <c r="H11" i="15"/>
  <c r="G11" i="15"/>
  <c r="F11" i="15"/>
  <c r="E11" i="15"/>
  <c r="D11" i="15"/>
  <c r="I10" i="15"/>
  <c r="H10" i="15"/>
  <c r="G10" i="15"/>
  <c r="F10" i="15"/>
  <c r="E10" i="15"/>
  <c r="D10" i="15"/>
  <c r="I38" i="1" l="1"/>
  <c r="B28" i="10" s="1"/>
  <c r="H38" i="1"/>
  <c r="B27" i="10" s="1"/>
  <c r="G38" i="1"/>
  <c r="B26" i="10" s="1"/>
  <c r="F38" i="1"/>
  <c r="B25" i="10" s="1"/>
  <c r="D25" i="10" s="1"/>
  <c r="E38" i="1"/>
  <c r="D38" i="1"/>
  <c r="D26" i="10" l="1"/>
  <c r="D27" i="10" s="1"/>
  <c r="D28" i="10" s="1"/>
  <c r="L22" i="1"/>
  <c r="K22" i="1"/>
  <c r="L21" i="1"/>
  <c r="K21" i="1"/>
  <c r="J22" i="1"/>
  <c r="J21" i="1"/>
  <c r="B6" i="4"/>
  <c r="B5" i="4"/>
  <c r="E20" i="16" l="1"/>
  <c r="E19" i="16"/>
  <c r="E24" i="16" l="1"/>
  <c r="E23" i="16"/>
  <c r="F19" i="16"/>
  <c r="F20" i="16"/>
  <c r="F23" i="16" l="1"/>
  <c r="G20" i="16"/>
  <c r="G19" i="16"/>
  <c r="G23" i="16" l="1"/>
  <c r="G24" i="16"/>
  <c r="H20" i="16"/>
  <c r="H19" i="16"/>
  <c r="H23" i="16" l="1"/>
  <c r="H24" i="16"/>
  <c r="I19" i="16"/>
  <c r="I20" i="16"/>
  <c r="I23" i="16" l="1"/>
  <c r="I24" i="16"/>
  <c r="J20" i="16"/>
  <c r="J19" i="16"/>
  <c r="J23" i="16"/>
  <c r="J24" i="16"/>
  <c r="F24" i="16" l="1"/>
  <c r="I17" i="9" l="1"/>
  <c r="I16" i="9"/>
  <c r="H17" i="9"/>
  <c r="H16" i="9"/>
  <c r="G17" i="9"/>
  <c r="G16" i="9"/>
  <c r="F17" i="9"/>
  <c r="F16" i="9"/>
  <c r="J16" i="16"/>
  <c r="J15" i="16"/>
  <c r="I16" i="16"/>
  <c r="I15" i="16"/>
  <c r="H16" i="16"/>
  <c r="H15" i="16"/>
  <c r="G16" i="16"/>
  <c r="G15" i="16"/>
  <c r="I16" i="11"/>
  <c r="I15" i="11"/>
  <c r="H16" i="11"/>
  <c r="H15" i="11"/>
  <c r="G16" i="11"/>
  <c r="G15" i="11"/>
  <c r="F16" i="11"/>
  <c r="F15" i="11"/>
  <c r="I26" i="15"/>
  <c r="I25" i="15"/>
  <c r="H26" i="15"/>
  <c r="H25" i="15"/>
  <c r="G26" i="15"/>
  <c r="G25" i="15"/>
  <c r="F26" i="15"/>
  <c r="F25" i="15"/>
  <c r="I22" i="15"/>
  <c r="I21" i="15"/>
  <c r="H22" i="15"/>
  <c r="H21" i="15"/>
  <c r="G22" i="15"/>
  <c r="G21" i="15"/>
  <c r="F22" i="15"/>
  <c r="F21" i="15"/>
  <c r="I26" i="1"/>
  <c r="I25" i="1"/>
  <c r="H26" i="1"/>
  <c r="H25" i="1"/>
  <c r="G26" i="1"/>
  <c r="G25" i="1"/>
  <c r="F26" i="1"/>
  <c r="F25" i="1"/>
  <c r="I22" i="1"/>
  <c r="I21" i="1"/>
  <c r="H22" i="1"/>
  <c r="H21" i="1"/>
  <c r="G22" i="1"/>
  <c r="G21" i="1"/>
  <c r="F22" i="1"/>
  <c r="F21" i="1"/>
  <c r="E17" i="9" l="1"/>
  <c r="E16" i="9"/>
  <c r="D17" i="9"/>
  <c r="D16" i="9"/>
  <c r="F16" i="16"/>
  <c r="F15" i="16"/>
  <c r="E16" i="16"/>
  <c r="E15" i="16"/>
  <c r="E16" i="11"/>
  <c r="E15" i="11"/>
  <c r="D16" i="11"/>
  <c r="D15" i="11"/>
  <c r="E26" i="15"/>
  <c r="E25" i="15"/>
  <c r="D26" i="15"/>
  <c r="D25" i="15"/>
  <c r="E22" i="15"/>
  <c r="E21" i="15"/>
  <c r="D22" i="15"/>
  <c r="D21" i="15"/>
  <c r="E26" i="1"/>
  <c r="E25" i="1"/>
  <c r="D26" i="1"/>
  <c r="D25" i="1"/>
  <c r="E22" i="1"/>
  <c r="E21" i="1"/>
  <c r="D22" i="1"/>
  <c r="D21" i="1"/>
  <c r="C30" i="16" l="1"/>
  <c r="C34" i="16" s="1"/>
  <c r="D34" i="16" s="1"/>
  <c r="C29" i="16"/>
  <c r="C33" i="16" s="1"/>
  <c r="D33" i="16" s="1"/>
  <c r="B43" i="16" l="1"/>
  <c r="B45" i="15" l="1"/>
  <c r="A2" i="10" l="1"/>
  <c r="E9" i="1"/>
  <c r="F9" i="1" s="1"/>
  <c r="G9" i="1" s="1"/>
  <c r="H9" i="1" s="1"/>
  <c r="I9" i="1" s="1"/>
  <c r="J9" i="1" s="1"/>
  <c r="K9" i="1" s="1"/>
  <c r="L9" i="1" s="1"/>
  <c r="A1" i="10" l="1"/>
  <c r="C23" i="9" l="1"/>
  <c r="C22" i="9"/>
  <c r="C8" i="9" l="1"/>
  <c r="B8" i="9"/>
  <c r="D9" i="9" l="1"/>
  <c r="E9" i="9" s="1"/>
  <c r="F9" i="9" s="1"/>
  <c r="G9" i="9" s="1"/>
  <c r="H9" i="9" s="1"/>
  <c r="I9" i="9" s="1"/>
  <c r="J9" i="9" s="1"/>
  <c r="K9" i="9" s="1"/>
  <c r="L9" i="9" s="1"/>
  <c r="I29" i="9" l="1"/>
  <c r="A1" i="8" l="1"/>
  <c r="H29" i="9" l="1"/>
  <c r="G29" i="9"/>
  <c r="F29" i="9"/>
  <c r="E29" i="9"/>
  <c r="D29" i="9" l="1"/>
  <c r="B36" i="9" l="1"/>
  <c r="C36" i="9" s="1"/>
  <c r="L34" i="9"/>
  <c r="H23" i="9"/>
  <c r="H22" i="9"/>
  <c r="G22" i="9"/>
  <c r="D23" i="9"/>
  <c r="F23" i="9"/>
  <c r="E23" i="9"/>
  <c r="D22" i="9"/>
  <c r="G5" i="9"/>
  <c r="G4" i="9"/>
  <c r="A1" i="9"/>
  <c r="G6" i="9" l="1"/>
  <c r="E22" i="9"/>
  <c r="F22" i="9"/>
  <c r="G23" i="9"/>
  <c r="E5" i="9"/>
  <c r="C26" i="9"/>
  <c r="C27" i="9"/>
  <c r="J29" i="9"/>
  <c r="K29" i="9" s="1"/>
  <c r="E4" i="9" l="1"/>
  <c r="E6" i="9" s="1"/>
  <c r="D26" i="9"/>
  <c r="D31" i="9"/>
  <c r="D32" i="9"/>
  <c r="D27" i="9"/>
  <c r="D36" i="9" l="1"/>
  <c r="D34" i="9"/>
  <c r="E31" i="9"/>
  <c r="E26" i="9"/>
  <c r="E32" i="9"/>
  <c r="E27" i="9"/>
  <c r="A2" i="8"/>
  <c r="E36" i="9" l="1"/>
  <c r="E34" i="9"/>
  <c r="F27" i="9"/>
  <c r="F32" i="9"/>
  <c r="D33" i="9"/>
  <c r="F31" i="9"/>
  <c r="F26" i="9"/>
  <c r="F36" i="9" l="1"/>
  <c r="F34" i="9"/>
  <c r="G26" i="9"/>
  <c r="G31" i="9"/>
  <c r="E33" i="9"/>
  <c r="G32" i="9"/>
  <c r="G27" i="9"/>
  <c r="E10" i="8"/>
  <c r="G36" i="9" l="1"/>
  <c r="H32" i="9"/>
  <c r="H27" i="9"/>
  <c r="G34" i="9"/>
  <c r="F33" i="9"/>
  <c r="H31" i="9"/>
  <c r="H26" i="9"/>
  <c r="H36" i="9" l="1"/>
  <c r="H34" i="9"/>
  <c r="G33" i="9"/>
  <c r="H33" i="9" l="1"/>
  <c r="L17" i="9" l="1"/>
  <c r="L23" i="9" s="1"/>
  <c r="L16" i="9"/>
  <c r="L22" i="9" s="1"/>
  <c r="B10" i="8" l="1"/>
  <c r="C8" i="8" s="1"/>
  <c r="D8" i="8" s="1"/>
  <c r="F8" i="8" s="1"/>
  <c r="G8" i="8" s="1"/>
  <c r="C9" i="8" l="1"/>
  <c r="E10" i="5" l="1"/>
  <c r="D9" i="8"/>
  <c r="F9" i="8" s="1"/>
  <c r="G9" i="8" s="1"/>
  <c r="C10" i="8"/>
  <c r="F10" i="8" l="1"/>
  <c r="D10" i="8"/>
  <c r="D11" i="8" s="1"/>
  <c r="E11" i="5" l="1"/>
  <c r="G10" i="8"/>
  <c r="K17" i="9" l="1"/>
  <c r="K23" i="9" s="1"/>
  <c r="J17" i="9"/>
  <c r="K16" i="9"/>
  <c r="J16" i="9"/>
  <c r="J23" i="9" l="1"/>
  <c r="K22" i="9"/>
  <c r="J22" i="9"/>
  <c r="D4" i="9"/>
  <c r="I22" i="9"/>
  <c r="I23" i="9"/>
  <c r="D5" i="9"/>
  <c r="F5" i="9" s="1"/>
  <c r="C10" i="16"/>
  <c r="B10" i="16"/>
  <c r="H12" i="11"/>
  <c r="G12" i="11"/>
  <c r="F12" i="11"/>
  <c r="E12" i="11"/>
  <c r="D12" i="11"/>
  <c r="H38" i="15"/>
  <c r="I36" i="16" s="1"/>
  <c r="G38" i="15"/>
  <c r="H36" i="16" s="1"/>
  <c r="F38" i="15"/>
  <c r="G36" i="16" s="1"/>
  <c r="E38" i="15"/>
  <c r="F36" i="16" s="1"/>
  <c r="D38" i="15"/>
  <c r="E36" i="16" s="1"/>
  <c r="C17" i="15"/>
  <c r="C18" i="15"/>
  <c r="C8" i="15"/>
  <c r="B8" i="15"/>
  <c r="I32" i="9" l="1"/>
  <c r="I27" i="9"/>
  <c r="I31" i="9"/>
  <c r="I26" i="9"/>
  <c r="D6" i="9"/>
  <c r="F4" i="9"/>
  <c r="C18" i="1"/>
  <c r="C17" i="1"/>
  <c r="H18" i="1"/>
  <c r="G18" i="1"/>
  <c r="F18" i="1"/>
  <c r="E18" i="1"/>
  <c r="D18" i="1"/>
  <c r="H17" i="1"/>
  <c r="G17" i="1"/>
  <c r="F17" i="1"/>
  <c r="E17" i="1"/>
  <c r="D17" i="1"/>
  <c r="I36" i="9" l="1"/>
  <c r="I33" i="9" s="1"/>
  <c r="J26" i="9"/>
  <c r="J31" i="9"/>
  <c r="F6" i="9"/>
  <c r="J32" i="9"/>
  <c r="J27" i="9"/>
  <c r="I34" i="9"/>
  <c r="J36" i="9" l="1"/>
  <c r="J33" i="9" s="1"/>
  <c r="K27" i="9"/>
  <c r="K32" i="9"/>
  <c r="H5" i="9" s="1"/>
  <c r="I5" i="9" s="1"/>
  <c r="J34" i="9"/>
  <c r="K31" i="9"/>
  <c r="K26" i="9"/>
  <c r="H5" i="11"/>
  <c r="H4" i="11"/>
  <c r="E17" i="5" l="1"/>
  <c r="K36" i="9"/>
  <c r="L36" i="9" s="1"/>
  <c r="K34" i="9"/>
  <c r="H4" i="9"/>
  <c r="L27" i="9"/>
  <c r="J5" i="9" s="1"/>
  <c r="L26" i="9"/>
  <c r="I38" i="15"/>
  <c r="L33" i="9" l="1"/>
  <c r="K33" i="9"/>
  <c r="H6" i="9"/>
  <c r="I4" i="9"/>
  <c r="M20" i="11"/>
  <c r="E16" i="5" l="1"/>
  <c r="E5" i="5"/>
  <c r="J4" i="9"/>
  <c r="I6" i="9"/>
  <c r="H18" i="15"/>
  <c r="G18" i="15"/>
  <c r="F18" i="15"/>
  <c r="E18" i="15"/>
  <c r="D18" i="15"/>
  <c r="H17" i="15"/>
  <c r="G17" i="15"/>
  <c r="F17" i="15"/>
  <c r="E17" i="15"/>
  <c r="D17" i="15"/>
  <c r="I18" i="15"/>
  <c r="I17" i="15"/>
  <c r="B43" i="11" l="1"/>
  <c r="E4" i="5" l="1"/>
  <c r="B45" i="1"/>
  <c r="C45" i="1" s="1"/>
  <c r="J36" i="16" l="1"/>
  <c r="L22" i="15" l="1"/>
  <c r="K22" i="15"/>
  <c r="J22" i="15"/>
  <c r="L21" i="15"/>
  <c r="K21" i="15"/>
  <c r="J21" i="15"/>
  <c r="J38" i="15"/>
  <c r="D9" i="15"/>
  <c r="E9" i="15" s="1"/>
  <c r="F9" i="15" s="1"/>
  <c r="G9" i="15" s="1"/>
  <c r="H9" i="15" s="1"/>
  <c r="I9" i="15" s="1"/>
  <c r="J9" i="15" s="1"/>
  <c r="K9" i="15" s="1"/>
  <c r="L9" i="15" s="1"/>
  <c r="J25" i="15" l="1"/>
  <c r="K36" i="16"/>
  <c r="M19" i="11"/>
  <c r="C10" i="11" l="1"/>
  <c r="B10" i="11"/>
  <c r="J38" i="1" l="1"/>
  <c r="B29" i="10" s="1"/>
  <c r="D29" i="10" s="1"/>
  <c r="C43" i="16" l="1"/>
  <c r="D43" i="16" s="1"/>
  <c r="M16" i="16"/>
  <c r="M30" i="16" s="1"/>
  <c r="L16" i="16"/>
  <c r="K16" i="16"/>
  <c r="M15" i="16"/>
  <c r="M29" i="16" s="1"/>
  <c r="L15" i="16"/>
  <c r="K15" i="16"/>
  <c r="E11" i="16"/>
  <c r="F11" i="16" s="1"/>
  <c r="G11" i="16" s="1"/>
  <c r="H11" i="16" s="1"/>
  <c r="I11" i="16" s="1"/>
  <c r="J11" i="16" s="1"/>
  <c r="K11" i="16" s="1"/>
  <c r="L11" i="16" s="1"/>
  <c r="M11" i="16" s="1"/>
  <c r="I5" i="16"/>
  <c r="I4" i="16"/>
  <c r="A1" i="16"/>
  <c r="C45" i="15"/>
  <c r="L43" i="15"/>
  <c r="K38" i="15"/>
  <c r="C32" i="15"/>
  <c r="C36" i="15" s="1"/>
  <c r="C31" i="15"/>
  <c r="C35" i="15" s="1"/>
  <c r="L26" i="15"/>
  <c r="K26" i="15"/>
  <c r="J26" i="15"/>
  <c r="A26" i="15"/>
  <c r="L25" i="15"/>
  <c r="K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H6" i="15" l="1"/>
  <c r="D36" i="15"/>
  <c r="D41" i="15"/>
  <c r="D35" i="15"/>
  <c r="D40" i="15"/>
  <c r="D43" i="15" s="1"/>
  <c r="D5" i="15"/>
  <c r="L36" i="16"/>
  <c r="I6" i="16"/>
  <c r="E6" i="15"/>
  <c r="D4" i="15"/>
  <c r="L32" i="15"/>
  <c r="L31" i="15"/>
  <c r="E5" i="16"/>
  <c r="E4" i="16"/>
  <c r="G32" i="15"/>
  <c r="E35" i="15" l="1"/>
  <c r="E36" i="15"/>
  <c r="E40" i="15"/>
  <c r="E41" i="15"/>
  <c r="D6" i="15"/>
  <c r="E6" i="16"/>
  <c r="D45" i="15"/>
  <c r="D42" i="15" s="1"/>
  <c r="F36" i="15" l="1"/>
  <c r="F35" i="15"/>
  <c r="F40" i="15"/>
  <c r="F41" i="15"/>
  <c r="E43" i="15"/>
  <c r="E45" i="15"/>
  <c r="E42" i="15" s="1"/>
  <c r="K16" i="11"/>
  <c r="J16" i="11"/>
  <c r="K15" i="11"/>
  <c r="J15" i="11"/>
  <c r="F43" i="15" l="1"/>
  <c r="G41" i="15"/>
  <c r="G40" i="15"/>
  <c r="G36" i="15"/>
  <c r="G35" i="15"/>
  <c r="F45" i="15"/>
  <c r="F42" i="15" s="1"/>
  <c r="F5" i="11"/>
  <c r="F4" i="11"/>
  <c r="H41" i="15" l="1"/>
  <c r="H40" i="15"/>
  <c r="H35" i="15"/>
  <c r="G43" i="15"/>
  <c r="H36" i="15"/>
  <c r="K38" i="1"/>
  <c r="B30" i="10" s="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B31" i="10" l="1"/>
  <c r="D30" i="10"/>
  <c r="I36" i="15"/>
  <c r="I41" i="15"/>
  <c r="I35" i="15"/>
  <c r="I40" i="15"/>
  <c r="H45" i="15"/>
  <c r="H42" i="15" s="1"/>
  <c r="H43" i="15"/>
  <c r="K31" i="1"/>
  <c r="J32" i="1"/>
  <c r="K32" i="1"/>
  <c r="J31" i="1"/>
  <c r="D31" i="10" l="1"/>
  <c r="D32" i="10" s="1"/>
  <c r="D6" i="10" s="1"/>
  <c r="I45" i="15"/>
  <c r="D9" i="10" l="1"/>
  <c r="F11" i="5" s="1"/>
  <c r="D8" i="10"/>
  <c r="I42" i="15"/>
  <c r="I43" i="15"/>
  <c r="F10" i="5" l="1"/>
  <c r="D10" i="10"/>
  <c r="D11" i="10" s="1"/>
  <c r="H5" i="1"/>
  <c r="H4" i="1"/>
  <c r="H6" i="11" l="1"/>
  <c r="H6" i="1"/>
  <c r="C30" i="11"/>
  <c r="C34" i="11" s="1"/>
  <c r="C29" i="11"/>
  <c r="C33" i="11" s="1"/>
  <c r="C43" i="11" l="1"/>
  <c r="C32" i="1"/>
  <c r="C36" i="1" s="1"/>
  <c r="C31" i="1"/>
  <c r="C35" i="1" s="1"/>
  <c r="I12" i="11" l="1"/>
  <c r="E5" i="1" l="1"/>
  <c r="E4" i="1"/>
  <c r="H30" i="11" l="1"/>
  <c r="H29" i="11"/>
  <c r="G30" i="11"/>
  <c r="G29" i="11"/>
  <c r="F30" i="11"/>
  <c r="F29" i="11"/>
  <c r="H32" i="1"/>
  <c r="H31" i="1"/>
  <c r="F32" i="1"/>
  <c r="F31" i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F5" i="1" s="1"/>
  <c r="I17" i="1" l="1"/>
  <c r="F4" i="1" s="1"/>
  <c r="A2" i="12" l="1"/>
  <c r="D11" i="11" l="1"/>
  <c r="E11" i="11" s="1"/>
  <c r="F11" i="11" s="1"/>
  <c r="G11" i="11" s="1"/>
  <c r="H11" i="11" s="1"/>
  <c r="I11" i="11" s="1"/>
  <c r="J11" i="11" s="1"/>
  <c r="K11" i="11" s="1"/>
  <c r="L11" i="11" s="1"/>
  <c r="G6" i="4" l="1"/>
  <c r="F5" i="5" l="1"/>
  <c r="F4" i="5"/>
  <c r="E6" i="1" l="1"/>
  <c r="E31" i="1" l="1"/>
  <c r="E32" i="1"/>
  <c r="D31" i="1" l="1"/>
  <c r="D40" i="1" s="1"/>
  <c r="D32" i="1"/>
  <c r="D41" i="1" s="1"/>
  <c r="D43" i="1" l="1"/>
  <c r="D45" i="1"/>
  <c r="D35" i="1"/>
  <c r="D36" i="1"/>
  <c r="E41" i="1" l="1"/>
  <c r="E35" i="1"/>
  <c r="E40" i="1"/>
  <c r="D42" i="1" l="1"/>
  <c r="F40" i="1"/>
  <c r="E43" i="1"/>
  <c r="F35" i="1"/>
  <c r="E30" i="11"/>
  <c r="E29" i="11"/>
  <c r="G40" i="1" l="1"/>
  <c r="G35" i="1"/>
  <c r="D30" i="11"/>
  <c r="D39" i="11" s="1"/>
  <c r="D29" i="11"/>
  <c r="D38" i="11" s="1"/>
  <c r="E4" i="11"/>
  <c r="D33" i="11" l="1"/>
  <c r="E38" i="11" s="1"/>
  <c r="D34" i="11"/>
  <c r="E39" i="11" s="1"/>
  <c r="H40" i="1"/>
  <c r="H35" i="1"/>
  <c r="E5" i="11"/>
  <c r="D43" i="11" l="1"/>
  <c r="D40" i="11" s="1"/>
  <c r="E34" i="11"/>
  <c r="F39" i="11" s="1"/>
  <c r="E33" i="11"/>
  <c r="F38" i="11" s="1"/>
  <c r="F34" i="11" l="1"/>
  <c r="G39" i="11" s="1"/>
  <c r="F33" i="11"/>
  <c r="G38" i="11" s="1"/>
  <c r="D41" i="11"/>
  <c r="G34" i="11" l="1"/>
  <c r="H39" i="11" s="1"/>
  <c r="G33" i="11"/>
  <c r="H38" i="11" s="1"/>
  <c r="F41" i="11"/>
  <c r="E43" i="11"/>
  <c r="E40" i="11" s="1"/>
  <c r="E41" i="11"/>
  <c r="D5" i="11"/>
  <c r="H34" i="11" l="1"/>
  <c r="H33" i="11"/>
  <c r="D4" i="11"/>
  <c r="F43" i="11"/>
  <c r="F40" i="11" s="1"/>
  <c r="G41" i="11"/>
  <c r="G43" i="11" l="1"/>
  <c r="G40" i="11" s="1"/>
  <c r="H41" i="11"/>
  <c r="D6" i="11"/>
  <c r="F6" i="1"/>
  <c r="B7" i="4"/>
  <c r="F7" i="4"/>
  <c r="D4" i="1" l="1"/>
  <c r="D5" i="1"/>
  <c r="H43" i="11"/>
  <c r="H40" i="11" s="1"/>
  <c r="I32" i="1"/>
  <c r="I31" i="1"/>
  <c r="I35" i="1" l="1"/>
  <c r="I40" i="1"/>
  <c r="D6" i="1"/>
  <c r="G4" i="1"/>
  <c r="G5" i="5" l="1"/>
  <c r="G4" i="5"/>
  <c r="A26" i="1"/>
  <c r="M5" i="5" l="1"/>
  <c r="M4" i="5"/>
  <c r="L5" i="5"/>
  <c r="L4" i="5"/>
  <c r="H7" i="4" l="1"/>
  <c r="G7" i="4"/>
  <c r="I7" i="4" l="1"/>
  <c r="G5" i="1"/>
  <c r="G6" i="1" l="1"/>
  <c r="E36" i="1" l="1"/>
  <c r="F36" i="1" l="1"/>
  <c r="F41" i="1"/>
  <c r="F43" i="1" s="1"/>
  <c r="E45" i="1"/>
  <c r="J40" i="1" l="1"/>
  <c r="J35" i="1"/>
  <c r="E42" i="1"/>
  <c r="F45" i="1"/>
  <c r="G41" i="1"/>
  <c r="G43" i="1" s="1"/>
  <c r="G36" i="1"/>
  <c r="K40" i="1" l="1"/>
  <c r="F42" i="1"/>
  <c r="G45" i="1"/>
  <c r="H36" i="1"/>
  <c r="H41" i="1"/>
  <c r="H43" i="1" s="1"/>
  <c r="I41" i="1" l="1"/>
  <c r="I36" i="1"/>
  <c r="G42" i="1"/>
  <c r="H45" i="1"/>
  <c r="I45" i="1" l="1"/>
  <c r="I42" i="1" s="1"/>
  <c r="H42" i="1"/>
  <c r="J41" i="1" l="1"/>
  <c r="J36" i="1"/>
  <c r="K41" i="1" l="1"/>
  <c r="J45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8" i="11" l="1"/>
  <c r="I33" i="11"/>
  <c r="I39" i="11"/>
  <c r="I34" i="11"/>
  <c r="J5" i="1"/>
  <c r="I6" i="1"/>
  <c r="K42" i="1"/>
  <c r="L45" i="1"/>
  <c r="L42" i="1" s="1"/>
  <c r="F6" i="11"/>
  <c r="E6" i="11"/>
  <c r="G5" i="11"/>
  <c r="G4" i="11"/>
  <c r="I43" i="11" l="1"/>
  <c r="J36" i="11"/>
  <c r="J38" i="11" s="1"/>
  <c r="J33" i="11"/>
  <c r="J34" i="11"/>
  <c r="K5" i="1"/>
  <c r="J6" i="1"/>
  <c r="G6" i="11"/>
  <c r="I41" i="11" l="1"/>
  <c r="I40" i="11"/>
  <c r="K36" i="11"/>
  <c r="K39" i="11" s="1"/>
  <c r="J39" i="11"/>
  <c r="K34" i="11"/>
  <c r="L39" i="11" s="1"/>
  <c r="K33" i="11"/>
  <c r="L38" i="11" s="1"/>
  <c r="J43" i="11" l="1"/>
  <c r="J40" i="11" s="1"/>
  <c r="K38" i="11"/>
  <c r="M39" i="11"/>
  <c r="L33" i="11"/>
  <c r="L34" i="11"/>
  <c r="M38" i="11" l="1"/>
  <c r="J41" i="11"/>
  <c r="I5" i="11" l="1"/>
  <c r="J5" i="11" s="1"/>
  <c r="I4" i="11"/>
  <c r="J4" i="11" s="1"/>
  <c r="K43" i="11"/>
  <c r="K40" i="11" s="1"/>
  <c r="K41" i="11"/>
  <c r="K4" i="11" l="1"/>
  <c r="K5" i="11"/>
  <c r="I6" i="11"/>
  <c r="J6" i="11"/>
  <c r="L41" i="11"/>
  <c r="L43" i="11"/>
  <c r="L40" i="11" s="1"/>
  <c r="E30" i="16" l="1"/>
  <c r="E29" i="16"/>
  <c r="E38" i="16" l="1"/>
  <c r="E33" i="16"/>
  <c r="E34" i="16"/>
  <c r="E39" i="16"/>
  <c r="F30" i="16"/>
  <c r="F29" i="16"/>
  <c r="E12" i="16"/>
  <c r="E43" i="16" l="1"/>
  <c r="E40" i="16" s="1"/>
  <c r="F12" i="16"/>
  <c r="G29" i="16"/>
  <c r="H30" i="16"/>
  <c r="H29" i="16"/>
  <c r="E41" i="16"/>
  <c r="F39" i="16"/>
  <c r="F34" i="16"/>
  <c r="F38" i="16"/>
  <c r="F33" i="16"/>
  <c r="H12" i="16" l="1"/>
  <c r="I29" i="16"/>
  <c r="I30" i="16"/>
  <c r="F41" i="16"/>
  <c r="G38" i="16"/>
  <c r="G33" i="16"/>
  <c r="F43" i="16"/>
  <c r="F40" i="16" s="1"/>
  <c r="I12" i="16" l="1"/>
  <c r="H33" i="16"/>
  <c r="H38" i="16"/>
  <c r="J30" i="16" l="1"/>
  <c r="J29" i="16"/>
  <c r="I33" i="16"/>
  <c r="I38" i="16"/>
  <c r="J33" i="16" l="1"/>
  <c r="J38" i="16"/>
  <c r="J12" i="16"/>
  <c r="G30" i="16" l="1"/>
  <c r="G12" i="16" l="1"/>
  <c r="G39" i="16"/>
  <c r="G34" i="16"/>
  <c r="G41" i="16" l="1"/>
  <c r="H34" i="16"/>
  <c r="H39" i="16"/>
  <c r="H41" i="16" s="1"/>
  <c r="G43" i="16"/>
  <c r="G40" i="16" l="1"/>
  <c r="H43" i="16"/>
  <c r="I39" i="16"/>
  <c r="I41" i="16" s="1"/>
  <c r="I34" i="16"/>
  <c r="J39" i="16" l="1"/>
  <c r="J34" i="16"/>
  <c r="H40" i="16"/>
  <c r="I43" i="16"/>
  <c r="J43" i="16" l="1"/>
  <c r="J41" i="16"/>
  <c r="I40" i="16"/>
  <c r="J40" i="16" l="1"/>
  <c r="I8" i="4" l="1"/>
  <c r="I9" i="4" l="1"/>
  <c r="I10" i="4"/>
  <c r="J12" i="15" l="1"/>
  <c r="K12" i="15" l="1"/>
  <c r="H8" i="4"/>
  <c r="H10" i="4" l="1"/>
  <c r="H9" i="4"/>
  <c r="K19" i="16" l="1"/>
  <c r="K23" i="16"/>
  <c r="K29" i="16" l="1"/>
  <c r="K20" i="16"/>
  <c r="L19" i="16"/>
  <c r="N19" i="16" s="1"/>
  <c r="F4" i="16" s="1"/>
  <c r="L23" i="16"/>
  <c r="G4" i="16" l="1"/>
  <c r="H4" i="16"/>
  <c r="L29" i="16"/>
  <c r="K38" i="16"/>
  <c r="K33" i="16"/>
  <c r="K24" i="16"/>
  <c r="L20" i="16"/>
  <c r="N20" i="16" s="1"/>
  <c r="F5" i="16" s="1"/>
  <c r="F6" i="16" s="1"/>
  <c r="K30" i="16" l="1"/>
  <c r="K12" i="16"/>
  <c r="L33" i="16"/>
  <c r="L38" i="16"/>
  <c r="J4" i="16" s="1"/>
  <c r="L24" i="16"/>
  <c r="K4" i="16" l="1"/>
  <c r="L30" i="16"/>
  <c r="L12" i="16"/>
  <c r="M38" i="16"/>
  <c r="M33" i="16"/>
  <c r="G5" i="16"/>
  <c r="K34" i="16"/>
  <c r="K39" i="16"/>
  <c r="K41" i="16" l="1"/>
  <c r="L34" i="16"/>
  <c r="L39" i="16"/>
  <c r="L41" i="16" s="1"/>
  <c r="H5" i="16"/>
  <c r="G6" i="16"/>
  <c r="D16" i="5"/>
  <c r="L4" i="16"/>
  <c r="K43" i="16"/>
  <c r="K40" i="16" s="1"/>
  <c r="M39" i="16" l="1"/>
  <c r="M41" i="16" s="1"/>
  <c r="M34" i="16"/>
  <c r="L43" i="16"/>
  <c r="J5" i="16"/>
  <c r="J6" i="16" s="1"/>
  <c r="H6" i="16"/>
  <c r="K5" i="16" l="1"/>
  <c r="L40" i="16"/>
  <c r="M43" i="16"/>
  <c r="M40" i="16" s="1"/>
  <c r="B6" i="12"/>
  <c r="L5" i="16" l="1"/>
  <c r="D17" i="5"/>
  <c r="K6" i="16"/>
  <c r="C6" i="12"/>
  <c r="D10" i="5" l="1"/>
  <c r="B7" i="12"/>
  <c r="B8" i="12" s="1"/>
  <c r="C7" i="12"/>
  <c r="C8" i="12" s="1"/>
  <c r="D11" i="5" l="1"/>
  <c r="K4" i="5"/>
  <c r="D4" i="5"/>
  <c r="K5" i="5" l="1"/>
  <c r="D5" i="5"/>
  <c r="J10" i="15" l="1"/>
  <c r="J17" i="15" l="1"/>
  <c r="K10" i="15"/>
  <c r="K17" i="15" l="1"/>
  <c r="K31" i="15" s="1"/>
  <c r="J31" i="15"/>
  <c r="F4" i="15" l="1"/>
  <c r="G4" i="15" s="1"/>
  <c r="J40" i="15"/>
  <c r="J35" i="15"/>
  <c r="K40" i="15" l="1"/>
  <c r="I4" i="15" s="1"/>
  <c r="K35" i="15"/>
  <c r="L35" i="15" l="1"/>
  <c r="J4" i="15"/>
  <c r="C16" i="5" l="1"/>
  <c r="K4" i="15"/>
  <c r="F8" i="4" l="1"/>
  <c r="F10" i="4" l="1"/>
  <c r="F9" i="4"/>
  <c r="K11" i="15" l="1"/>
  <c r="K18" i="15" l="1"/>
  <c r="K32" i="15" s="1"/>
  <c r="G8" i="4" l="1"/>
  <c r="J11" i="15"/>
  <c r="J18" i="15" l="1"/>
  <c r="G10" i="4"/>
  <c r="C6" i="4" s="1"/>
  <c r="G9" i="4"/>
  <c r="C5" i="4" s="1"/>
  <c r="C10" i="5" l="1"/>
  <c r="C7" i="4"/>
  <c r="C8" i="4" s="1"/>
  <c r="C11" i="5"/>
  <c r="F5" i="15"/>
  <c r="J32" i="15"/>
  <c r="G5" i="15" l="1"/>
  <c r="G6" i="15" s="1"/>
  <c r="F6" i="15"/>
  <c r="J4" i="5"/>
  <c r="C4" i="5"/>
  <c r="J41" i="15"/>
  <c r="J36" i="15"/>
  <c r="K41" i="15" l="1"/>
  <c r="K36" i="15"/>
  <c r="J43" i="15"/>
  <c r="J45" i="15"/>
  <c r="J42" i="15" s="1"/>
  <c r="H4" i="5"/>
  <c r="L36" i="15" l="1"/>
  <c r="I5" i="15"/>
  <c r="K43" i="15"/>
  <c r="K45" i="15"/>
  <c r="L45" i="15" s="1"/>
  <c r="L42" i="15" s="1"/>
  <c r="K42" i="15" l="1"/>
  <c r="J5" i="15"/>
  <c r="I6" i="15"/>
  <c r="C17" i="5" l="1"/>
  <c r="J6" i="15"/>
  <c r="K5" i="15"/>
  <c r="J5" i="5" l="1"/>
  <c r="C5" i="5"/>
  <c r="H5" i="5" l="1"/>
</calcChain>
</file>

<file path=xl/sharedStrings.xml><?xml version="1.0" encoding="utf-8"?>
<sst xmlns="http://schemas.openxmlformats.org/spreadsheetml/2006/main" count="341" uniqueCount="153">
  <si>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</si>
  <si>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</si>
  <si>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</si>
  <si>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</si>
  <si>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</si>
  <si>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</si>
  <si>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</si>
  <si>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</si>
  <si>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</si>
  <si>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</si>
  <si>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</si>
  <si>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</si>
  <si>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</si>
  <si>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</si>
  <si>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</si>
  <si>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</si>
  <si>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</si>
  <si>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</si>
  <si>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</si>
  <si>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</si>
  <si>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</si>
  <si>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</si>
  <si>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</si>
  <si>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</si>
  <si>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</si>
  <si>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</si>
  <si>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</si>
  <si>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</si>
  <si>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</si>
  <si>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</si>
  <si>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</si>
  <si>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</si>
  <si>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</si>
  <si>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</si>
  <si>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</si>
  <si>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</si>
  <si>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</si>
  <si>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</si>
  <si>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</si>
  <si>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</si>
  <si>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</si>
  <si>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</si>
  <si>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</si>
  <si>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</si>
  <si>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</si>
  <si>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</si>
  <si>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</si>
  <si>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</si>
  <si>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</si>
  <si>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</si>
  <si>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</si>
  <si>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</si>
  <si>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</si>
  <si>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</si>
  <si>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</si>
  <si>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</si>
  <si>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</si>
  <si>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</si>
  <si>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</si>
  <si>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</si>
  <si>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</si>
  <si>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</si>
  <si>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</si>
  <si>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</si>
  <si>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</si>
  <si>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</si>
  <si>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</si>
  <si>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</si>
  <si>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</si>
  <si>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</si>
  <si>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</si>
  <si>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</si>
  <si>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</si>
  <si>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</si>
  <si>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</si>
  <si>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</si>
  <si>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</si>
  <si>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</si>
  <si>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</si>
  <si>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</si>
  <si>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</si>
  <si>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</si>
  <si>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</si>
  <si>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</si>
  <si>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</si>
  <si>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</si>
  <si>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</si>
  <si>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Amortization Over 24 Month Recovery Period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</si>
  <si>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</si>
  <si>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</si>
  <si>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</si>
  <si>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</si>
  <si>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</si>
  <si>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</si>
  <si>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</si>
  <si>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</si>
  <si>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</si>
  <si>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</si>
  <si>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</si>
  <si>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</si>
  <si>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Cycle 1 Earnings Opportunity (EO) Calculation</t>
  </si>
  <si>
    <t>EO Rate</t>
  </si>
  <si>
    <t>1. Total Performance Incentive</t>
  </si>
  <si>
    <t>2. Verified kWh Savings</t>
  </si>
  <si>
    <t>3. Allocation %</t>
  </si>
  <si>
    <t>4. Carrying Costs @ Short-Term Borrowing Rate</t>
  </si>
  <si>
    <t>5. Total Performance Incentive plus Carrying Costs</t>
  </si>
  <si>
    <t>3. Allocation % - Calculated % of Residential and Non-Residential kWh Savings to Total Savings.</t>
  </si>
  <si>
    <t>5. Total Performance Incentive plus Carrying Costs - Sum</t>
  </si>
  <si>
    <t>Cycle 1 Earnings Opportunity Reconciliation (EOR) Calculation</t>
  </si>
  <si>
    <t>Carrying Cost</t>
  </si>
  <si>
    <t>1. &amp; 4. Actual monthly TD-NSB - Source: None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</si>
  <si>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</si>
  <si>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</si>
  <si>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</si>
  <si>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</si>
  <si>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</si>
  <si>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</si>
  <si>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5. Actual EO rate component of the tariff rate</t>
  </si>
  <si>
    <t>Cycle 1 Ordered Adjustment (OA) Calculation</t>
  </si>
  <si>
    <t>1. Ordered Adjustment</t>
  </si>
  <si>
    <t>2. Carrying Costs on OA</t>
  </si>
  <si>
    <t>1. Actual monthly program costs by allocation bucket Residential, Non-Residential, Low Income, Common/General, Programmable Thermostat) - Source: None</t>
  </si>
  <si>
    <t>Projections for Cycle 2 July - December 2019 DSIM</t>
  </si>
  <si>
    <t>Cumulative Over/Under Carryover From 12/01/2018 Filing</t>
  </si>
  <si>
    <t>Reverse November-18 - January-19  Forecast From 12/01/2018 Filing</t>
  </si>
  <si>
    <t>3. Actual monthly billed revenues by Residential/Non-Residential (program cost revenues only) - GMO MEEIA 2018 Revenue Analysis.xlsx, GMO MEEIA 2019 Revenue Analysis.xlsx
    Forecasted monthly billed revenues by Residential/Non-Residential (program cost revenues only) - Source: calculated = Forecasted billed kWh sales X tariff rate</t>
  </si>
  <si>
    <t>5. Monthly Short-Term Borrowing Rate - Source: GMO Short-Term Borrowing Rate November 2018 - April 2019.xlsx</t>
  </si>
  <si>
    <t>3. Actual monthly billed revenues by Residential/Non-Residential (program cost revenues only) - GMO MEEIA 2018 Revenue Analysis.xlsx, GMO MEEIA 2019 Revenue Analysis.xlsx
Forecasted monthly billed revenues by Residential/Non-Residential (program cost revenues only) - Source: calculated = Forecasted billed kWh sales X tariff rate</t>
  </si>
  <si>
    <t>3. Actual monthly billed revenues by Residential/Non-Residential (TD-NSB only) - GMO MEEIA 2018 Revenue Analysis.xlsx, GMO MEEIA 2019 Revenue Analysis.xlsx
Forecasted monthly billed revenues by Residential/Non-Residential (TD-NSB revenues only) - Source: calculated = Forecasted billed kWh sales X tariff rate</t>
  </si>
  <si>
    <t>6. Monthly AFUDC Rate - Source: GMO AFUDC Rate Computation November 2018 thru April 2019.xlsx</t>
  </si>
  <si>
    <t>2. Actual monthly billed revenues by Residential/Non-Residential (program cost revenues only) - GMO MEEIA 2018 Revenue Analysis.xlsx, GMO MEEIA 2019 Revenue Analysis.xlsx
Forecasted monthly billed revenues by Residential/Non-Residential (program cost revenues only) - Source: calculated = Forecasted billed kWh sales X tariff rate</t>
  </si>
  <si>
    <t>Correction of Reported Results for April - October 2018</t>
  </si>
  <si>
    <t>Res/Non-Res Allocation</t>
  </si>
  <si>
    <t>3. Monthly Short-Term Borrowing Rate - Source: GMO Short-Term Borrowing Rate November 2018 - April 2019.xlsx</t>
  </si>
  <si>
    <t>2. Carrying Costs on OA - Source: Calculated</t>
  </si>
  <si>
    <t>3. Monthly Short-Term Interest Rate</t>
  </si>
  <si>
    <t>1. Ordered Adjustment - Order Dated March 17, 2019 File No. EO-2018-364</t>
  </si>
  <si>
    <t>OA Rate</t>
  </si>
  <si>
    <t>1. Verified kWh Savings - Source: None</t>
  </si>
  <si>
    <t>2. Total Performance Incentive - Source: None</t>
  </si>
  <si>
    <t>4. Carrying Costs @ Short-Term Borrowing Rate - Source: None</t>
  </si>
  <si>
    <t>1. Ordered Adjustment - Source: Order Dated March 17, 2019 File No. EO-2018-364</t>
  </si>
  <si>
    <t>1. Forecasted kWh by Residential/Non-Residential (Reduced for Opt-Out) - Source: Billed kWh Budget GMO 2019-2020.xlsx</t>
  </si>
  <si>
    <t>2. Forecasted program costs by allocation bucket (Residential, Non-Residential, Income-Eligible, Common/General) - Source: GMO MEEIA Cycle 2 Forecast 2017-2020 042019 actuals 05102019.xlsx</t>
  </si>
  <si>
    <t>2. Actual monthly kWh billed sales by Residential/Non-Residential (reduced for opt-out) - Source: GMO MEEIA 2018 Revenue Analysis.xlsx, GMO MEEIA 2019 Revenue Analysis.xlsx
    Forecasted monthly kWh billed sales by Residential/Non-Residential (reduced for opt-out) - Source: Billed kWh Budget GMO 2019-2020.xlsx</t>
  </si>
  <si>
    <t>1. Actual monthly program costs by allocation bucket Residential, Non-Residential, Income-Eligible, Common/General) - Source: SI Projects 112018-042019 GMO.xls
    Forecasted monthly program costs by allocation bucket - Source: GMO MEEIA Cycle 2 Forecast 2017-2020 042019 actuals 05102019.xlsx</t>
  </si>
  <si>
    <t>1. Forecasted Residential/Non-Residential kWh Sales Impact  - Source: GMO MEEIA Cycle 2 Forecast 2017-2020 042019 actuals 05102019.xlsx</t>
  </si>
  <si>
    <t>2. Forecasted Throughput Disincentive  - Source: GMO MEEIA Cycle 2 Forecast 2017-2020 042019 actuals 05102019.xlsx</t>
  </si>
  <si>
    <t>2. Actual monthly kWh billed sales by Residential/Non-Residential (reduced for opt-out) - Source: GMO MEEIA 2018 Revenue Analysis.xlsx , GMO MEEIA 2019 Revenue Analysis.xlsx
    Forecasted monthly kWh billed sales by Residential/Non-Residential (reduced for opt-out) - Source: Billed kWh Budget GMO 2019-2020.xlsx</t>
  </si>
  <si>
    <t>1. &amp; 4. Actual monthly TD - Source: TD Model GMO 042019 final 05062019.xlsx
    Forecasted monthly TD - Source: GMO MEEIA Cycle 2 Forecast 2017-2020 042019 actuals 05102019.xlsx</t>
  </si>
  <si>
    <t>3. Actual monthly kWh Sales Impact - Source: TD Model GMO 042018 final 0507018.xlsx
    Forecasted monthly kWh Sales Impact - Source: GMO MEEIA Cycle 2 Forecast 2017-2020 042019 actuals 05102019.xlsx</t>
  </si>
  <si>
    <t>KCP&amp;L Greater Missouri Operations Company - DSIM Rider Update Filed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</si>
</sst>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  <numFmt numFmtId="171" formatCode="mm/dd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69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0" fontId="14" fillId="7" borderId="1" xfId="2" applyNumberFormat="1" applyFont="1" applyFill="1" applyBorder="1"/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2" fontId="14" fillId="7" borderId="1" xfId="13" applyNumberFormat="1"/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0" fillId="0" borderId="0" xfId="0" applyNumberFormat="1" applyBorder="1"/>
    <xf numFmtId="169" fontId="10" fillId="0" borderId="3" xfId="0" applyNumberFormat="1" applyFont="1" applyFill="1" applyBorder="1" applyAlignment="1">
      <alignment vertical="center"/>
    </xf>
    <xf numFmtId="169" fontId="10" fillId="0" borderId="5" xfId="0" applyNumberFormat="1" applyFont="1" applyFill="1" applyBorder="1" applyAlignment="1">
      <alignment vertical="center"/>
    </xf>
    <xf numFmtId="3" fontId="4" fillId="4" borderId="63" xfId="5" applyNumberFormat="1" applyBorder="1"/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165" fontId="13" fillId="0" borderId="0" xfId="12" applyNumberFormat="1" applyFill="1" applyBorder="1"/>
    <xf numFmtId="165" fontId="5" fillId="0" borderId="28" xfId="6" applyNumberFormat="1" applyFill="1" applyBorder="1"/>
    <xf numFmtId="0" fontId="0" fillId="39" borderId="64" xfId="0" applyFill="1" applyBorder="1" applyAlignment="1">
      <alignment horizontal="center" wrapText="1"/>
    </xf>
    <xf numFmtId="164" fontId="0" fillId="0" borderId="65" xfId="0" applyNumberFormat="1" applyFill="1" applyBorder="1"/>
    <xf numFmtId="165" fontId="5" fillId="0" borderId="66" xfId="6" applyNumberFormat="1" applyFill="1" applyBorder="1"/>
    <xf numFmtId="0" fontId="0" fillId="0" borderId="67" xfId="0" applyFill="1" applyBorder="1"/>
    <xf numFmtId="44" fontId="0" fillId="0" borderId="67" xfId="0" applyNumberFormat="1" applyFill="1" applyBorder="1"/>
    <xf numFmtId="41" fontId="5" fillId="0" borderId="66" xfId="6" applyNumberFormat="1" applyFill="1" applyBorder="1"/>
    <xf numFmtId="165" fontId="5" fillId="0" borderId="67" xfId="6" applyNumberFormat="1" applyFill="1" applyBorder="1"/>
    <xf numFmtId="165" fontId="5" fillId="0" borderId="68" xfId="11" applyNumberFormat="1" applyFont="1" applyFill="1" applyBorder="1"/>
    <xf numFmtId="165" fontId="5" fillId="0" borderId="69" xfId="11" applyNumberFormat="1" applyFont="1" applyFill="1" applyBorder="1"/>
    <xf numFmtId="10" fontId="5" fillId="0" borderId="67" xfId="2" applyNumberFormat="1" applyFont="1" applyFill="1" applyBorder="1"/>
    <xf numFmtId="165" fontId="14" fillId="0" borderId="66" xfId="13" applyNumberFormat="1" applyFill="1" applyBorder="1"/>
    <xf numFmtId="170" fontId="0" fillId="0" borderId="67" xfId="0" applyNumberFormat="1" applyFill="1" applyBorder="1"/>
    <xf numFmtId="170" fontId="0" fillId="0" borderId="67" xfId="2" applyNumberFormat="1" applyFont="1" applyFill="1" applyBorder="1"/>
    <xf numFmtId="44" fontId="6" fillId="0" borderId="70" xfId="7" applyNumberFormat="1" applyFill="1" applyBorder="1"/>
    <xf numFmtId="171" fontId="0" fillId="0" borderId="0" xfId="0" applyNumberFormat="1"/>
    <xf numFmtId="170" fontId="0" fillId="0" borderId="0" xfId="2" applyNumberFormat="1" applyFont="1"/>
    <xf numFmtId="170" fontId="0" fillId="0" borderId="0" xfId="0" applyNumberFormat="1"/>
    <xf numFmtId="43" fontId="34" fillId="0" borderId="0" xfId="1" applyFont="1"/>
    <xf numFmtId="10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Billed%20kWh%20Budget%20GMO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MEEIA%20Cycle%202%20Forecast%20Model%202017-2020%20042019%20actuals%20corrected%200621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GMO%20MEEIA%202018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GMO%20MEEIA%202019%20Revenue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GMO%20Short-Term%20Borrowing%20Rate%20November%202018%20-%20April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SI%20Projects%20112018-042019%20GM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rpAcctg\MEEIA\GMO%20MEEIA%20DSIM%20Rider\20190601%20Filing\GMO%20AFUDC%20Rates%20October%202018%20thru%20April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D%20Model%20GMO%20042019%20corrected%200621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1">
          <cell r="G21">
            <v>207260261</v>
          </cell>
          <cell r="H21">
            <v>266633201</v>
          </cell>
          <cell r="I21">
            <v>362127632</v>
          </cell>
        </row>
        <row r="22">
          <cell r="G22">
            <v>265678954</v>
          </cell>
          <cell r="H22">
            <v>297547651</v>
          </cell>
          <cell r="I22">
            <v>326565688</v>
          </cell>
        </row>
        <row r="28">
          <cell r="D28">
            <v>1847740016</v>
          </cell>
        </row>
        <row r="29">
          <cell r="D29">
            <v>1763093918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 Monthly TD Calc"/>
      <sheetName val="Program Costs - GMO"/>
    </sheetNames>
    <sheetDataSet>
      <sheetData sheetId="0">
        <row r="351">
          <cell r="AN351">
            <v>65599.22</v>
          </cell>
          <cell r="AO351">
            <v>150030.70000000001</v>
          </cell>
        </row>
        <row r="352">
          <cell r="AN352">
            <v>107113.01</v>
          </cell>
          <cell r="AO352">
            <v>155720.18</v>
          </cell>
        </row>
        <row r="355">
          <cell r="AU355">
            <v>885970.60000000009</v>
          </cell>
        </row>
        <row r="356">
          <cell r="AU356">
            <v>982352.80999999994</v>
          </cell>
        </row>
        <row r="372">
          <cell r="AN372">
            <v>1530700.2326677311</v>
          </cell>
          <cell r="AO372">
            <v>2052169.460340478</v>
          </cell>
        </row>
        <row r="373">
          <cell r="AN373">
            <v>3604233.295715705</v>
          </cell>
          <cell r="AO373">
            <v>3844181.878013968</v>
          </cell>
        </row>
        <row r="377">
          <cell r="AU377">
            <v>15161397.329870798</v>
          </cell>
        </row>
        <row r="378">
          <cell r="AU378">
            <v>28973779.302629411</v>
          </cell>
        </row>
      </sheetData>
      <sheetData sheetId="1">
        <row r="153">
          <cell r="AZ153">
            <v>570899.79999999993</v>
          </cell>
          <cell r="BA153">
            <v>687003.04999999993</v>
          </cell>
        </row>
        <row r="154">
          <cell r="AZ154">
            <v>934575.9</v>
          </cell>
          <cell r="BA154">
            <v>1114171.08</v>
          </cell>
        </row>
        <row r="155">
          <cell r="AZ155">
            <v>62168.210000000006</v>
          </cell>
          <cell r="BA155">
            <v>85719.549999999988</v>
          </cell>
        </row>
        <row r="159">
          <cell r="BG159">
            <v>4136871.9000000004</v>
          </cell>
        </row>
        <row r="160">
          <cell r="BG160">
            <v>5310857.5699999994</v>
          </cell>
        </row>
        <row r="161">
          <cell r="BG161">
            <v>593508.15</v>
          </cell>
        </row>
        <row r="162">
          <cell r="BG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December 2018 Combined"/>
      <sheetName val="November 2018 Combined"/>
      <sheetName val="October 2018 Combined"/>
      <sheetName val="September 2018 Combined"/>
      <sheetName val="August 2018 Combined"/>
      <sheetName val="July 2018 Combined"/>
      <sheetName val="June 2018 Combined"/>
      <sheetName val="May 2018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</sheetNames>
    <sheetDataSet>
      <sheetData sheetId="0" refreshError="1"/>
      <sheetData sheetId="1">
        <row r="8">
          <cell r="F8">
            <v>0</v>
          </cell>
        </row>
        <row r="9">
          <cell r="F9">
            <v>0</v>
          </cell>
        </row>
        <row r="13">
          <cell r="F13">
            <v>7.96</v>
          </cell>
        </row>
        <row r="14">
          <cell r="F14">
            <v>-13933.75</v>
          </cell>
        </row>
        <row r="18">
          <cell r="F18">
            <v>2.3199999999999998</v>
          </cell>
        </row>
        <row r="19">
          <cell r="F19">
            <v>5.0599999999999996</v>
          </cell>
        </row>
        <row r="23">
          <cell r="F23">
            <v>51731.12</v>
          </cell>
        </row>
        <row r="24">
          <cell r="F24">
            <v>67173.72</v>
          </cell>
        </row>
        <row r="28">
          <cell r="F28">
            <v>889187.87</v>
          </cell>
        </row>
        <row r="29">
          <cell r="F29">
            <v>853608.16</v>
          </cell>
        </row>
        <row r="33">
          <cell r="F33">
            <v>-54983.71</v>
          </cell>
        </row>
        <row r="34">
          <cell r="F34">
            <v>-226655.35</v>
          </cell>
        </row>
        <row r="38">
          <cell r="F38">
            <v>546452.92000000004</v>
          </cell>
        </row>
        <row r="39">
          <cell r="F39">
            <v>293862.62999999995</v>
          </cell>
        </row>
        <row r="49">
          <cell r="F49">
            <v>323338996.40630007</v>
          </cell>
        </row>
        <row r="50">
          <cell r="F50">
            <v>280832070.92200005</v>
          </cell>
        </row>
        <row r="55">
          <cell r="F55">
            <v>323338996.40630007</v>
          </cell>
        </row>
        <row r="56">
          <cell r="F56">
            <v>280832070.92200005</v>
          </cell>
        </row>
      </sheetData>
      <sheetData sheetId="2">
        <row r="8">
          <cell r="F8">
            <v>0</v>
          </cell>
        </row>
        <row r="9">
          <cell r="F9">
            <v>0</v>
          </cell>
        </row>
        <row r="13">
          <cell r="F13">
            <v>-12.28</v>
          </cell>
        </row>
        <row r="14">
          <cell r="F14">
            <v>-14263.07</v>
          </cell>
        </row>
        <row r="18">
          <cell r="F18">
            <v>-3.58</v>
          </cell>
        </row>
        <row r="19">
          <cell r="F19">
            <v>-8.17</v>
          </cell>
        </row>
        <row r="23">
          <cell r="F23">
            <v>38207.949999999997</v>
          </cell>
        </row>
        <row r="24">
          <cell r="F24">
            <v>68000.160000000003</v>
          </cell>
        </row>
        <row r="28">
          <cell r="F28">
            <v>656637.62</v>
          </cell>
        </row>
        <row r="29">
          <cell r="F29">
            <v>864327.54</v>
          </cell>
        </row>
        <row r="33">
          <cell r="F33">
            <v>-40570.32</v>
          </cell>
        </row>
        <row r="34">
          <cell r="F34">
            <v>-229644.19</v>
          </cell>
        </row>
        <row r="38">
          <cell r="F38">
            <v>403528.48</v>
          </cell>
        </row>
        <row r="39">
          <cell r="F39">
            <v>297538.52999999997</v>
          </cell>
        </row>
        <row r="49">
          <cell r="F49">
            <v>238778854.55460003</v>
          </cell>
        </row>
        <row r="50">
          <cell r="F50">
            <v>283942748.86849999</v>
          </cell>
        </row>
        <row r="55">
          <cell r="F55">
            <v>238778854.55460003</v>
          </cell>
        </row>
        <row r="56">
          <cell r="F56">
            <v>283942748.86849999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  <sheetName val="DSIM RP7"/>
      <sheetName val="DSIM RP8"/>
    </sheetNames>
    <sheetDataSet>
      <sheetData sheetId="0" refreshError="1"/>
      <sheetData sheetId="1">
        <row r="8">
          <cell r="F8">
            <v>0</v>
          </cell>
        </row>
        <row r="9">
          <cell r="F9">
            <v>-33.159999999999997</v>
          </cell>
        </row>
        <row r="13">
          <cell r="F13">
            <v>15.23</v>
          </cell>
        </row>
        <row r="14">
          <cell r="F14">
            <v>-14981.91</v>
          </cell>
        </row>
        <row r="18">
          <cell r="F18">
            <v>4.4400000000000004</v>
          </cell>
        </row>
        <row r="19">
          <cell r="F19">
            <v>-120.62</v>
          </cell>
        </row>
        <row r="23">
          <cell r="F23">
            <v>53566.48</v>
          </cell>
        </row>
        <row r="24">
          <cell r="F24">
            <v>66515.03</v>
          </cell>
        </row>
        <row r="28">
          <cell r="F28">
            <v>920798</v>
          </cell>
        </row>
        <row r="29">
          <cell r="F29">
            <v>845488.8600000001</v>
          </cell>
        </row>
        <row r="33">
          <cell r="F33">
            <v>-56949.49</v>
          </cell>
        </row>
        <row r="34">
          <cell r="F34">
            <v>-224787.54</v>
          </cell>
        </row>
        <row r="38">
          <cell r="F38">
            <v>565888.67000000004</v>
          </cell>
        </row>
        <row r="39">
          <cell r="F39">
            <v>291222.57</v>
          </cell>
        </row>
        <row r="49">
          <cell r="F49">
            <v>334829343.77099997</v>
          </cell>
        </row>
        <row r="50">
          <cell r="F50">
            <v>278215554.43029994</v>
          </cell>
        </row>
        <row r="55">
          <cell r="F55">
            <v>334829343.77099997</v>
          </cell>
        </row>
        <row r="56">
          <cell r="F56">
            <v>278215554.43029994</v>
          </cell>
        </row>
      </sheetData>
      <sheetData sheetId="2">
        <row r="8">
          <cell r="F8">
            <v>0</v>
          </cell>
        </row>
        <row r="9">
          <cell r="F9">
            <v>0</v>
          </cell>
        </row>
        <row r="13">
          <cell r="F13">
            <v>15423.95</v>
          </cell>
        </row>
        <row r="14">
          <cell r="F14">
            <v>-23005.79</v>
          </cell>
        </row>
        <row r="18">
          <cell r="F18">
            <v>3855.77</v>
          </cell>
        </row>
        <row r="19">
          <cell r="F19">
            <v>-2865.64</v>
          </cell>
        </row>
        <row r="23">
          <cell r="F23">
            <v>57741.46</v>
          </cell>
        </row>
        <row r="24">
          <cell r="F24">
            <v>63743.79</v>
          </cell>
        </row>
        <row r="28">
          <cell r="F28">
            <v>395249.86</v>
          </cell>
        </row>
        <row r="29">
          <cell r="F29">
            <v>541101.62</v>
          </cell>
        </row>
        <row r="33">
          <cell r="F33">
            <v>-401022.56999999995</v>
          </cell>
        </row>
        <row r="34">
          <cell r="F34">
            <v>55755.57</v>
          </cell>
        </row>
        <row r="38">
          <cell r="F38">
            <v>-1262.8500000000001</v>
          </cell>
        </row>
        <row r="39">
          <cell r="F39">
            <v>114356.01999999999</v>
          </cell>
        </row>
        <row r="49">
          <cell r="F49">
            <v>384958425.57700008</v>
          </cell>
        </row>
        <row r="50">
          <cell r="F50">
            <v>285778137.0898999</v>
          </cell>
        </row>
        <row r="55">
          <cell r="F55">
            <v>384958425.57700008</v>
          </cell>
        </row>
        <row r="56">
          <cell r="F56">
            <v>285778137.0898999</v>
          </cell>
        </row>
      </sheetData>
      <sheetData sheetId="3">
        <row r="8">
          <cell r="F8">
            <v>0</v>
          </cell>
        </row>
        <row r="9">
          <cell r="F9">
            <v>211.25</v>
          </cell>
        </row>
        <row r="13">
          <cell r="F13">
            <v>14169.79</v>
          </cell>
        </row>
        <row r="14">
          <cell r="F14">
            <v>-20292.199999999997</v>
          </cell>
        </row>
        <row r="18">
          <cell r="F18">
            <v>3542.07</v>
          </cell>
        </row>
        <row r="19">
          <cell r="F19">
            <v>-2469.0500000000002</v>
          </cell>
        </row>
        <row r="23">
          <cell r="F23">
            <v>53178.37</v>
          </cell>
        </row>
        <row r="24">
          <cell r="F24">
            <v>60240.07</v>
          </cell>
        </row>
        <row r="28">
          <cell r="F28">
            <v>365170.92000000004</v>
          </cell>
        </row>
        <row r="29">
          <cell r="F29">
            <v>510638.03</v>
          </cell>
        </row>
        <row r="33">
          <cell r="F33">
            <v>-368637.09</v>
          </cell>
        </row>
        <row r="34">
          <cell r="F34">
            <v>53279.24</v>
          </cell>
        </row>
        <row r="38">
          <cell r="F38">
            <v>32.64</v>
          </cell>
        </row>
        <row r="39">
          <cell r="F39">
            <v>107890.81999999999</v>
          </cell>
        </row>
        <row r="49">
          <cell r="F49">
            <v>354459985.87750012</v>
          </cell>
        </row>
        <row r="50">
          <cell r="F50">
            <v>276458997.25259984</v>
          </cell>
        </row>
        <row r="55">
          <cell r="F55">
            <v>354459985.87750012</v>
          </cell>
        </row>
        <row r="56">
          <cell r="F56">
            <v>276458997.25259984</v>
          </cell>
        </row>
      </sheetData>
      <sheetData sheetId="4">
        <row r="8">
          <cell r="F8">
            <v>0</v>
          </cell>
        </row>
        <row r="9">
          <cell r="F9">
            <v>0</v>
          </cell>
        </row>
        <row r="13">
          <cell r="F13">
            <v>8823.84</v>
          </cell>
        </row>
        <row r="14">
          <cell r="F14">
            <v>-21172.07</v>
          </cell>
        </row>
        <row r="18">
          <cell r="F18">
            <v>2205.84</v>
          </cell>
        </row>
        <row r="19">
          <cell r="F19">
            <v>-2605.34</v>
          </cell>
        </row>
        <row r="23">
          <cell r="F23">
            <v>33104.549999999996</v>
          </cell>
        </row>
        <row r="24">
          <cell r="F24">
            <v>54812.810000000005</v>
          </cell>
        </row>
        <row r="28">
          <cell r="F28">
            <v>227354.93000000002</v>
          </cell>
        </row>
        <row r="29">
          <cell r="F29">
            <v>463599.75</v>
          </cell>
        </row>
        <row r="33">
          <cell r="F33">
            <v>-229496.27</v>
          </cell>
        </row>
        <row r="34">
          <cell r="F34">
            <v>49879.329999999994</v>
          </cell>
        </row>
        <row r="38">
          <cell r="F38">
            <v>39.72</v>
          </cell>
        </row>
        <row r="39">
          <cell r="F39">
            <v>96928.56</v>
          </cell>
        </row>
        <row r="49">
          <cell r="F49">
            <v>220642739.1317001</v>
          </cell>
        </row>
        <row r="50">
          <cell r="F50">
            <v>249983342.5088</v>
          </cell>
        </row>
        <row r="55">
          <cell r="F55">
            <v>220642739.1317001</v>
          </cell>
        </row>
        <row r="56">
          <cell r="F56">
            <v>249983342.5088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"/>
      <sheetName val="June 2018"/>
      <sheetName val="July 2018"/>
      <sheetName val="Aug 2018"/>
      <sheetName val="Sept 2018"/>
      <sheetName val="Oct 2018"/>
      <sheetName val="Nov 2018"/>
      <sheetName val="Dec 2018"/>
      <sheetName val="Jan 2019"/>
      <sheetName val="Feb 2019"/>
      <sheetName val="Mar 2019"/>
      <sheetName val="Apr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1">
          <cell r="F51">
            <v>2.9731599999999999E-3</v>
          </cell>
        </row>
      </sheetData>
      <sheetData sheetId="7">
        <row r="51">
          <cell r="F51">
            <v>3.0868100000000002E-3</v>
          </cell>
        </row>
      </sheetData>
      <sheetData sheetId="8">
        <row r="51">
          <cell r="F51">
            <v>3.13277E-3</v>
          </cell>
        </row>
      </sheetData>
      <sheetData sheetId="9">
        <row r="51">
          <cell r="F51">
            <v>3.1206900000000002E-3</v>
          </cell>
        </row>
      </sheetData>
      <sheetData sheetId="10">
        <row r="51">
          <cell r="F51">
            <v>3.11648E-3</v>
          </cell>
        </row>
      </sheetData>
      <sheetData sheetId="11">
        <row r="51">
          <cell r="F51">
            <v>3.1080600000000002E-3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42019 PY3 final"/>
    </sheetNames>
    <sheetDataSet>
      <sheetData sheetId="0">
        <row r="29">
          <cell r="C29">
            <v>652526.1399999999</v>
          </cell>
          <cell r="D29">
            <v>557368.50000000023</v>
          </cell>
          <cell r="E29">
            <v>342107.7100000002</v>
          </cell>
          <cell r="F29">
            <v>330213.57999999973</v>
          </cell>
          <cell r="G29">
            <v>494830.67000000004</v>
          </cell>
          <cell r="H29">
            <v>359038.11</v>
          </cell>
        </row>
        <row r="30">
          <cell r="C30">
            <v>770177.44</v>
          </cell>
          <cell r="D30">
            <v>514939.30999999994</v>
          </cell>
          <cell r="E30">
            <v>593401.4</v>
          </cell>
          <cell r="F30">
            <v>541127.94999999995</v>
          </cell>
          <cell r="G30">
            <v>1036914.46</v>
          </cell>
          <cell r="H30">
            <v>436484.42</v>
          </cell>
        </row>
        <row r="31">
          <cell r="C31">
            <v>124893.08</v>
          </cell>
          <cell r="D31">
            <v>96992.41</v>
          </cell>
          <cell r="E31">
            <v>96644.200000000012</v>
          </cell>
          <cell r="F31">
            <v>186493.55999999997</v>
          </cell>
          <cell r="G31">
            <v>159021.91000000012</v>
          </cell>
          <cell r="H31">
            <v>37663.969999999994</v>
          </cell>
        </row>
        <row r="32">
          <cell r="C32">
            <v>21230.419999999995</v>
          </cell>
          <cell r="D32">
            <v>74379.839999999982</v>
          </cell>
          <cell r="E32">
            <v>3054.7499999999986</v>
          </cell>
          <cell r="F32">
            <v>40548.9</v>
          </cell>
          <cell r="G32">
            <v>31866.62</v>
          </cell>
          <cell r="H32">
            <v>12853.450000000008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 Jan - Dec 18"/>
      <sheetName val="AFUDC Rate Jan - Dec 19"/>
    </sheetNames>
    <sheetDataSet>
      <sheetData sheetId="0">
        <row r="37">
          <cell r="I37">
            <v>1.9706066666666665E-3</v>
          </cell>
        </row>
        <row r="38">
          <cell r="I38">
            <v>2.3878433333333333E-3</v>
          </cell>
        </row>
      </sheetData>
      <sheetData sheetId="1">
        <row r="27">
          <cell r="I27">
            <v>2.3878433333333333E-3</v>
          </cell>
        </row>
        <row r="28">
          <cell r="I28">
            <v>3.0419833333333334E-3</v>
          </cell>
        </row>
        <row r="29">
          <cell r="I29">
            <v>3.0419833333333334E-3</v>
          </cell>
        </row>
        <row r="30">
          <cell r="I30">
            <v>3.0419833333333334E-3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/>
      <sheetData sheetId="1">
        <row r="285">
          <cell r="AH285">
            <v>5347344.3378689876</v>
          </cell>
          <cell r="AI285">
            <v>2223847.8207397051</v>
          </cell>
          <cell r="AJ285">
            <v>2437390.5599332452</v>
          </cell>
          <cell r="AK285">
            <v>2568645.6526650907</v>
          </cell>
          <cell r="AL285">
            <v>2800178.2596328454</v>
          </cell>
          <cell r="AM285">
            <v>2703617.2723785238</v>
          </cell>
        </row>
        <row r="286">
          <cell r="AH286">
            <v>9360030.5072822627</v>
          </cell>
          <cell r="AI286">
            <v>2110331.3100300855</v>
          </cell>
          <cell r="AJ286">
            <v>2485410.5229145219</v>
          </cell>
          <cell r="AK286">
            <v>2522716.8233601586</v>
          </cell>
          <cell r="AL286">
            <v>3231683.4224237148</v>
          </cell>
          <cell r="AM286">
            <v>3356858.9549558652</v>
          </cell>
        </row>
        <row r="318">
          <cell r="AH318">
            <v>271623.71000000002</v>
          </cell>
          <cell r="AI318">
            <v>96214.77</v>
          </cell>
          <cell r="AJ318">
            <v>95032.639999999999</v>
          </cell>
          <cell r="AK318">
            <v>106569.25</v>
          </cell>
          <cell r="AL318">
            <v>122244.59</v>
          </cell>
          <cell r="AM318">
            <v>118396.81</v>
          </cell>
        </row>
        <row r="319">
          <cell r="AH319">
            <v>337260.36</v>
          </cell>
          <cell r="AI319">
            <v>56682.95</v>
          </cell>
          <cell r="AJ319">
            <v>63271.519999999997</v>
          </cell>
          <cell r="AK319">
            <v>68083.570000000007</v>
          </cell>
          <cell r="AL319">
            <v>87523.48</v>
          </cell>
          <cell r="AM319">
            <v>92186.73</v>
          </cell>
        </row>
        <row r="340">
          <cell r="AG340">
            <v>-13949.100000000151</v>
          </cell>
        </row>
        <row r="341">
          <cell r="AG341">
            <v>-804.88999999986845</v>
          </cell>
        </row>
        <row r="350">
          <cell r="AG350">
            <v>-100.46000000000001</v>
          </cell>
        </row>
        <row r="351">
          <cell r="AG351">
            <v>-5.32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selection activeCell="G10" sqref="G10"/>
    </sheetView>
  </sheetViews>
  <sheetFormatPr defaultRowHeight="15" x14ac:dyDescent="0.25"/>
  <cols>
    <col min="2" max="2" width="18.7109375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  <col min="13" max="13" width="11.28515625" bestFit="1" customWidth="1"/>
  </cols>
  <sheetData>
    <row r="1" spans="1:14" x14ac:dyDescent="0.25">
      <c r="A1" s="3" t="str">
        <f>+PPC!A1</f>
        <v>KCP&amp;L Greater Missouri Operations Company - DSIM Rider Update Filed June 2019</v>
      </c>
      <c r="M1" s="61"/>
      <c r="N1" s="61"/>
    </row>
    <row r="2" spans="1:14" ht="15.75" thickBot="1" x14ac:dyDescent="0.3">
      <c r="H2" s="61"/>
      <c r="I2" s="61"/>
      <c r="J2" s="63"/>
      <c r="K2" s="63"/>
      <c r="M2" s="61"/>
      <c r="N2" s="61"/>
    </row>
    <row r="3" spans="1:14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101</v>
      </c>
      <c r="M3" s="115" t="s">
        <v>138</v>
      </c>
      <c r="N3" s="61"/>
    </row>
    <row r="4" spans="1:14" ht="15.75" thickBot="1" x14ac:dyDescent="0.3">
      <c r="B4" s="116" t="s">
        <v>29</v>
      </c>
      <c r="C4" s="157">
        <f t="shared" ref="C4:F5" si="0">C10+C16</f>
        <v>5925967.1747555183</v>
      </c>
      <c r="D4" s="158">
        <f t="shared" si="0"/>
        <v>985488.23905999993</v>
      </c>
      <c r="E4" s="158">
        <f t="shared" si="0"/>
        <v>-12113.23410000002</v>
      </c>
      <c r="F4" s="155">
        <f t="shared" si="0"/>
        <v>-4343.54</v>
      </c>
      <c r="G4" s="162">
        <f>PPC!B5</f>
        <v>1847740016</v>
      </c>
      <c r="H4" s="163">
        <f>ROUND(SUM(C4:F4)/G4,5)</f>
        <v>3.7299999999999998E-3</v>
      </c>
      <c r="I4" s="164"/>
      <c r="J4" s="226">
        <f>ROUND((C10+C16)/G4,5)</f>
        <v>3.2100000000000002E-3</v>
      </c>
      <c r="K4" s="165">
        <f>ROUND((D10+D16)/G4,5)</f>
        <v>5.2999999999999998E-4</v>
      </c>
      <c r="L4" s="165">
        <f>ROUND((E10+E16)/G4,5)</f>
        <v>-1.0000000000000001E-5</v>
      </c>
      <c r="M4" s="165">
        <f>ROUND((F10+F16)/G4,5)</f>
        <v>0</v>
      </c>
      <c r="N4" s="61"/>
    </row>
    <row r="5" spans="1:14" ht="15.75" thickBot="1" x14ac:dyDescent="0.3">
      <c r="B5" s="116" t="s">
        <v>30</v>
      </c>
      <c r="C5" s="157">
        <f t="shared" si="0"/>
        <v>6810987.8644600008</v>
      </c>
      <c r="D5" s="158">
        <f t="shared" si="0"/>
        <v>884133.81865999987</v>
      </c>
      <c r="E5" s="158">
        <f t="shared" si="0"/>
        <v>22361.915540000162</v>
      </c>
      <c r="F5" s="155">
        <f t="shared" si="0"/>
        <v>-4343.54</v>
      </c>
      <c r="G5" s="162">
        <f>PPC!B6</f>
        <v>1763093918</v>
      </c>
      <c r="H5" s="163">
        <f>ROUND(SUM(C5:F5)/G5,5)</f>
        <v>4.3699999999999998E-3</v>
      </c>
      <c r="I5" s="164"/>
      <c r="J5" s="227">
        <f>ROUND((C11+C17)/G5,5)</f>
        <v>3.8600000000000001E-3</v>
      </c>
      <c r="K5" s="227">
        <f>ROUND((D11+D17)/G5,5)</f>
        <v>5.0000000000000001E-4</v>
      </c>
      <c r="L5" s="163">
        <f>ROUND((E11+E17)/G5,5)</f>
        <v>1.0000000000000001E-5</v>
      </c>
      <c r="M5" s="165">
        <f>ROUND((F11+F17)/G5,5)</f>
        <v>0</v>
      </c>
      <c r="N5" s="61"/>
    </row>
    <row r="6" spans="1:14" x14ac:dyDescent="0.25">
      <c r="C6" s="154"/>
      <c r="D6" s="154"/>
      <c r="E6" s="154"/>
      <c r="F6" s="154"/>
      <c r="G6" s="153"/>
      <c r="M6" s="61"/>
      <c r="N6" s="61"/>
    </row>
    <row r="7" spans="1:14" x14ac:dyDescent="0.25">
      <c r="C7" s="154"/>
      <c r="D7" s="154"/>
      <c r="E7" s="154"/>
      <c r="F7" s="154"/>
      <c r="G7" s="153"/>
      <c r="M7" s="61"/>
      <c r="N7" s="61"/>
    </row>
    <row r="8" spans="1:14" ht="15.75" thickBot="1" x14ac:dyDescent="0.3">
      <c r="C8" s="154"/>
      <c r="D8" s="154"/>
      <c r="E8" s="154"/>
      <c r="F8" s="154"/>
      <c r="G8" s="153"/>
      <c r="M8" s="61"/>
      <c r="N8" s="61"/>
    </row>
    <row r="9" spans="1:14" ht="15.75" thickBot="1" x14ac:dyDescent="0.3">
      <c r="B9" s="112" t="s">
        <v>8</v>
      </c>
      <c r="C9" s="160" t="s">
        <v>7</v>
      </c>
      <c r="D9" s="160" t="s">
        <v>19</v>
      </c>
      <c r="E9" s="161" t="s">
        <v>76</v>
      </c>
      <c r="F9" s="161" t="s">
        <v>20</v>
      </c>
      <c r="G9" s="153"/>
      <c r="M9" s="61"/>
      <c r="N9" s="61"/>
    </row>
    <row r="10" spans="1:14" ht="15.75" thickBot="1" x14ac:dyDescent="0.3">
      <c r="B10" s="116" t="s">
        <v>29</v>
      </c>
      <c r="C10" s="158">
        <f>PPC!C5</f>
        <v>4433625.9749999996</v>
      </c>
      <c r="D10" s="158">
        <f>PTD!C6</f>
        <v>885970.6</v>
      </c>
      <c r="E10" s="155">
        <f>+EO!G8</f>
        <v>0</v>
      </c>
      <c r="F10" s="156">
        <f>+OA!D8</f>
        <v>-4343.54</v>
      </c>
      <c r="G10" s="153"/>
      <c r="M10" s="61"/>
      <c r="N10" s="61"/>
    </row>
    <row r="11" spans="1:14" ht="15.75" thickBot="1" x14ac:dyDescent="0.3">
      <c r="B11" s="116" t="s">
        <v>30</v>
      </c>
      <c r="C11" s="158">
        <f>PPC!C6</f>
        <v>5607611.6450000005</v>
      </c>
      <c r="D11" s="158">
        <f>PTD!C7</f>
        <v>982352.81</v>
      </c>
      <c r="E11" s="155">
        <f>+EO!G9</f>
        <v>0</v>
      </c>
      <c r="F11" s="156">
        <f>+OA!D9</f>
        <v>-4343.54</v>
      </c>
      <c r="G11" s="153"/>
      <c r="M11" s="61"/>
      <c r="N11" s="61"/>
    </row>
    <row r="12" spans="1:14" x14ac:dyDescent="0.25">
      <c r="C12" s="154"/>
      <c r="D12" s="154"/>
      <c r="E12" s="154"/>
      <c r="F12" s="154"/>
      <c r="G12" s="153"/>
      <c r="M12" s="61"/>
      <c r="N12" s="61"/>
    </row>
    <row r="13" spans="1:14" x14ac:dyDescent="0.25">
      <c r="C13" s="154"/>
      <c r="D13" s="154"/>
      <c r="E13" s="154"/>
      <c r="F13" s="154"/>
      <c r="G13" s="153"/>
      <c r="M13" s="61"/>
      <c r="N13" s="61"/>
    </row>
    <row r="14" spans="1:14" ht="15.75" thickBot="1" x14ac:dyDescent="0.3">
      <c r="C14" s="154"/>
      <c r="D14" s="154"/>
      <c r="E14" s="154"/>
      <c r="F14" s="154"/>
      <c r="G14" s="153"/>
      <c r="M14" s="61"/>
      <c r="N14" s="61"/>
    </row>
    <row r="15" spans="1:14" ht="15.75" thickBot="1" x14ac:dyDescent="0.3">
      <c r="B15" s="112" t="s">
        <v>8</v>
      </c>
      <c r="C15" s="160" t="s">
        <v>4</v>
      </c>
      <c r="D15" s="160" t="s">
        <v>10</v>
      </c>
      <c r="E15" s="161" t="s">
        <v>77</v>
      </c>
      <c r="F15" s="161" t="s">
        <v>21</v>
      </c>
      <c r="G15" s="153"/>
      <c r="M15" s="61"/>
      <c r="N15" s="61"/>
    </row>
    <row r="16" spans="1:14" ht="15.75" thickBot="1" x14ac:dyDescent="0.3">
      <c r="B16" s="116" t="s">
        <v>29</v>
      </c>
      <c r="C16" s="158">
        <f>+'PCR Cycle 1'!J4+'PCR Cycle 2'!J4</f>
        <v>1492341.1997555185</v>
      </c>
      <c r="D16" s="158">
        <f>+'TDR Cycle 1'!J4+'TDR Cycle 2'!K4</f>
        <v>99517.639059999987</v>
      </c>
      <c r="E16" s="158">
        <f>+EOR!I4</f>
        <v>-12113.23410000002</v>
      </c>
      <c r="F16" s="156">
        <v>0</v>
      </c>
      <c r="G16" s="153"/>
      <c r="M16" s="61"/>
      <c r="N16" s="61"/>
    </row>
    <row r="17" spans="2:14" ht="15.75" thickBot="1" x14ac:dyDescent="0.3">
      <c r="B17" s="116" t="s">
        <v>30</v>
      </c>
      <c r="C17" s="158">
        <f>+'PCR Cycle 1'!J5+'PCR Cycle 2'!J5</f>
        <v>1203376.2194600003</v>
      </c>
      <c r="D17" s="158">
        <f>+'TDR Cycle 1'!J5+'TDR Cycle 2'!K5</f>
        <v>-98218.991340000153</v>
      </c>
      <c r="E17" s="158">
        <f>+EOR!I5</f>
        <v>22361.915540000162</v>
      </c>
      <c r="F17" s="156">
        <v>0</v>
      </c>
      <c r="G17" s="153"/>
      <c r="M17" s="61"/>
      <c r="N17" s="61"/>
    </row>
    <row r="18" spans="2:14" x14ac:dyDescent="0.25">
      <c r="M18" s="61"/>
      <c r="N18" s="61"/>
    </row>
    <row r="19" spans="2:14" x14ac:dyDescent="0.25">
      <c r="B19" s="120" t="s">
        <v>48</v>
      </c>
      <c r="M19" s="61"/>
      <c r="N19" s="61"/>
    </row>
    <row r="20" spans="2:14" x14ac:dyDescent="0.25">
      <c r="B20" s="121" t="s">
        <v>49</v>
      </c>
      <c r="M20" s="61"/>
      <c r="N20" s="61"/>
    </row>
    <row r="21" spans="2:14" x14ac:dyDescent="0.25">
      <c r="B21" s="121" t="s">
        <v>59</v>
      </c>
      <c r="M21" s="61"/>
      <c r="N21" s="61"/>
    </row>
    <row r="22" spans="2:14" x14ac:dyDescent="0.25">
      <c r="B22" s="121" t="s">
        <v>50</v>
      </c>
      <c r="M22" s="61"/>
      <c r="N22" s="61"/>
    </row>
    <row r="23" spans="2:14" x14ac:dyDescent="0.25">
      <c r="B23" s="121" t="s">
        <v>51</v>
      </c>
      <c r="M23" s="61"/>
      <c r="N23" s="61"/>
    </row>
    <row r="24" spans="2:14" x14ac:dyDescent="0.25">
      <c r="B24" s="121" t="s">
        <v>52</v>
      </c>
      <c r="M24" s="61"/>
      <c r="N24" s="61"/>
    </row>
    <row r="25" spans="2:14" x14ac:dyDescent="0.25">
      <c r="B25" s="121" t="s">
        <v>53</v>
      </c>
      <c r="M25" s="61"/>
      <c r="N25" s="61"/>
    </row>
    <row r="26" spans="2:14" x14ac:dyDescent="0.25">
      <c r="B26" s="121" t="s">
        <v>64</v>
      </c>
      <c r="M26" s="61"/>
      <c r="N26" s="61"/>
    </row>
    <row r="27" spans="2:14" x14ac:dyDescent="0.25">
      <c r="B27" s="121" t="s">
        <v>54</v>
      </c>
      <c r="M27" s="61"/>
      <c r="N27" s="61"/>
    </row>
    <row r="28" spans="2:14" x14ac:dyDescent="0.25">
      <c r="B28" s="121" t="s">
        <v>71</v>
      </c>
      <c r="M28" s="61"/>
      <c r="N28" s="61"/>
    </row>
    <row r="29" spans="2:14" x14ac:dyDescent="0.25">
      <c r="B29" s="121" t="s">
        <v>73</v>
      </c>
      <c r="M29" s="61"/>
      <c r="N29" s="61"/>
    </row>
    <row r="30" spans="2:14" x14ac:dyDescent="0.25">
      <c r="B30" s="121" t="s">
        <v>72</v>
      </c>
      <c r="M30" s="61"/>
      <c r="N30" s="61"/>
    </row>
    <row r="31" spans="2:14" x14ac:dyDescent="0.25">
      <c r="B31" s="121" t="s">
        <v>55</v>
      </c>
      <c r="M31" s="61"/>
      <c r="N31" s="61"/>
    </row>
    <row r="32" spans="2:14" x14ac:dyDescent="0.25">
      <c r="B32" s="121" t="s">
        <v>56</v>
      </c>
      <c r="M32" s="61"/>
      <c r="N32" s="61"/>
    </row>
    <row r="33" spans="2:14" x14ac:dyDescent="0.25">
      <c r="B33" s="121" t="s">
        <v>57</v>
      </c>
      <c r="M33" s="61"/>
      <c r="N33" s="61"/>
    </row>
    <row r="34" spans="2:14" x14ac:dyDescent="0.25">
      <c r="B34" s="121" t="s">
        <v>58</v>
      </c>
      <c r="M34" s="61"/>
      <c r="N34" s="61"/>
    </row>
    <row r="35" spans="2:14" x14ac:dyDescent="0.25">
      <c r="M35" s="61"/>
      <c r="N35" s="61"/>
    </row>
    <row r="36" spans="2:14" x14ac:dyDescent="0.25">
      <c r="M36" s="61"/>
      <c r="N36" s="61"/>
    </row>
    <row r="37" spans="2:14" x14ac:dyDescent="0.25">
      <c r="M37" s="61"/>
      <c r="N37" s="61"/>
    </row>
    <row r="38" spans="2:14" x14ac:dyDescent="0.25">
      <c r="M38" s="61"/>
      <c r="N38" s="61"/>
    </row>
    <row r="39" spans="2:14" x14ac:dyDescent="0.25">
      <c r="M39" s="61"/>
      <c r="N39" s="61"/>
    </row>
    <row r="40" spans="2:14" x14ac:dyDescent="0.25"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</sheetData>
  <pageMargins left="0.2" right="0.2" top="0.75" bottom="0.25" header="0.3" footer="0.3"/>
  <pageSetup scale="42" orientation="landscape" r:id="rId1"/>
  <headerFooter>
    <oddHeader>&amp;C&amp;F &amp;A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workbookViewId="0">
      <selection activeCell="B26" sqref="B26"/>
    </sheetView>
  </sheetViews>
  <sheetFormatPr defaultRowHeight="15" x14ac:dyDescent="0.25"/>
  <cols>
    <col min="1" max="1" width="43.710937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16384" width="9.140625" style="61"/>
  </cols>
  <sheetData>
    <row r="1" spans="1:5" x14ac:dyDescent="0.25">
      <c r="A1" s="79" t="str">
        <f>+PPC!A1</f>
        <v>KCP&amp;L Greater Missouri Operations Company - DSIM Rider Update Filed June 2019</v>
      </c>
    </row>
    <row r="2" spans="1:5" x14ac:dyDescent="0.25">
      <c r="A2" s="9" t="str">
        <f>+PPC!A2</f>
        <v>Projections for Cycle 2 July - December 2019 DSIM</v>
      </c>
    </row>
    <row r="3" spans="1:5" ht="45.75" customHeight="1" x14ac:dyDescent="0.25">
      <c r="B3" s="252" t="s">
        <v>119</v>
      </c>
      <c r="C3" s="252"/>
      <c r="D3" s="252"/>
    </row>
    <row r="4" spans="1:5" x14ac:dyDescent="0.25">
      <c r="B4" s="86"/>
      <c r="C4" s="86"/>
      <c r="D4" s="63" t="s">
        <v>20</v>
      </c>
    </row>
    <row r="5" spans="1:5" x14ac:dyDescent="0.25">
      <c r="A5" s="22" t="s">
        <v>120</v>
      </c>
      <c r="B5" s="86"/>
      <c r="C5" s="86"/>
      <c r="D5" s="223">
        <f>+D22</f>
        <v>-8500</v>
      </c>
    </row>
    <row r="6" spans="1:5" x14ac:dyDescent="0.25">
      <c r="A6" s="22" t="s">
        <v>121</v>
      </c>
      <c r="B6" s="86"/>
      <c r="C6" s="86"/>
      <c r="D6" s="223">
        <f>+D32</f>
        <v>-187.07</v>
      </c>
    </row>
    <row r="7" spans="1:5" ht="30" x14ac:dyDescent="0.25">
      <c r="A7" s="22"/>
      <c r="B7" s="86"/>
      <c r="C7" s="86" t="s">
        <v>133</v>
      </c>
      <c r="D7" s="199"/>
    </row>
    <row r="8" spans="1:5" x14ac:dyDescent="0.25">
      <c r="A8" s="22" t="s">
        <v>29</v>
      </c>
      <c r="B8" s="86"/>
      <c r="C8" s="251">
        <v>0.5</v>
      </c>
      <c r="D8" s="36">
        <f>ROUND(SUM(D5:D6)*C8,2)</f>
        <v>-4343.54</v>
      </c>
      <c r="E8" s="4"/>
    </row>
    <row r="9" spans="1:5" x14ac:dyDescent="0.25">
      <c r="A9" s="22" t="s">
        <v>30</v>
      </c>
      <c r="B9" s="86"/>
      <c r="C9" s="251">
        <v>0.5</v>
      </c>
      <c r="D9" s="36">
        <f>ROUND(SUM(D5:D6)*C9,2)</f>
        <v>-4343.54</v>
      </c>
      <c r="E9" s="4"/>
    </row>
    <row r="10" spans="1:5" ht="15.75" thickBot="1" x14ac:dyDescent="0.3">
      <c r="A10" s="22" t="s">
        <v>6</v>
      </c>
      <c r="B10" s="86"/>
      <c r="C10" s="251">
        <f>SUM(C8:C9)</f>
        <v>1</v>
      </c>
      <c r="D10" s="24">
        <f>SUM(D8:D9)</f>
        <v>-8687.08</v>
      </c>
      <c r="E10" s="4"/>
    </row>
    <row r="11" spans="1:5" ht="16.5" thickTop="1" thickBot="1" x14ac:dyDescent="0.3">
      <c r="B11" s="33"/>
      <c r="C11" s="33"/>
      <c r="D11" s="21">
        <f>ROUND(D5+D6,2)-D10</f>
        <v>1.0000000000218279E-2</v>
      </c>
      <c r="E11" s="2"/>
    </row>
    <row r="12" spans="1:5" ht="15.75" thickTop="1" x14ac:dyDescent="0.25">
      <c r="E12" s="4"/>
    </row>
    <row r="13" spans="1:5" x14ac:dyDescent="0.25">
      <c r="E13" s="4"/>
    </row>
    <row r="17" spans="1:4" x14ac:dyDescent="0.25">
      <c r="A17" s="68" t="s">
        <v>13</v>
      </c>
    </row>
    <row r="18" spans="1:4" x14ac:dyDescent="0.25">
      <c r="A18" s="3" t="s">
        <v>142</v>
      </c>
    </row>
    <row r="19" spans="1:4" x14ac:dyDescent="0.25">
      <c r="A19" s="3" t="s">
        <v>135</v>
      </c>
    </row>
    <row r="20" spans="1:4" x14ac:dyDescent="0.25">
      <c r="A20" s="3" t="s">
        <v>134</v>
      </c>
    </row>
    <row r="21" spans="1:4" x14ac:dyDescent="0.25">
      <c r="A21" s="3"/>
    </row>
    <row r="22" spans="1:4" x14ac:dyDescent="0.25">
      <c r="A22" s="3" t="s">
        <v>137</v>
      </c>
      <c r="D22" s="216">
        <v>-8500</v>
      </c>
    </row>
    <row r="23" spans="1:4" x14ac:dyDescent="0.25">
      <c r="D23" s="216"/>
    </row>
    <row r="24" spans="1:4" ht="45" x14ac:dyDescent="0.25">
      <c r="B24" s="86" t="s">
        <v>136</v>
      </c>
      <c r="D24" s="216"/>
    </row>
    <row r="25" spans="1:4" x14ac:dyDescent="0.25">
      <c r="A25" s="247">
        <v>43496</v>
      </c>
      <c r="B25" s="248">
        <f>+'PCR Cycle 1'!F38</f>
        <v>3.13277E-3</v>
      </c>
      <c r="D25" s="216">
        <f>ROUND(SUM(D$22:D24)*B25,2)</f>
        <v>-26.63</v>
      </c>
    </row>
    <row r="26" spans="1:4" x14ac:dyDescent="0.25">
      <c r="A26" s="247">
        <f>EOMONTH(A25,1)</f>
        <v>43524</v>
      </c>
      <c r="B26" s="248">
        <f>+'PCR Cycle 1'!G38</f>
        <v>3.1206900000000002E-3</v>
      </c>
      <c r="D26" s="216">
        <f>ROUND(SUM(D$22:D25)*B26,2)</f>
        <v>-26.61</v>
      </c>
    </row>
    <row r="27" spans="1:4" x14ac:dyDescent="0.25">
      <c r="A27" s="247">
        <f t="shared" ref="A27:A30" si="0">EOMONTH(A26,1)</f>
        <v>43555</v>
      </c>
      <c r="B27" s="248">
        <f>+'PCR Cycle 1'!H38</f>
        <v>3.11648E-3</v>
      </c>
      <c r="D27" s="216">
        <f>ROUND(SUM(D$22:D26)*B27,2)</f>
        <v>-26.66</v>
      </c>
    </row>
    <row r="28" spans="1:4" x14ac:dyDescent="0.25">
      <c r="A28" s="247">
        <f t="shared" si="0"/>
        <v>43585</v>
      </c>
      <c r="B28" s="248">
        <f>+'PCR Cycle 1'!I38</f>
        <v>3.1080600000000002E-3</v>
      </c>
      <c r="D28" s="216">
        <f>ROUND(SUM(D$22:D27)*B28,2)</f>
        <v>-26.67</v>
      </c>
    </row>
    <row r="29" spans="1:4" x14ac:dyDescent="0.25">
      <c r="A29" s="247">
        <f t="shared" si="0"/>
        <v>43616</v>
      </c>
      <c r="B29" s="249">
        <f>+'PCR Cycle 1'!J38</f>
        <v>3.1080600000000002E-3</v>
      </c>
      <c r="D29" s="216">
        <f>ROUND(SUM(D$22:D28)*B29,2)</f>
        <v>-26.75</v>
      </c>
    </row>
    <row r="30" spans="1:4" x14ac:dyDescent="0.25">
      <c r="A30" s="247">
        <f t="shared" si="0"/>
        <v>43646</v>
      </c>
      <c r="B30" s="249">
        <f>+'PCR Cycle 1'!K38</f>
        <v>3.1080600000000002E-3</v>
      </c>
      <c r="D30" s="216">
        <f>ROUND(SUM(D$22:D29)*B30,2)</f>
        <v>-26.83</v>
      </c>
    </row>
    <row r="31" spans="1:4" ht="17.25" x14ac:dyDescent="0.4">
      <c r="A31" s="247">
        <f>EOMONTH(A30,1)</f>
        <v>43677</v>
      </c>
      <c r="B31" s="249">
        <f>+B30</f>
        <v>3.1080600000000002E-3</v>
      </c>
      <c r="D31" s="250">
        <f>ROUND(SUM(D$22:D30)*B31,2)</f>
        <v>-26.92</v>
      </c>
    </row>
    <row r="32" spans="1:4" x14ac:dyDescent="0.25">
      <c r="A32" s="247"/>
      <c r="D32" s="216">
        <f>SUM(D25:D31)</f>
        <v>-187.07</v>
      </c>
    </row>
  </sheetData>
  <mergeCells count="1">
    <mergeCell ref="B3:D3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I22" sqref="I22"/>
    </sheetView>
  </sheetViews>
  <sheetFormatPr defaultRowHeight="15" x14ac:dyDescent="0.25"/>
  <sheetData/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workbookViewId="0">
      <selection activeCell="A11" sqref="A11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8" width="17.7109375" customWidth="1"/>
    <col min="9" max="9" width="21.42578125" customWidth="1"/>
  </cols>
  <sheetData>
    <row r="1" spans="1:32" s="61" customFormat="1" x14ac:dyDescent="0.25">
      <c r="A1" s="79" t="s">
        <v>152</v>
      </c>
    </row>
    <row r="2" spans="1:32" ht="15.75" thickBot="1" x14ac:dyDescent="0.3">
      <c r="A2" s="9" t="s">
        <v>123</v>
      </c>
    </row>
    <row r="3" spans="1:32" ht="35.25" customHeight="1" thickBot="1" x14ac:dyDescent="0.3">
      <c r="B3" s="252" t="s">
        <v>85</v>
      </c>
      <c r="C3" s="252"/>
      <c r="E3" s="253" t="s">
        <v>5</v>
      </c>
      <c r="F3" s="254"/>
      <c r="G3" s="254"/>
      <c r="H3" s="254"/>
      <c r="I3" s="255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+'[1]Billed kWh Sales'!D28</f>
        <v>1847740016</v>
      </c>
      <c r="C5" s="36">
        <f>SUM(F9:I9)</f>
        <v>4433625.9749999996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Sales'!D29</f>
        <v>1763093918</v>
      </c>
      <c r="C6" s="36">
        <f>SUM(F10:I10)</f>
        <v>5607611.6450000005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3610833934</v>
      </c>
      <c r="C7" s="24">
        <f>SUM(C5:C6)</f>
        <v>10041237.620000001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GMO'!$BG$159,2)</f>
        <v>4136871.9</v>
      </c>
      <c r="G8" s="37">
        <f>ROUND('[2]Program Costs - GMO'!$BG$160,2)</f>
        <v>5310857.57</v>
      </c>
      <c r="H8" s="37">
        <f>ROUND('[2]Program Costs - GMO'!$BG$161,2)</f>
        <v>593508.15</v>
      </c>
      <c r="I8" s="38">
        <f>ROUND('[2]Program Costs - GMO'!$BG$162,2)</f>
        <v>0</v>
      </c>
    </row>
    <row r="9" spans="1:32" ht="15.75" thickTop="1" x14ac:dyDescent="0.25">
      <c r="D9" s="4"/>
      <c r="E9" s="108" t="s">
        <v>29</v>
      </c>
      <c r="F9" s="109">
        <f t="shared" ref="F9:I10" si="0">F5*F$8</f>
        <v>4136871.9</v>
      </c>
      <c r="G9" s="109">
        <f t="shared" si="0"/>
        <v>0</v>
      </c>
      <c r="H9" s="109">
        <f t="shared" si="0"/>
        <v>296754.07500000001</v>
      </c>
      <c r="I9" s="110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5310857.57</v>
      </c>
      <c r="H10" s="29">
        <f t="shared" si="0"/>
        <v>296754.07500000001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8" t="s">
        <v>13</v>
      </c>
      <c r="F14" s="60"/>
      <c r="G14" s="60"/>
      <c r="H14" s="60"/>
      <c r="I14" s="60"/>
      <c r="J14" s="60"/>
    </row>
    <row r="15" spans="1:32" x14ac:dyDescent="0.25">
      <c r="A15" s="256" t="s">
        <v>143</v>
      </c>
      <c r="B15" s="256"/>
      <c r="C15" s="256"/>
      <c r="D15" s="256"/>
      <c r="E15" s="256"/>
      <c r="F15" s="256"/>
      <c r="G15" s="256"/>
      <c r="H15" s="256"/>
      <c r="I15" s="256"/>
    </row>
    <row r="16" spans="1:32" x14ac:dyDescent="0.25">
      <c r="A16" s="257" t="s">
        <v>144</v>
      </c>
      <c r="B16" s="257"/>
      <c r="C16" s="257"/>
      <c r="D16" s="257"/>
      <c r="E16" s="257"/>
      <c r="F16" s="257"/>
      <c r="G16" s="257"/>
      <c r="H16" s="257"/>
      <c r="I16" s="257"/>
    </row>
    <row r="26" spans="1:10" x14ac:dyDescent="0.25">
      <c r="C26" s="2"/>
    </row>
    <row r="28" spans="1:10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5">
      <c r="A29" s="61"/>
      <c r="B29" s="61"/>
      <c r="C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5"/>
  <sheetViews>
    <sheetView topLeftCell="C13" workbookViewId="0">
      <selection activeCell="O13" sqref="O1:Q1048576"/>
    </sheetView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bestFit="1" customWidth="1"/>
    <col min="14" max="14" width="16.28515625" bestFit="1" customWidth="1"/>
    <col min="15" max="15" width="17.42578125" customWidth="1"/>
    <col min="16" max="16" width="15.5703125" customWidth="1"/>
    <col min="17" max="17" width="13" customWidth="1"/>
    <col min="19" max="19" width="14.28515625" bestFit="1" customWidth="1"/>
  </cols>
  <sheetData>
    <row r="1" spans="1:32" x14ac:dyDescent="0.25">
      <c r="A1" s="3" t="str">
        <f>+PPC!A1</f>
        <v>KCP&amp;L Greater Missouri Operations Company - DSIM Rider Update Filed June 2019</v>
      </c>
      <c r="B1" s="3"/>
      <c r="C1" s="3"/>
    </row>
    <row r="2" spans="1:32" x14ac:dyDescent="0.25">
      <c r="D2" s="3" t="s">
        <v>78</v>
      </c>
    </row>
    <row r="3" spans="1:32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</row>
    <row r="4" spans="1:32" x14ac:dyDescent="0.25">
      <c r="A4" s="61" t="s">
        <v>29</v>
      </c>
      <c r="D4" s="24">
        <f>SUM(C25:L25)</f>
        <v>71869.333760000009</v>
      </c>
      <c r="E4" s="168">
        <f>SUM(C21:L21)</f>
        <v>1772837729.5085273</v>
      </c>
      <c r="F4" s="24">
        <f>SUM(C17:K17)</f>
        <v>0</v>
      </c>
      <c r="G4" s="24">
        <f>F4-D4</f>
        <v>-71869.333760000009</v>
      </c>
      <c r="H4" s="24">
        <f>+B35</f>
        <v>72595.739999999962</v>
      </c>
      <c r="I4" s="24">
        <f>SUM(C40:K40)</f>
        <v>883.99999999999989</v>
      </c>
      <c r="J4" s="36">
        <f>SUM(G4:I4)</f>
        <v>1610.406239999953</v>
      </c>
      <c r="K4" s="62">
        <f>+J4-L35</f>
        <v>4.7748471843078732E-12</v>
      </c>
    </row>
    <row r="5" spans="1:32" ht="15.75" thickBot="1" x14ac:dyDescent="0.3">
      <c r="A5" t="s">
        <v>30</v>
      </c>
      <c r="D5" s="24">
        <f>SUM(C26:L26)</f>
        <v>-135243.32344000001</v>
      </c>
      <c r="E5" s="168">
        <f>SUM(C22:L22)</f>
        <v>1676787914.0720997</v>
      </c>
      <c r="F5" s="24">
        <f>SUM(C18:K18)</f>
        <v>0</v>
      </c>
      <c r="G5" s="24">
        <f>F5-D5</f>
        <v>135243.32344000001</v>
      </c>
      <c r="H5" s="24">
        <f>+B36</f>
        <v>-137589.54849999968</v>
      </c>
      <c r="I5" s="24">
        <f>SUM(C41:K41)</f>
        <v>-1803.2</v>
      </c>
      <c r="J5" s="36">
        <f>SUM(G5:I5)</f>
        <v>-4149.4250599996767</v>
      </c>
      <c r="K5" s="62">
        <f>+J5-L36</f>
        <v>0</v>
      </c>
    </row>
    <row r="6" spans="1:32" ht="16.5" thickTop="1" thickBot="1" x14ac:dyDescent="0.3">
      <c r="D6" s="40">
        <f t="shared" ref="D6" si="0">SUM(D4:D5)</f>
        <v>-63373.989679999999</v>
      </c>
      <c r="E6" s="169">
        <f t="shared" ref="E6:H6" si="1">SUM(E4:E5)</f>
        <v>3449625643.580627</v>
      </c>
      <c r="F6" s="40">
        <f t="shared" si="1"/>
        <v>0</v>
      </c>
      <c r="G6" s="40">
        <f t="shared" si="1"/>
        <v>63373.989679999999</v>
      </c>
      <c r="H6" s="40">
        <f t="shared" si="1"/>
        <v>-64993.808499999723</v>
      </c>
      <c r="I6" s="94">
        <f>SUM(I4:I5)</f>
        <v>-919.20000000000016</v>
      </c>
      <c r="J6" s="40">
        <f>SUM(J4:J5)</f>
        <v>-2539.0188199997237</v>
      </c>
    </row>
    <row r="7" spans="1:32" ht="16.5" thickTop="1" thickBot="1" x14ac:dyDescent="0.3"/>
    <row r="8" spans="1:32" ht="90.75" thickBot="1" x14ac:dyDescent="0.3">
      <c r="B8" s="145" t="s">
        <v>124</v>
      </c>
      <c r="C8" s="219" t="s">
        <v>125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2" x14ac:dyDescent="0.25">
      <c r="A9" t="s">
        <v>38</v>
      </c>
      <c r="C9" s="14"/>
      <c r="D9" s="20">
        <v>43434</v>
      </c>
      <c r="E9" s="20">
        <f>EOMONTH(D9,1)</f>
        <v>43465</v>
      </c>
      <c r="F9" s="20">
        <f t="shared" ref="F9:L9" si="2">EOMONTH(E9,1)</f>
        <v>43496</v>
      </c>
      <c r="G9" s="14">
        <f t="shared" si="2"/>
        <v>43524</v>
      </c>
      <c r="H9" s="20">
        <f t="shared" si="2"/>
        <v>43555</v>
      </c>
      <c r="I9" s="20">
        <f t="shared" si="2"/>
        <v>43585</v>
      </c>
      <c r="J9" s="14">
        <f t="shared" si="2"/>
        <v>43616</v>
      </c>
      <c r="K9" s="20">
        <f t="shared" si="2"/>
        <v>43646</v>
      </c>
      <c r="L9" s="122">
        <f t="shared" si="2"/>
        <v>43677</v>
      </c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t="s">
        <v>29</v>
      </c>
      <c r="C10" s="124">
        <v>0</v>
      </c>
      <c r="D10" s="136">
        <v>0</v>
      </c>
      <c r="E10" s="136">
        <v>0</v>
      </c>
      <c r="F10" s="137">
        <v>0</v>
      </c>
      <c r="G10" s="16">
        <v>0</v>
      </c>
      <c r="H10" s="70">
        <v>0</v>
      </c>
      <c r="I10" s="72">
        <v>0</v>
      </c>
      <c r="J10" s="180">
        <v>0</v>
      </c>
      <c r="K10" s="171">
        <v>0</v>
      </c>
      <c r="L10" s="95"/>
    </row>
    <row r="11" spans="1:32" x14ac:dyDescent="0.25">
      <c r="A11" t="s">
        <v>30</v>
      </c>
      <c r="C11" s="124">
        <v>0</v>
      </c>
      <c r="D11" s="136">
        <v>0</v>
      </c>
      <c r="E11" s="136">
        <v>0</v>
      </c>
      <c r="F11" s="137">
        <v>0</v>
      </c>
      <c r="G11" s="16">
        <v>0</v>
      </c>
      <c r="H11" s="70">
        <v>0</v>
      </c>
      <c r="I11" s="72">
        <v>0</v>
      </c>
      <c r="J11" s="180">
        <v>0</v>
      </c>
      <c r="K11" s="171">
        <v>0</v>
      </c>
      <c r="L11" s="95"/>
      <c r="M11" s="79" t="s">
        <v>32</v>
      </c>
    </row>
    <row r="12" spans="1:32" x14ac:dyDescent="0.25">
      <c r="A12" t="s">
        <v>0</v>
      </c>
      <c r="C12" s="124">
        <v>0</v>
      </c>
      <c r="D12" s="136">
        <v>0</v>
      </c>
      <c r="E12" s="136">
        <v>0</v>
      </c>
      <c r="F12" s="137">
        <v>0</v>
      </c>
      <c r="G12" s="16">
        <v>0</v>
      </c>
      <c r="H12" s="70">
        <v>0</v>
      </c>
      <c r="I12" s="72">
        <v>0</v>
      </c>
      <c r="J12" s="180">
        <v>0</v>
      </c>
      <c r="K12" s="171">
        <v>0</v>
      </c>
      <c r="L12" s="95"/>
      <c r="M12" s="89">
        <v>0.5</v>
      </c>
    </row>
    <row r="13" spans="1:32" x14ac:dyDescent="0.25">
      <c r="A13" t="s">
        <v>1</v>
      </c>
      <c r="C13" s="124">
        <v>0</v>
      </c>
      <c r="D13" s="136">
        <v>0</v>
      </c>
      <c r="E13" s="136">
        <v>0</v>
      </c>
      <c r="F13" s="137">
        <v>0</v>
      </c>
      <c r="G13" s="16">
        <v>0</v>
      </c>
      <c r="H13" s="70">
        <v>0</v>
      </c>
      <c r="I13" s="72">
        <v>0</v>
      </c>
      <c r="J13" s="180">
        <v>0</v>
      </c>
      <c r="K13" s="171">
        <v>0</v>
      </c>
      <c r="L13" s="95"/>
      <c r="M13" s="79" t="s">
        <v>28</v>
      </c>
    </row>
    <row r="14" spans="1:32" s="61" customFormat="1" x14ac:dyDescent="0.25">
      <c r="A14" s="61" t="s">
        <v>27</v>
      </c>
      <c r="C14" s="124">
        <v>0</v>
      </c>
      <c r="D14" s="136">
        <v>0</v>
      </c>
      <c r="E14" s="136">
        <v>0</v>
      </c>
      <c r="F14" s="137">
        <v>0</v>
      </c>
      <c r="G14" s="16">
        <v>0</v>
      </c>
      <c r="H14" s="70">
        <v>0</v>
      </c>
      <c r="I14" s="72">
        <v>0</v>
      </c>
      <c r="J14" s="180">
        <v>0</v>
      </c>
      <c r="K14" s="171">
        <v>0</v>
      </c>
      <c r="L14" s="95"/>
      <c r="M14" s="89">
        <v>2.4400000000000002E-2</v>
      </c>
    </row>
    <row r="15" spans="1:32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2" x14ac:dyDescent="0.25">
      <c r="A16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H17" si="3">C10+($M$12*C$12)+($M$12*C$13)+C$14*(1-$M$14)</f>
        <v>0</v>
      </c>
      <c r="D17" s="54">
        <f t="shared" si="3"/>
        <v>0</v>
      </c>
      <c r="E17" s="54">
        <f t="shared" si="3"/>
        <v>0</v>
      </c>
      <c r="F17" s="135">
        <f t="shared" si="3"/>
        <v>0</v>
      </c>
      <c r="G17" s="53">
        <f t="shared" si="3"/>
        <v>0</v>
      </c>
      <c r="H17" s="54">
        <f t="shared" si="3"/>
        <v>0</v>
      </c>
      <c r="I17" s="135">
        <f t="shared" ref="I17" si="4">I10+($M$12*I$12)+($M$12*I$13)+I$14*(1-$M$14)</f>
        <v>0</v>
      </c>
      <c r="J17" s="53">
        <f t="shared" ref="J17:L17" si="5">J10+($M$12*J$12)+($M$12*J$13)+J$14*(1-$M$14)</f>
        <v>0</v>
      </c>
      <c r="K17" s="54">
        <f t="shared" si="5"/>
        <v>0</v>
      </c>
      <c r="L17" s="77">
        <f t="shared" si="5"/>
        <v>0</v>
      </c>
    </row>
    <row r="18" spans="1:14" x14ac:dyDescent="0.25">
      <c r="A18" t="s">
        <v>30</v>
      </c>
      <c r="C18" s="53">
        <f t="shared" ref="C18:H18" si="6">(C$11+$M$12*C$12+C$14*$M$14)+C$13*$M$12</f>
        <v>0</v>
      </c>
      <c r="D18" s="54">
        <f t="shared" si="6"/>
        <v>0</v>
      </c>
      <c r="E18" s="54">
        <f t="shared" si="6"/>
        <v>0</v>
      </c>
      <c r="F18" s="135">
        <f t="shared" si="6"/>
        <v>0</v>
      </c>
      <c r="G18" s="53">
        <f t="shared" si="6"/>
        <v>0</v>
      </c>
      <c r="H18" s="54">
        <f t="shared" si="6"/>
        <v>0</v>
      </c>
      <c r="I18" s="135">
        <f t="shared" ref="I18" si="7">(I$11+$M$12*I$12+I$14*$M$14)+I$13*$M$12</f>
        <v>0</v>
      </c>
      <c r="J18" s="53">
        <f t="shared" ref="J18:L18" si="8">(J$11+$M$12*J$12+J$14*$M$14)+J$13*$M$12</f>
        <v>0</v>
      </c>
      <c r="K18" s="54">
        <f t="shared" si="8"/>
        <v>0</v>
      </c>
      <c r="L18" s="77">
        <f t="shared" si="8"/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-920191709.80957294</v>
      </c>
      <c r="D21" s="138">
        <f>+'[3]November 2018 Combined'!F49</f>
        <v>238778854.55460003</v>
      </c>
      <c r="E21" s="138">
        <f>+'[3]December 2018 Combined'!F49</f>
        <v>323338996.40630007</v>
      </c>
      <c r="F21" s="138">
        <f>+'[4]January 2019 Combined'!F49</f>
        <v>334829343.77099997</v>
      </c>
      <c r="G21" s="212">
        <f>+'[4]February 2019 Combined'!F49</f>
        <v>384958425.57700008</v>
      </c>
      <c r="H21" s="93">
        <f>+'[4]March 2019 Combined'!F49</f>
        <v>354459985.87750012</v>
      </c>
      <c r="I21" s="207">
        <f>+'[4]April 2019 Combined'!F49</f>
        <v>220642739.1317001</v>
      </c>
      <c r="J21" s="228">
        <f>+'[1]Billed kWh Sales'!G21</f>
        <v>207260261</v>
      </c>
      <c r="K21" s="172">
        <f>+'[1]Billed kWh Sales'!H21</f>
        <v>266633201</v>
      </c>
      <c r="L21" s="96">
        <f>+'[1]Billed kWh Sales'!I21</f>
        <v>362127632</v>
      </c>
    </row>
    <row r="22" spans="1:14" x14ac:dyDescent="0.25">
      <c r="A22" s="61" t="s">
        <v>30</v>
      </c>
      <c r="C22" s="129">
        <v>-868215230</v>
      </c>
      <c r="D22" s="138">
        <f>+'[3]November 2018 Combined'!F50</f>
        <v>283942748.86849999</v>
      </c>
      <c r="E22" s="138">
        <f>+'[3]December 2018 Combined'!F50</f>
        <v>280832070.92200005</v>
      </c>
      <c r="F22" s="138">
        <f>+'[4]January 2019 Combined'!F50</f>
        <v>278215554.43029994</v>
      </c>
      <c r="G22" s="212">
        <f>+'[4]February 2019 Combined'!F50</f>
        <v>285778137.0898999</v>
      </c>
      <c r="H22" s="93">
        <f>+'[4]March 2019 Combined'!F50</f>
        <v>276458997.25259984</v>
      </c>
      <c r="I22" s="207">
        <f>+'[4]April 2019 Combined'!F50</f>
        <v>249983342.5088</v>
      </c>
      <c r="J22" s="228">
        <f>+'[1]Billed kWh Sales'!G22</f>
        <v>265678954</v>
      </c>
      <c r="K22" s="172">
        <f>+'[1]Billed kWh Sales'!H22</f>
        <v>297547651</v>
      </c>
      <c r="L22" s="96">
        <f>+'[1]Billed kWh Sales'!I22</f>
        <v>326565688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t="s">
        <v>40</v>
      </c>
      <c r="C24" s="126"/>
      <c r="D24" s="18"/>
      <c r="E24" s="18"/>
      <c r="F24" s="18"/>
      <c r="G24" s="118"/>
      <c r="H24" s="18"/>
      <c r="I24" s="61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0</v>
      </c>
      <c r="D25" s="136">
        <f>ROUND('[3]November 2018 Combined'!F8+'[3]November 2018 Combined'!F13,2)</f>
        <v>-12.28</v>
      </c>
      <c r="E25" s="136">
        <f>ROUND('[3]December 2018 Combined'!F8+'[3]December 2018 Combined'!F13,2)</f>
        <v>7.96</v>
      </c>
      <c r="F25" s="137">
        <f>ROUND('[4]January 2019 Combined'!F8+'[4]January 2019 Combined'!F13,2)</f>
        <v>15.23</v>
      </c>
      <c r="G25" s="220">
        <f>ROUND('[4]February 2019 Combined'!F8+'[4]February 2019 Combined'!F13,2)</f>
        <v>15423.95</v>
      </c>
      <c r="H25" s="178">
        <f>ROUND('[4]March 2019 Combined'!F8+'[4]March 2019 Combined'!F13,2)</f>
        <v>14169.79</v>
      </c>
      <c r="I25" s="179">
        <f>ROUND('[4]April 2019 Combined'!F8+'[4]April 2019 Combined'!F13,2)</f>
        <v>8823.84</v>
      </c>
      <c r="J25" s="53">
        <f t="shared" ref="J25:L26" si="9">J21*$M25</f>
        <v>8290.4104400000015</v>
      </c>
      <c r="K25" s="54">
        <f t="shared" si="9"/>
        <v>10665.32804</v>
      </c>
      <c r="L25" s="77">
        <f t="shared" si="9"/>
        <v>14485.105280000002</v>
      </c>
      <c r="M25" s="88">
        <v>4.0000000000000003E-5</v>
      </c>
    </row>
    <row r="26" spans="1:14" x14ac:dyDescent="0.25">
      <c r="A26" t="str">
        <f>A22</f>
        <v>Non-Residential</v>
      </c>
      <c r="C26" s="124">
        <v>43410.76</v>
      </c>
      <c r="D26" s="136">
        <f>ROUND('[3]November 2018 Combined'!F9+'[3]November 2018 Combined'!F14,2)</f>
        <v>-14263.07</v>
      </c>
      <c r="E26" s="136">
        <f>ROUND('[3]December 2018 Combined'!F9+'[3]December 2018 Combined'!F14,2)</f>
        <v>-13933.75</v>
      </c>
      <c r="F26" s="137">
        <f>ROUND('[4]January 2019 Combined'!F9+'[4]January 2019 Combined'!F14,2)</f>
        <v>-15015.07</v>
      </c>
      <c r="G26" s="220">
        <f>ROUND('[4]February 2019 Combined'!F9+'[4]February 2019 Combined'!F14,2)</f>
        <v>-23005.79</v>
      </c>
      <c r="H26" s="178">
        <f>ROUND('[4]March 2019 Combined'!F9+'[4]March 2019 Combined'!F14,2)</f>
        <v>-20080.95</v>
      </c>
      <c r="I26" s="179">
        <f>ROUND('[4]April 2019 Combined'!F9+'[4]April 2019 Combined'!F14,2)</f>
        <v>-21172.07</v>
      </c>
      <c r="J26" s="53">
        <f t="shared" si="9"/>
        <v>-21254.316320000002</v>
      </c>
      <c r="K26" s="54">
        <f t="shared" si="9"/>
        <v>-23803.812080000003</v>
      </c>
      <c r="L26" s="77">
        <f t="shared" si="9"/>
        <v>-26125.255040000004</v>
      </c>
      <c r="M26" s="88">
        <v>-8.0000000000000007E-5</v>
      </c>
    </row>
    <row r="27" spans="1:14" x14ac:dyDescent="0.25">
      <c r="C27" s="83"/>
      <c r="D27" s="18"/>
      <c r="E27" s="18"/>
      <c r="F27" s="18"/>
      <c r="G27" s="118"/>
      <c r="H27" s="18"/>
      <c r="I27" s="61"/>
      <c r="J27" s="12"/>
      <c r="K27" s="71"/>
      <c r="L27" s="13"/>
      <c r="M27" s="4"/>
    </row>
    <row r="28" spans="1:14" ht="15.75" thickBot="1" x14ac:dyDescent="0.3">
      <c r="A28" t="s">
        <v>16</v>
      </c>
      <c r="C28" s="130">
        <v>552.70000000000005</v>
      </c>
      <c r="D28" s="139">
        <v>-299.45</v>
      </c>
      <c r="E28" s="139">
        <v>-268.29000000000002</v>
      </c>
      <c r="F28" s="140">
        <v>-227.81</v>
      </c>
      <c r="G28" s="39">
        <v>-192.42000000000002</v>
      </c>
      <c r="H28" s="149">
        <v>-171.73000000000002</v>
      </c>
      <c r="I28" s="208">
        <v>-143.41999999999999</v>
      </c>
      <c r="J28" s="184">
        <v>-104.53000000000002</v>
      </c>
      <c r="K28" s="173">
        <v>-64.290000000000006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C32" si="10">C17-C25</f>
        <v>0</v>
      </c>
      <c r="D31" s="54">
        <f t="shared" ref="D31:I32" si="11">D17-D25</f>
        <v>12.28</v>
      </c>
      <c r="E31" s="54">
        <f t="shared" si="11"/>
        <v>-7.96</v>
      </c>
      <c r="F31" s="135">
        <f t="shared" ref="F31:H31" si="12">F17-F25</f>
        <v>-15.23</v>
      </c>
      <c r="G31" s="53">
        <f t="shared" si="12"/>
        <v>-15423.95</v>
      </c>
      <c r="H31" s="54">
        <f t="shared" si="12"/>
        <v>-14169.79</v>
      </c>
      <c r="I31" s="135">
        <f t="shared" si="11"/>
        <v>-8823.84</v>
      </c>
      <c r="J31" s="53">
        <f t="shared" ref="J31:K31" si="13">J17-J25</f>
        <v>-8290.4104400000015</v>
      </c>
      <c r="K31" s="54">
        <f t="shared" si="13"/>
        <v>-10665.32804</v>
      </c>
      <c r="L31" s="64">
        <f t="shared" ref="L31" si="14">L17-L25</f>
        <v>-14485.105280000002</v>
      </c>
    </row>
    <row r="32" spans="1:14" x14ac:dyDescent="0.25">
      <c r="A32" t="s">
        <v>30</v>
      </c>
      <c r="C32" s="53">
        <f t="shared" si="10"/>
        <v>-43410.76</v>
      </c>
      <c r="D32" s="54">
        <f t="shared" si="11"/>
        <v>14263.07</v>
      </c>
      <c r="E32" s="54">
        <f t="shared" si="11"/>
        <v>13933.75</v>
      </c>
      <c r="F32" s="135">
        <f t="shared" ref="F32:H32" si="15">F18-F26</f>
        <v>15015.07</v>
      </c>
      <c r="G32" s="53">
        <f t="shared" si="15"/>
        <v>23005.79</v>
      </c>
      <c r="H32" s="54">
        <f t="shared" si="15"/>
        <v>20080.95</v>
      </c>
      <c r="I32" s="135">
        <f t="shared" si="11"/>
        <v>21172.07</v>
      </c>
      <c r="J32" s="53">
        <f t="shared" ref="J32:K32" si="16">J18-J26</f>
        <v>21254.316320000002</v>
      </c>
      <c r="K32" s="54">
        <f t="shared" si="16"/>
        <v>23803.812080000003</v>
      </c>
      <c r="L32" s="64">
        <f t="shared" ref="L32" si="17">L18-L26</f>
        <v>26125.255040000004</v>
      </c>
    </row>
    <row r="33" spans="1:13" x14ac:dyDescent="0.25">
      <c r="A33" s="61"/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43">
        <v>72595.739999999962</v>
      </c>
      <c r="C35" s="54">
        <f>B35+C31+B40</f>
        <v>72595.739999999962</v>
      </c>
      <c r="D35" s="54">
        <f t="shared" ref="D35" si="18">C35+D31+C40</f>
        <v>72182.169999999955</v>
      </c>
      <c r="E35" s="54">
        <f t="shared" ref="E35:I36" si="19">D35+E31+D40</f>
        <v>72388.799999999945</v>
      </c>
      <c r="F35" s="135">
        <f t="shared" si="19"/>
        <v>72597.029999999955</v>
      </c>
      <c r="G35" s="53">
        <f t="shared" si="19"/>
        <v>57400.529999999955</v>
      </c>
      <c r="H35" s="54">
        <f t="shared" si="19"/>
        <v>43433.939999999951</v>
      </c>
      <c r="I35" s="135">
        <f t="shared" si="19"/>
        <v>34767.53999999995</v>
      </c>
      <c r="J35" s="53">
        <f t="shared" ref="J35:J36" si="20">I35+J31+I40</f>
        <v>26598.899559999951</v>
      </c>
      <c r="K35" s="54">
        <f t="shared" ref="K35:L36" si="21">J35+K31+J40</f>
        <v>16029.12151999995</v>
      </c>
      <c r="L35" s="64">
        <f t="shared" si="21"/>
        <v>1610.4062399999482</v>
      </c>
    </row>
    <row r="36" spans="1:13" ht="15.75" thickBot="1" x14ac:dyDescent="0.3">
      <c r="A36" s="61" t="s">
        <v>30</v>
      </c>
      <c r="B36" s="144">
        <v>-137589.54849999968</v>
      </c>
      <c r="C36" s="54">
        <f>B36+C32+B41</f>
        <v>-181000.30849999969</v>
      </c>
      <c r="D36" s="54">
        <f t="shared" ref="D36" si="22">C36+D32+C41</f>
        <v>-165758.6884999997</v>
      </c>
      <c r="E36" s="54">
        <f t="shared" si="19"/>
        <v>-152338.9684999997</v>
      </c>
      <c r="F36" s="135">
        <f t="shared" si="19"/>
        <v>-137815.64849999969</v>
      </c>
      <c r="G36" s="53">
        <f t="shared" si="19"/>
        <v>-115265.11849999968</v>
      </c>
      <c r="H36" s="54">
        <f t="shared" si="19"/>
        <v>-95579.768499999685</v>
      </c>
      <c r="I36" s="135">
        <f t="shared" si="19"/>
        <v>-74736.858499999682</v>
      </c>
      <c r="J36" s="53">
        <f t="shared" si="20"/>
        <v>-53747.732179999686</v>
      </c>
      <c r="K36" s="54">
        <f t="shared" si="21"/>
        <v>-30144.000099999685</v>
      </c>
      <c r="L36" s="64">
        <f t="shared" si="21"/>
        <v>-4149.4250599996813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s="61" customFormat="1" x14ac:dyDescent="0.25">
      <c r="A38" s="52" t="s">
        <v>65</v>
      </c>
      <c r="B38" s="52"/>
      <c r="C38" s="131"/>
      <c r="D38" s="103">
        <f>+'[5]Nov 2018'!$F$51</f>
        <v>2.9731599999999999E-3</v>
      </c>
      <c r="E38" s="103">
        <f>+'[5]Dec 2018'!$F$51</f>
        <v>3.0868100000000002E-3</v>
      </c>
      <c r="F38" s="103">
        <f>+'[5]Jan 2019'!$F$51</f>
        <v>3.13277E-3</v>
      </c>
      <c r="G38" s="105">
        <f>+'[5]Feb 2019'!$F$51</f>
        <v>3.1206900000000002E-3</v>
      </c>
      <c r="H38" s="103">
        <f>+'[5]Mar 2019'!$F$51</f>
        <v>3.11648E-3</v>
      </c>
      <c r="I38" s="104">
        <f>+'[5]Apr 2019'!$F$51</f>
        <v>3.1080600000000002E-3</v>
      </c>
      <c r="J38" s="105">
        <f>+I38</f>
        <v>3.1080600000000002E-3</v>
      </c>
      <c r="K38" s="103">
        <f>+J38</f>
        <v>3.1080600000000002E-3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-425.85</v>
      </c>
      <c r="D40" s="54">
        <f>ROUND((C35+C40+D31/2)*D$38,2)</f>
        <v>214.59</v>
      </c>
      <c r="E40" s="54">
        <f t="shared" ref="E40:I41" si="23">ROUND((D35+D40+E31/2)*E$38,2)</f>
        <v>223.46</v>
      </c>
      <c r="F40" s="135">
        <f t="shared" si="23"/>
        <v>227.45</v>
      </c>
      <c r="G40" s="53">
        <f t="shared" si="23"/>
        <v>203.2</v>
      </c>
      <c r="H40" s="150">
        <f t="shared" si="23"/>
        <v>157.44</v>
      </c>
      <c r="I40" s="209">
        <f t="shared" si="23"/>
        <v>121.77</v>
      </c>
      <c r="J40" s="53">
        <f t="shared" ref="J40:K41" si="24">ROUND((I35+I40+J31/2)*J$38,2)</f>
        <v>95.55</v>
      </c>
      <c r="K40" s="150">
        <f t="shared" si="24"/>
        <v>66.39</v>
      </c>
      <c r="L40" s="64"/>
    </row>
    <row r="41" spans="1:13" ht="15.75" thickBot="1" x14ac:dyDescent="0.3">
      <c r="A41" t="s">
        <v>30</v>
      </c>
      <c r="C41" s="141">
        <v>978.55</v>
      </c>
      <c r="D41" s="54">
        <f>ROUND((C36+C41+D32/2)*D$38,2)</f>
        <v>-514.03</v>
      </c>
      <c r="E41" s="54">
        <f t="shared" si="23"/>
        <v>-491.75</v>
      </c>
      <c r="F41" s="135">
        <f t="shared" si="23"/>
        <v>-455.26</v>
      </c>
      <c r="G41" s="53">
        <f t="shared" si="23"/>
        <v>-395.6</v>
      </c>
      <c r="H41" s="150">
        <f t="shared" si="23"/>
        <v>-329.16</v>
      </c>
      <c r="I41" s="209">
        <f t="shared" si="23"/>
        <v>-265.19</v>
      </c>
      <c r="J41" s="53">
        <f t="shared" si="24"/>
        <v>-200.08</v>
      </c>
      <c r="K41" s="150">
        <f t="shared" si="24"/>
        <v>-130.68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E42" si="25">SUM(D40:D41)+SUM(D35:D36)-D45</f>
        <v>0</v>
      </c>
      <c r="E42" s="45">
        <f t="shared" si="25"/>
        <v>0</v>
      </c>
      <c r="F42" s="65">
        <f t="shared" ref="F42:I42" si="26">SUM(F40:F41)+SUM(F35:F36)-F45</f>
        <v>0</v>
      </c>
      <c r="G42" s="151">
        <f t="shared" si="26"/>
        <v>0</v>
      </c>
      <c r="H42" s="45">
        <f t="shared" si="26"/>
        <v>0</v>
      </c>
      <c r="I42" s="65">
        <f t="shared" si="26"/>
        <v>0</v>
      </c>
      <c r="J42" s="66">
        <f t="shared" ref="J42:K42" si="27">SUM(J40:J41)+SUM(J35:J36)-J45</f>
        <v>0</v>
      </c>
      <c r="K42" s="45">
        <f t="shared" si="27"/>
        <v>-2.1827872842550278E-11</v>
      </c>
      <c r="L42" s="123">
        <f t="shared" ref="L42" si="28">SUM(L40:L41)+SUM(L35:L36)-L45</f>
        <v>-2.0918378140777349E-11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1.0000000000047748E-2</v>
      </c>
      <c r="E43" s="45">
        <f t="shared" ref="E43:I43" si="29">SUM(E40:E41)-E28</f>
        <v>0</v>
      </c>
      <c r="F43" s="65">
        <f t="shared" ref="F43:H43" si="30">SUM(F40:F41)-F28</f>
        <v>0</v>
      </c>
      <c r="G43" s="66">
        <f t="shared" si="30"/>
        <v>1.999999999998181E-2</v>
      </c>
      <c r="H43" s="45">
        <f t="shared" si="30"/>
        <v>9.9999999999909051E-3</v>
      </c>
      <c r="I43" s="65">
        <f t="shared" si="29"/>
        <v>0</v>
      </c>
      <c r="J43" s="66">
        <f t="shared" ref="J43:K43" si="31">SUM(J40:J41)-J28</f>
        <v>0</v>
      </c>
      <c r="K43" s="45">
        <f t="shared" si="31"/>
        <v>0</v>
      </c>
      <c r="L43" s="123">
        <f t="shared" ref="L43" si="32">SUM(L40:L41)-L28</f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t="s">
        <v>42</v>
      </c>
      <c r="B45" s="146">
        <f>+B35+B36</f>
        <v>-64993.808499999723</v>
      </c>
      <c r="C45" s="53">
        <f>(SUM(C10:C14)-SUM(C25:C26))+SUM(C40:C41)+B45</f>
        <v>-107851.86849999972</v>
      </c>
      <c r="D45" s="54">
        <f>(SUM(D10:D14)-SUM(D25:D26))+SUM(D40:D41)+C45</f>
        <v>-93875.958499999717</v>
      </c>
      <c r="E45" s="54">
        <f t="shared" ref="E45:I45" si="33">(SUM(E10:E14)-SUM(E25:E26))+SUM(E40:E41)+D45</f>
        <v>-80218.458499999717</v>
      </c>
      <c r="F45" s="135">
        <f t="shared" si="33"/>
        <v>-65446.428499999718</v>
      </c>
      <c r="G45" s="53">
        <f t="shared" si="33"/>
        <v>-58056.988499999716</v>
      </c>
      <c r="H45" s="54">
        <f t="shared" si="33"/>
        <v>-52317.548499999713</v>
      </c>
      <c r="I45" s="135">
        <f t="shared" si="33"/>
        <v>-40112.738499999716</v>
      </c>
      <c r="J45" s="53">
        <f t="shared" ref="J45" si="34">(SUM(J10:J14)-SUM(J25:J26))+SUM(J40:J41)+I45</f>
        <v>-27253.362619999716</v>
      </c>
      <c r="K45" s="54">
        <f t="shared" ref="K45:L45" si="35">(SUM(K10:K14)-SUM(K25:K26))+SUM(K40:K41)+J45</f>
        <v>-14179.168579999714</v>
      </c>
      <c r="L45" s="77">
        <f t="shared" si="35"/>
        <v>-2539.0188199997119</v>
      </c>
    </row>
    <row r="46" spans="1:13" x14ac:dyDescent="0.25">
      <c r="C46" s="147"/>
      <c r="D46" s="71"/>
      <c r="E46" s="19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A47" s="61"/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4" x14ac:dyDescent="0.25">
      <c r="A49" s="85" t="s">
        <v>13</v>
      </c>
      <c r="B49" s="85"/>
      <c r="C49" s="85"/>
      <c r="D49" s="59"/>
      <c r="E49" s="59"/>
      <c r="I49" s="59"/>
      <c r="M49" s="59"/>
      <c r="N49" s="59"/>
    </row>
    <row r="50" spans="1:14" ht="30.75" customHeight="1" x14ac:dyDescent="0.25">
      <c r="A50" s="259" t="s">
        <v>122</v>
      </c>
      <c r="B50" s="259"/>
      <c r="C50" s="259"/>
      <c r="D50" s="259"/>
      <c r="E50" s="259"/>
      <c r="F50" s="259"/>
      <c r="G50" s="259"/>
      <c r="H50" s="259"/>
      <c r="I50" s="259"/>
      <c r="J50" s="170"/>
      <c r="K50" s="170"/>
      <c r="L50" s="117"/>
      <c r="M50" s="59"/>
      <c r="N50" s="59"/>
    </row>
    <row r="51" spans="1:14" ht="37.5" customHeight="1" x14ac:dyDescent="0.25">
      <c r="A51" s="260" t="s">
        <v>145</v>
      </c>
      <c r="B51" s="260"/>
      <c r="C51" s="260"/>
      <c r="D51" s="260"/>
      <c r="E51" s="260"/>
      <c r="F51" s="260"/>
      <c r="G51" s="260"/>
      <c r="H51" s="260"/>
      <c r="I51" s="260"/>
      <c r="J51" s="170"/>
      <c r="K51" s="170"/>
      <c r="L51" s="117"/>
      <c r="M51" s="59"/>
      <c r="N51" s="59"/>
    </row>
    <row r="52" spans="1:14" ht="39" customHeight="1" x14ac:dyDescent="0.25">
      <c r="A52" s="259" t="s">
        <v>128</v>
      </c>
      <c r="B52" s="259"/>
      <c r="C52" s="259"/>
      <c r="D52" s="259"/>
      <c r="E52" s="259"/>
      <c r="F52" s="259"/>
      <c r="G52" s="259"/>
      <c r="H52" s="259"/>
      <c r="I52" s="259"/>
      <c r="J52" s="170"/>
      <c r="K52" s="170"/>
      <c r="L52" s="117"/>
      <c r="M52" s="59"/>
      <c r="N52" s="59"/>
    </row>
    <row r="53" spans="1:14" x14ac:dyDescent="0.25">
      <c r="A53" s="3" t="s">
        <v>37</v>
      </c>
      <c r="B53" s="3"/>
      <c r="C53" s="3"/>
      <c r="D53" s="61"/>
      <c r="E53" s="61"/>
      <c r="I53" s="4"/>
      <c r="M53" s="59"/>
      <c r="N53" s="59"/>
    </row>
    <row r="54" spans="1:14" s="61" customFormat="1" x14ac:dyDescent="0.25">
      <c r="A54" s="3" t="s">
        <v>127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1"/>
      <c r="E55" s="61"/>
      <c r="I55" s="4"/>
      <c r="M55" s="59"/>
      <c r="N55" s="59"/>
    </row>
    <row r="56" spans="1:14" x14ac:dyDescent="0.25">
      <c r="C56" s="62"/>
      <c r="D56" s="59"/>
      <c r="E56" s="59"/>
      <c r="I56" s="59"/>
      <c r="M56" s="59"/>
      <c r="N56" s="59"/>
    </row>
    <row r="57" spans="1:14" ht="37.5" customHeight="1" x14ac:dyDescent="0.25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59"/>
      <c r="N57" s="59"/>
    </row>
    <row r="58" spans="1:14" x14ac:dyDescent="0.25">
      <c r="C58" s="62"/>
      <c r="D58" s="59"/>
      <c r="E58" s="59"/>
      <c r="I58" s="59"/>
      <c r="M58" s="59"/>
      <c r="N58" s="59"/>
    </row>
    <row r="59" spans="1:14" x14ac:dyDescent="0.25">
      <c r="D59" s="59"/>
      <c r="E59" s="59"/>
      <c r="I59" s="59"/>
      <c r="M59" s="59"/>
      <c r="N59" s="59"/>
    </row>
    <row r="60" spans="1:14" x14ac:dyDescent="0.25">
      <c r="D60" s="59"/>
      <c r="E60" s="59"/>
      <c r="I60" s="59"/>
      <c r="M60" s="59"/>
      <c r="N60" s="59"/>
    </row>
    <row r="61" spans="1:14" x14ac:dyDescent="0.25">
      <c r="D61" s="59"/>
      <c r="E61" s="59"/>
      <c r="I61" s="59"/>
      <c r="M61" s="59"/>
      <c r="N61" s="59"/>
    </row>
    <row r="62" spans="1:14" x14ac:dyDescent="0.25">
      <c r="D62" s="59"/>
      <c r="E62" s="59"/>
      <c r="I62" s="59"/>
      <c r="M62" s="59"/>
      <c r="N62" s="59"/>
    </row>
    <row r="63" spans="1:14" x14ac:dyDescent="0.25">
      <c r="D63" s="59"/>
      <c r="E63" s="59"/>
      <c r="I63" s="59"/>
      <c r="M63" s="59"/>
      <c r="N63" s="59"/>
    </row>
    <row r="65" spans="13:13" x14ac:dyDescent="0.25">
      <c r="M65" s="8"/>
    </row>
  </sheetData>
  <mergeCells count="7">
    <mergeCell ref="A57:L57"/>
    <mergeCell ref="A50:I50"/>
    <mergeCell ref="A51:I51"/>
    <mergeCell ref="A52:I52"/>
    <mergeCell ref="D8:F8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65"/>
  <sheetViews>
    <sheetView workbookViewId="0">
      <pane xSplit="2" ySplit="9" topLeftCell="M53" activePane="bottomRight" state="frozen"/>
      <selection pane="topRight" activeCell="C1" sqref="C1"/>
      <selection pane="bottomLeft" activeCell="A10" sqref="A10"/>
      <selection pane="bottomRight" activeCell="Q1" sqref="Q1:S1048576"/>
    </sheetView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3" style="61" customWidth="1"/>
    <col min="18" max="18" width="9.140625" style="61"/>
    <col min="19" max="19" width="14.28515625" style="61" bestFit="1" customWidth="1"/>
    <col min="20" max="16384" width="9.140625" style="61"/>
  </cols>
  <sheetData>
    <row r="1" spans="1:32" x14ac:dyDescent="0.25">
      <c r="A1" s="3" t="str">
        <f>+PPC!A1</f>
        <v>KCP&amp;L Greater Missouri Operations Company - DSIM Rider Update Filed June 2019</v>
      </c>
      <c r="B1" s="3"/>
      <c r="C1" s="3"/>
    </row>
    <row r="2" spans="1:32" x14ac:dyDescent="0.25">
      <c r="D2" s="3" t="s">
        <v>80</v>
      </c>
    </row>
    <row r="3" spans="1:32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2" x14ac:dyDescent="0.25">
      <c r="A4" s="61" t="s">
        <v>29</v>
      </c>
      <c r="D4" s="24">
        <f>SUM(C25:L25)</f>
        <v>-79715.072248697834</v>
      </c>
      <c r="E4" s="168">
        <f>SUM(C21:L21)</f>
        <v>1772837729.5085273</v>
      </c>
      <c r="F4" s="24">
        <f>SUM(C17:K17)</f>
        <v>3192652.1350000007</v>
      </c>
      <c r="G4" s="24">
        <f>F4-D4</f>
        <v>3272367.2072486985</v>
      </c>
      <c r="H4" s="24">
        <f>+B35</f>
        <v>-1777546.3937331799</v>
      </c>
      <c r="I4" s="24">
        <f>SUM(C40:K40)</f>
        <v>-4090.0200000000009</v>
      </c>
      <c r="J4" s="36">
        <f>SUM(G4:I4)</f>
        <v>1490730.7935155185</v>
      </c>
      <c r="K4" s="62">
        <f>+J4-L35</f>
        <v>0</v>
      </c>
    </row>
    <row r="5" spans="1:32" ht="15.75" thickBot="1" x14ac:dyDescent="0.3">
      <c r="A5" s="61" t="s">
        <v>30</v>
      </c>
      <c r="D5" s="24">
        <f>SUM(C26:L26)</f>
        <v>3444761.02838</v>
      </c>
      <c r="E5" s="168">
        <f>SUM(C22:L22)</f>
        <v>1676787914.0720997</v>
      </c>
      <c r="F5" s="24">
        <f>SUM(C18:K18)</f>
        <v>4288538.165</v>
      </c>
      <c r="G5" s="24">
        <f>F5-D5</f>
        <v>843777.13662</v>
      </c>
      <c r="H5" s="24">
        <f>+B36</f>
        <v>350347.54789999995</v>
      </c>
      <c r="I5" s="24">
        <f>SUM(C41:K41)</f>
        <v>13400.96</v>
      </c>
      <c r="J5" s="36">
        <f>SUM(G5:I5)</f>
        <v>1207525.6445199999</v>
      </c>
      <c r="K5" s="62">
        <f>+J5-L36</f>
        <v>0</v>
      </c>
    </row>
    <row r="6" spans="1:32" ht="16.5" thickTop="1" thickBot="1" x14ac:dyDescent="0.3">
      <c r="D6" s="40">
        <f t="shared" ref="D6" si="0">SUM(D4:D5)</f>
        <v>3365045.9561313023</v>
      </c>
      <c r="E6" s="169">
        <f t="shared" ref="E6:H6" si="1">SUM(E4:E5)</f>
        <v>3449625643.580627</v>
      </c>
      <c r="F6" s="40">
        <f t="shared" si="1"/>
        <v>7481190.3000000007</v>
      </c>
      <c r="G6" s="40">
        <f t="shared" si="1"/>
        <v>4116144.3438686985</v>
      </c>
      <c r="H6" s="40">
        <f t="shared" si="1"/>
        <v>-1427198.84583318</v>
      </c>
      <c r="I6" s="94">
        <f>SUM(I4:I5)</f>
        <v>9310.9399999999987</v>
      </c>
      <c r="J6" s="40">
        <f>SUM(J4:J5)</f>
        <v>2698256.4380355184</v>
      </c>
    </row>
    <row r="7" spans="1:32" ht="16.5" thickTop="1" thickBot="1" x14ac:dyDescent="0.3"/>
    <row r="8" spans="1:32" ht="90.75" thickBot="1" x14ac:dyDescent="0.3">
      <c r="B8" s="145" t="str">
        <f>+'PCR Cycle 1'!B8</f>
        <v>Cumulative Over/Under Carryover From 12/01/2018 Filing</v>
      </c>
      <c r="C8" s="219" t="str">
        <f>+'PCR Cycle 1'!C8</f>
        <v>Reverse November-18 - January-19  Forecast From 12/01/2018 Filing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2" x14ac:dyDescent="0.25">
      <c r="A9" s="61" t="s">
        <v>38</v>
      </c>
      <c r="C9" s="14"/>
      <c r="D9" s="20">
        <f>+'PCR Cycle 1'!D9</f>
        <v>43434</v>
      </c>
      <c r="E9" s="20">
        <f t="shared" ref="E9:L9" si="2">EOMONTH(D9,1)</f>
        <v>43465</v>
      </c>
      <c r="F9" s="20">
        <f t="shared" si="2"/>
        <v>43496</v>
      </c>
      <c r="G9" s="14">
        <f t="shared" si="2"/>
        <v>43524</v>
      </c>
      <c r="H9" s="20">
        <f t="shared" si="2"/>
        <v>43555</v>
      </c>
      <c r="I9" s="20">
        <f t="shared" si="2"/>
        <v>43585</v>
      </c>
      <c r="J9" s="14">
        <f t="shared" si="2"/>
        <v>43616</v>
      </c>
      <c r="K9" s="20">
        <f t="shared" si="2"/>
        <v>43646</v>
      </c>
      <c r="L9" s="122">
        <f t="shared" si="2"/>
        <v>43677</v>
      </c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61" t="s">
        <v>29</v>
      </c>
      <c r="C10" s="124">
        <v>-1185515.71</v>
      </c>
      <c r="D10" s="136">
        <f>ROUND([6]Pivot!C29,2)</f>
        <v>652526.14</v>
      </c>
      <c r="E10" s="136">
        <f>ROUND([6]Pivot!D29,2)</f>
        <v>557368.5</v>
      </c>
      <c r="F10" s="137">
        <f>ROUND([6]Pivot!E29,2)</f>
        <v>342107.71</v>
      </c>
      <c r="G10" s="16">
        <f>ROUND([6]Pivot!F29,2)</f>
        <v>330213.58</v>
      </c>
      <c r="H10" s="70">
        <f>ROUND([6]Pivot!G29,2)</f>
        <v>494830.67</v>
      </c>
      <c r="I10" s="72">
        <f>ROUND([6]Pivot!H29,2)</f>
        <v>359038.11</v>
      </c>
      <c r="J10" s="180">
        <f>ROUND('[2]Program Costs - GMO'!AZ153,2)</f>
        <v>570899.80000000005</v>
      </c>
      <c r="K10" s="171">
        <f>ROUND('[2]Program Costs - GMO'!BA153,2)</f>
        <v>687003.05</v>
      </c>
      <c r="L10" s="95"/>
    </row>
    <row r="11" spans="1:32" x14ac:dyDescent="0.25">
      <c r="A11" s="61" t="s">
        <v>30</v>
      </c>
      <c r="C11" s="124">
        <v>-2037434.08</v>
      </c>
      <c r="D11" s="136">
        <f>ROUND([6]Pivot!C30,2)</f>
        <v>770177.44</v>
      </c>
      <c r="E11" s="136">
        <f>ROUND([6]Pivot!D30,2)</f>
        <v>514939.31</v>
      </c>
      <c r="F11" s="137">
        <f>ROUND([6]Pivot!E30,2)</f>
        <v>593401.4</v>
      </c>
      <c r="G11" s="16">
        <f>ROUND([6]Pivot!F30,2)</f>
        <v>541127.94999999995</v>
      </c>
      <c r="H11" s="70">
        <f>ROUND([6]Pivot!G30,2)</f>
        <v>1036914.46</v>
      </c>
      <c r="I11" s="72">
        <f>ROUND([6]Pivot!H30,2)</f>
        <v>436484.42</v>
      </c>
      <c r="J11" s="180">
        <f>ROUND('[2]Program Costs - GMO'!AZ154,2)</f>
        <v>934575.9</v>
      </c>
      <c r="K11" s="171">
        <f>ROUND('[2]Program Costs - GMO'!BA154,2)</f>
        <v>1114171.08</v>
      </c>
      <c r="L11" s="95"/>
      <c r="M11" s="79" t="s">
        <v>32</v>
      </c>
    </row>
    <row r="12" spans="1:32" x14ac:dyDescent="0.25">
      <c r="A12" s="61" t="s">
        <v>0</v>
      </c>
      <c r="C12" s="124">
        <v>-265170.3</v>
      </c>
      <c r="D12" s="136">
        <f>ROUND([6]Pivot!C31,2)</f>
        <v>124893.08</v>
      </c>
      <c r="E12" s="136">
        <f>ROUND([6]Pivot!D31,2)</f>
        <v>96992.41</v>
      </c>
      <c r="F12" s="137">
        <f>ROUND([6]Pivot!E31,2)</f>
        <v>96644.2</v>
      </c>
      <c r="G12" s="16">
        <f>ROUND([6]Pivot!F31,2)</f>
        <v>186493.56</v>
      </c>
      <c r="H12" s="70">
        <f>ROUND([6]Pivot!G31,2)</f>
        <v>159021.91</v>
      </c>
      <c r="I12" s="72">
        <f>ROUND([6]Pivot!H31,2)</f>
        <v>37663.97</v>
      </c>
      <c r="J12" s="180">
        <f>ROUND('[2]Program Costs - GMO'!AZ155,2)</f>
        <v>62168.21</v>
      </c>
      <c r="K12" s="171">
        <f>ROUND('[2]Program Costs - GMO'!BA155,2)</f>
        <v>85719.55</v>
      </c>
      <c r="L12" s="95"/>
      <c r="M12" s="89">
        <v>0.5</v>
      </c>
    </row>
    <row r="13" spans="1:32" x14ac:dyDescent="0.25">
      <c r="A13" s="61" t="s">
        <v>1</v>
      </c>
      <c r="C13" s="124">
        <v>0</v>
      </c>
      <c r="D13" s="136">
        <f>ROUND([6]Pivot!C32,2)</f>
        <v>21230.42</v>
      </c>
      <c r="E13" s="136">
        <f>ROUND([6]Pivot!D32,2)</f>
        <v>74379.839999999997</v>
      </c>
      <c r="F13" s="137">
        <f>ROUND([6]Pivot!E32,2)</f>
        <v>3054.75</v>
      </c>
      <c r="G13" s="16">
        <f>ROUND([6]Pivot!F32,2)</f>
        <v>40548.9</v>
      </c>
      <c r="H13" s="70">
        <f>ROUND([6]Pivot!G32,2)</f>
        <v>31866.62</v>
      </c>
      <c r="I13" s="72">
        <f>ROUND([6]Pivot!H32,2)</f>
        <v>12853.45</v>
      </c>
      <c r="J13" s="180">
        <f>ROUND('[2]Program Costs - GMO'!AZ156,2)</f>
        <v>0</v>
      </c>
      <c r="K13" s="171">
        <f>ROUND('[2]Program Costs - GMO'!BA156,2)</f>
        <v>0</v>
      </c>
      <c r="L13" s="95"/>
      <c r="M13" s="79"/>
    </row>
    <row r="14" spans="1:32" x14ac:dyDescent="0.25">
      <c r="C14" s="125"/>
      <c r="D14" s="44"/>
      <c r="E14" s="44"/>
      <c r="F14" s="44"/>
      <c r="G14" s="41"/>
      <c r="H14" s="44"/>
      <c r="I14" s="17"/>
      <c r="J14" s="41"/>
      <c r="K14" s="44"/>
      <c r="L14" s="42"/>
    </row>
    <row r="15" spans="1:32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2" x14ac:dyDescent="0.25">
      <c r="A16" s="61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I17" si="3">C10+($M$12*C$12)+($M$12*C$13)</f>
        <v>-1318100.8599999999</v>
      </c>
      <c r="D17" s="54">
        <f t="shared" si="3"/>
        <v>725587.89</v>
      </c>
      <c r="E17" s="54">
        <f t="shared" si="3"/>
        <v>643054.625</v>
      </c>
      <c r="F17" s="135">
        <f t="shared" si="3"/>
        <v>391957.185</v>
      </c>
      <c r="G17" s="53">
        <f t="shared" si="3"/>
        <v>443734.81</v>
      </c>
      <c r="H17" s="54">
        <f t="shared" si="3"/>
        <v>590274.93500000006</v>
      </c>
      <c r="I17" s="135">
        <f t="shared" si="3"/>
        <v>384296.81999999995</v>
      </c>
      <c r="J17" s="53">
        <f t="shared" ref="J17:K17" si="4">J10+($M$12*J$12)+($M$12*J$13)</f>
        <v>601983.90500000003</v>
      </c>
      <c r="K17" s="54">
        <f t="shared" si="4"/>
        <v>729862.82500000007</v>
      </c>
      <c r="L17" s="77">
        <f t="shared" ref="L17" si="5">L10+($M$12*L$12)+($M$12*L$13)+L$14*(1-$M$14)</f>
        <v>0</v>
      </c>
    </row>
    <row r="18" spans="1:14" x14ac:dyDescent="0.25">
      <c r="A18" s="61" t="s">
        <v>30</v>
      </c>
      <c r="C18" s="53">
        <f t="shared" ref="C18:I18" si="6">(C$11+$M$12*C$12+C$13*$M$12)</f>
        <v>-2170019.23</v>
      </c>
      <c r="D18" s="54">
        <f t="shared" si="6"/>
        <v>843239.19</v>
      </c>
      <c r="E18" s="54">
        <f t="shared" si="6"/>
        <v>600625.43500000006</v>
      </c>
      <c r="F18" s="135">
        <f t="shared" si="6"/>
        <v>643250.875</v>
      </c>
      <c r="G18" s="53">
        <f t="shared" si="6"/>
        <v>654649.17999999993</v>
      </c>
      <c r="H18" s="54">
        <f t="shared" si="6"/>
        <v>1132358.7250000001</v>
      </c>
      <c r="I18" s="135">
        <f t="shared" si="6"/>
        <v>461743.12999999995</v>
      </c>
      <c r="J18" s="53">
        <f t="shared" ref="J18:K18" si="7">(J$11+$M$12*J$12+J$13*$M$12)</f>
        <v>965660.005</v>
      </c>
      <c r="K18" s="54">
        <f t="shared" si="7"/>
        <v>1157030.855</v>
      </c>
      <c r="L18" s="77">
        <f t="shared" ref="L18" si="8">(L$11+$M$12*L$12+L$14*$M$14)+L$13*$M$12</f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-920191709.80957294</v>
      </c>
      <c r="D21" s="138">
        <f>+'[3]November 2018 Combined'!F55</f>
        <v>238778854.55460003</v>
      </c>
      <c r="E21" s="138">
        <f>+'[3]December 2018 Combined'!F55</f>
        <v>323338996.40630007</v>
      </c>
      <c r="F21" s="138">
        <f>+'[4]January 2019 Combined'!F55</f>
        <v>334829343.77099997</v>
      </c>
      <c r="G21" s="212">
        <f>+'[4]February 2019 Combined'!F55</f>
        <v>384958425.57700008</v>
      </c>
      <c r="H21" s="221">
        <f>+'[4]March 2019 Combined'!F55</f>
        <v>354459985.87750012</v>
      </c>
      <c r="I21" s="207">
        <f>+'[4]April 2019 Combined'!F55</f>
        <v>220642739.1317001</v>
      </c>
      <c r="J21" s="181">
        <f>+'PCR Cycle 1'!J21</f>
        <v>207260261</v>
      </c>
      <c r="K21" s="172">
        <f>+'PCR Cycle 1'!K21</f>
        <v>266633201</v>
      </c>
      <c r="L21" s="96">
        <f>+'PCR Cycle 1'!L21</f>
        <v>362127632</v>
      </c>
    </row>
    <row r="22" spans="1:14" x14ac:dyDescent="0.25">
      <c r="A22" s="61" t="s">
        <v>30</v>
      </c>
      <c r="C22" s="129">
        <v>-868215230</v>
      </c>
      <c r="D22" s="138">
        <f>+'[3]November 2018 Combined'!F56</f>
        <v>283942748.86849999</v>
      </c>
      <c r="E22" s="138">
        <f>+'[3]December 2018 Combined'!F56</f>
        <v>280832070.92200005</v>
      </c>
      <c r="F22" s="138">
        <f>+'[4]January 2019 Combined'!F56</f>
        <v>278215554.43029994</v>
      </c>
      <c r="G22" s="212">
        <f>+'[4]February 2019 Combined'!F56</f>
        <v>285778137.0898999</v>
      </c>
      <c r="H22" s="221">
        <f>+'[4]March 2019 Combined'!F56</f>
        <v>276458997.25259984</v>
      </c>
      <c r="I22" s="207">
        <f>+'[4]April 2019 Combined'!F56</f>
        <v>249983342.5088</v>
      </c>
      <c r="J22" s="181">
        <f>+'PCR Cycle 1'!J22</f>
        <v>265678954</v>
      </c>
      <c r="K22" s="172">
        <f>+'PCR Cycle 1'!K22</f>
        <v>297547651</v>
      </c>
      <c r="L22" s="96">
        <f>+'PCR Cycle 1'!L22</f>
        <v>326565688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s="61" t="s">
        <v>40</v>
      </c>
      <c r="C24" s="126"/>
      <c r="D24" s="18"/>
      <c r="E24" s="18"/>
      <c r="F24" s="18"/>
      <c r="G24" s="118"/>
      <c r="H24" s="18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-2374094.6113086981</v>
      </c>
      <c r="D25" s="136">
        <f>ROUND('[3]November 2018 Combined'!F28+'[3]November 2018 Combined'!F33,2)</f>
        <v>616067.30000000005</v>
      </c>
      <c r="E25" s="136">
        <f>ROUND('[3]December 2018 Combined'!F28+'[3]December 2018 Combined'!F33,2)</f>
        <v>834204.16000000003</v>
      </c>
      <c r="F25" s="166">
        <f>ROUND('[4]January 2019 Combined'!F28+'[4]January 2019 Combined'!F33,2)</f>
        <v>863848.51</v>
      </c>
      <c r="G25" s="220">
        <f>ROUND('[4]February 2019 Combined'!F28+'[4]February 2019 Combined'!F33,2)</f>
        <v>-5772.71</v>
      </c>
      <c r="H25" s="70">
        <f>ROUND('[4]March 2019 Combined'!F28+'[4]March 2019 Combined'!F33,2)</f>
        <v>-3466.17</v>
      </c>
      <c r="I25" s="179">
        <f>ROUND('[4]April 2019 Combined'!F28+'[4]April 2019 Combined'!F33,2)</f>
        <v>-2141.34</v>
      </c>
      <c r="J25" s="53">
        <f>J21*$M25</f>
        <v>-2072.6026099999604</v>
      </c>
      <c r="K25" s="54">
        <f t="shared" ref="J25:L26" si="9">K21*$M25</f>
        <v>-2666.3320099999492</v>
      </c>
      <c r="L25" s="64">
        <f t="shared" si="9"/>
        <v>-3621.2763199999308</v>
      </c>
      <c r="M25" s="88">
        <v>-9.9999999999998094E-6</v>
      </c>
    </row>
    <row r="26" spans="1:14" x14ac:dyDescent="0.25">
      <c r="A26" s="61" t="str">
        <f>A22</f>
        <v>Non-Residential</v>
      </c>
      <c r="C26" s="124">
        <v>-1944802.1152000003</v>
      </c>
      <c r="D26" s="136">
        <f>ROUND('[3]November 2018 Combined'!F29+'[3]November 2018 Combined'!F34,2)</f>
        <v>634683.35</v>
      </c>
      <c r="E26" s="136">
        <f>ROUND('[3]December 2018 Combined'!F29+'[3]December 2018 Combined'!F34,2)</f>
        <v>626952.81000000006</v>
      </c>
      <c r="F26" s="166">
        <f>ROUND('[4]January 2019 Combined'!F29+'[4]January 2019 Combined'!F34,2)</f>
        <v>620701.31999999995</v>
      </c>
      <c r="G26" s="220">
        <f>ROUND('[4]February 2019 Combined'!F29+'[4]February 2019 Combined'!F34,2)</f>
        <v>596857.18999999994</v>
      </c>
      <c r="H26" s="70">
        <f>ROUND('[4]March 2019 Combined'!F29+'[4]March 2019 Combined'!F34,2)</f>
        <v>563917.27</v>
      </c>
      <c r="I26" s="179">
        <f>ROUND('[4]April 2019 Combined'!F29+'[4]April 2019 Combined'!F34,2)</f>
        <v>513479.08</v>
      </c>
      <c r="J26" s="53">
        <f t="shared" si="9"/>
        <v>547298.6452400001</v>
      </c>
      <c r="K26" s="54">
        <f t="shared" si="9"/>
        <v>612948.16106000007</v>
      </c>
      <c r="L26" s="64">
        <f t="shared" si="9"/>
        <v>672725.31728000008</v>
      </c>
      <c r="M26" s="88">
        <v>2.0600000000000002E-3</v>
      </c>
    </row>
    <row r="27" spans="1:14" x14ac:dyDescent="0.25">
      <c r="C27" s="83"/>
      <c r="D27" s="18"/>
      <c r="E27" s="18"/>
      <c r="F27" s="18"/>
      <c r="G27" s="118"/>
      <c r="H27" s="18"/>
      <c r="J27" s="12"/>
      <c r="K27" s="71"/>
      <c r="L27" s="13"/>
      <c r="M27" s="4"/>
    </row>
    <row r="28" spans="1:14" ht="15.75" thickBot="1" x14ac:dyDescent="0.3">
      <c r="A28" s="61" t="s">
        <v>16</v>
      </c>
      <c r="C28" s="130">
        <v>-246.86000000000035</v>
      </c>
      <c r="D28" s="139">
        <v>-1301.1499999999999</v>
      </c>
      <c r="E28" s="139">
        <v>-1199.6300000000001</v>
      </c>
      <c r="F28" s="140">
        <v>-2265.75</v>
      </c>
      <c r="G28" s="39">
        <v>-2173.64</v>
      </c>
      <c r="H28" s="149">
        <v>423.96000000000004</v>
      </c>
      <c r="I28" s="208">
        <v>2750.34</v>
      </c>
      <c r="J28" s="184">
        <v>4867.8899999999994</v>
      </c>
      <c r="K28" s="173">
        <v>8455.7800000000007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s="61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L32" si="10">C17-C25</f>
        <v>1055993.7513086982</v>
      </c>
      <c r="D31" s="54">
        <f t="shared" si="10"/>
        <v>109520.58999999997</v>
      </c>
      <c r="E31" s="54">
        <f t="shared" si="10"/>
        <v>-191149.53500000003</v>
      </c>
      <c r="F31" s="135">
        <f t="shared" si="10"/>
        <v>-471891.32500000001</v>
      </c>
      <c r="G31" s="53">
        <f t="shared" si="10"/>
        <v>449507.52</v>
      </c>
      <c r="H31" s="54">
        <f t="shared" si="10"/>
        <v>593741.1050000001</v>
      </c>
      <c r="I31" s="135">
        <f t="shared" si="10"/>
        <v>386438.16</v>
      </c>
      <c r="J31" s="53">
        <f t="shared" si="10"/>
        <v>604056.50760999997</v>
      </c>
      <c r="K31" s="54">
        <f t="shared" si="10"/>
        <v>732529.15700999997</v>
      </c>
      <c r="L31" s="64">
        <f t="shared" si="10"/>
        <v>3621.2763199999308</v>
      </c>
    </row>
    <row r="32" spans="1:14" x14ac:dyDescent="0.25">
      <c r="A32" s="61" t="s">
        <v>30</v>
      </c>
      <c r="C32" s="53">
        <f t="shared" si="10"/>
        <v>-225217.11479999963</v>
      </c>
      <c r="D32" s="54">
        <f t="shared" si="10"/>
        <v>208555.83999999997</v>
      </c>
      <c r="E32" s="54">
        <f t="shared" si="10"/>
        <v>-26327.375</v>
      </c>
      <c r="F32" s="135">
        <f t="shared" si="10"/>
        <v>22549.555000000051</v>
      </c>
      <c r="G32" s="53">
        <f t="shared" si="10"/>
        <v>57791.989999999991</v>
      </c>
      <c r="H32" s="54">
        <f t="shared" si="10"/>
        <v>568441.45500000007</v>
      </c>
      <c r="I32" s="135">
        <f t="shared" si="10"/>
        <v>-51735.95000000007</v>
      </c>
      <c r="J32" s="53">
        <f t="shared" si="10"/>
        <v>418361.3597599999</v>
      </c>
      <c r="K32" s="54">
        <f t="shared" si="10"/>
        <v>544082.69393999991</v>
      </c>
      <c r="L32" s="64">
        <f t="shared" si="10"/>
        <v>-672725.31728000008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96">
        <v>-1777546.3937331799</v>
      </c>
      <c r="C35" s="54">
        <f>B35+C31+B40</f>
        <v>-721552.64242448169</v>
      </c>
      <c r="D35" s="54">
        <f t="shared" ref="D35:L35" si="11">C35+D31+C40</f>
        <v>-608470.94242448173</v>
      </c>
      <c r="E35" s="54">
        <f t="shared" si="11"/>
        <v>-801592.36742448178</v>
      </c>
      <c r="F35" s="135">
        <f t="shared" si="11"/>
        <v>-1275663.0324244818</v>
      </c>
      <c r="G35" s="53">
        <f t="shared" si="11"/>
        <v>-829412.71242448175</v>
      </c>
      <c r="H35" s="54">
        <f t="shared" si="11"/>
        <v>-238961.33742448167</v>
      </c>
      <c r="I35" s="135">
        <f t="shared" si="11"/>
        <v>145806.9125755183</v>
      </c>
      <c r="J35" s="53">
        <f t="shared" si="11"/>
        <v>749716.06018551823</v>
      </c>
      <c r="K35" s="54">
        <f t="shared" si="11"/>
        <v>1483636.6571955183</v>
      </c>
      <c r="L35" s="64">
        <f t="shared" si="11"/>
        <v>1490730.7935155183</v>
      </c>
    </row>
    <row r="36" spans="1:13" ht="15.75" thickBot="1" x14ac:dyDescent="0.3">
      <c r="A36" s="61" t="s">
        <v>30</v>
      </c>
      <c r="B36" s="197">
        <v>350347.54789999995</v>
      </c>
      <c r="C36" s="54">
        <f>B36+C32+B41</f>
        <v>125130.43310000031</v>
      </c>
      <c r="D36" s="54">
        <f t="shared" ref="D36:L36" si="12">C36+D32+C41</f>
        <v>329878.30310000031</v>
      </c>
      <c r="E36" s="54">
        <f t="shared" si="12"/>
        <v>304221.67810000031</v>
      </c>
      <c r="F36" s="135">
        <f t="shared" si="12"/>
        <v>327750.94310000038</v>
      </c>
      <c r="G36" s="53">
        <f t="shared" si="12"/>
        <v>386534.38310000038</v>
      </c>
      <c r="H36" s="54">
        <f t="shared" si="12"/>
        <v>956091.91810000048</v>
      </c>
      <c r="I36" s="135">
        <f t="shared" si="12"/>
        <v>906449.8381000004</v>
      </c>
      <c r="J36" s="53">
        <f t="shared" si="12"/>
        <v>1327708.8978600001</v>
      </c>
      <c r="K36" s="54">
        <f t="shared" si="12"/>
        <v>1875268.0418</v>
      </c>
      <c r="L36" s="64">
        <f t="shared" si="12"/>
        <v>1207525.6445199999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x14ac:dyDescent="0.25">
      <c r="A38" s="52" t="s">
        <v>65</v>
      </c>
      <c r="B38" s="52"/>
      <c r="C38" s="131"/>
      <c r="D38" s="103">
        <f>+'PCR Cycle 1'!D38</f>
        <v>2.9731599999999999E-3</v>
      </c>
      <c r="E38" s="103">
        <f>+'PCR Cycle 1'!E38</f>
        <v>3.0868100000000002E-3</v>
      </c>
      <c r="F38" s="103">
        <f>+'PCR Cycle 1'!F38</f>
        <v>3.13277E-3</v>
      </c>
      <c r="G38" s="105">
        <f>+'PCR Cycle 1'!G38</f>
        <v>3.1206900000000002E-3</v>
      </c>
      <c r="H38" s="103">
        <f>+'PCR Cycle 1'!H38</f>
        <v>3.11648E-3</v>
      </c>
      <c r="I38" s="103">
        <f>+'PCR Cycle 1'!I38</f>
        <v>3.1080600000000002E-3</v>
      </c>
      <c r="J38" s="105">
        <f>+I38</f>
        <v>3.1080600000000002E-3</v>
      </c>
      <c r="K38" s="103">
        <f>+J38</f>
        <v>3.1080600000000002E-3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3561.1099999999997</v>
      </c>
      <c r="D40" s="54">
        <f t="shared" ref="D40" si="13">ROUND((C35+C40+D31/2)*D$38,2)</f>
        <v>-1971.89</v>
      </c>
      <c r="E40" s="54">
        <f t="shared" ref="E40:E41" si="14">ROUND((D35+D40+E31/2)*E$38,2)</f>
        <v>-2179.34</v>
      </c>
      <c r="F40" s="135">
        <f t="shared" ref="F40:F41" si="15">ROUND((E35+E40+F31/2)*F$38,2)</f>
        <v>-3257.2</v>
      </c>
      <c r="G40" s="53">
        <f t="shared" ref="G40:G41" si="16">ROUND((F35+F40+G31/2)*G$38,2)</f>
        <v>-3289.73</v>
      </c>
      <c r="H40" s="150">
        <f t="shared" ref="H40:I41" si="17">ROUND((G35+G40+H31/2)*H$38,2)</f>
        <v>-1669.91</v>
      </c>
      <c r="I40" s="135">
        <f t="shared" si="17"/>
        <v>-147.36000000000001</v>
      </c>
      <c r="J40" s="53">
        <f t="shared" ref="J40:J41" si="18">ROUND((I35+I40+J31/2)*J$38,2)</f>
        <v>1391.44</v>
      </c>
      <c r="K40" s="150">
        <f t="shared" ref="K40:K41" si="19">ROUND((J35+J40+K31/2)*K$38,2)</f>
        <v>3472.86</v>
      </c>
      <c r="L40" s="64"/>
    </row>
    <row r="41" spans="1:13" ht="15.75" thickBot="1" x14ac:dyDescent="0.3">
      <c r="A41" s="61" t="s">
        <v>30</v>
      </c>
      <c r="C41" s="141">
        <v>-3807.9700000000003</v>
      </c>
      <c r="D41" s="54">
        <f>ROUND((C36+C41+D32/2)*D$38,2)</f>
        <v>670.75</v>
      </c>
      <c r="E41" s="54">
        <f t="shared" si="14"/>
        <v>979.71</v>
      </c>
      <c r="F41" s="135">
        <f t="shared" si="15"/>
        <v>991.45</v>
      </c>
      <c r="G41" s="53">
        <f t="shared" si="16"/>
        <v>1116.08</v>
      </c>
      <c r="H41" s="150">
        <f t="shared" si="17"/>
        <v>2093.87</v>
      </c>
      <c r="I41" s="135">
        <f t="shared" si="17"/>
        <v>2897.7</v>
      </c>
      <c r="J41" s="53">
        <f t="shared" si="18"/>
        <v>3476.45</v>
      </c>
      <c r="K41" s="150">
        <f t="shared" si="19"/>
        <v>4982.92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L42" si="20">SUM(D40:D41)+SUM(D35:D36)-D45</f>
        <v>0</v>
      </c>
      <c r="E42" s="45">
        <f t="shared" si="20"/>
        <v>0</v>
      </c>
      <c r="F42" s="65">
        <f t="shared" si="20"/>
        <v>0</v>
      </c>
      <c r="G42" s="151">
        <f t="shared" si="20"/>
        <v>0</v>
      </c>
      <c r="H42" s="45">
        <f t="shared" si="20"/>
        <v>0</v>
      </c>
      <c r="I42" s="65">
        <f t="shared" si="20"/>
        <v>0</v>
      </c>
      <c r="J42" s="66">
        <f t="shared" si="20"/>
        <v>0</v>
      </c>
      <c r="K42" s="45">
        <f t="shared" si="20"/>
        <v>0</v>
      </c>
      <c r="L42" s="123">
        <f t="shared" si="20"/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9.9999999997635314E-3</v>
      </c>
      <c r="E43" s="45">
        <f t="shared" ref="E43:I43" si="21">SUM(E40:E41)-E28</f>
        <v>0</v>
      </c>
      <c r="F43" s="65">
        <f>SUM(F40:F41)-F28</f>
        <v>0</v>
      </c>
      <c r="G43" s="66">
        <f t="shared" ref="G43:H43" si="22">SUM(G40:G41)-G28</f>
        <v>-1.0000000000218279E-2</v>
      </c>
      <c r="H43" s="45">
        <f t="shared" si="22"/>
        <v>0</v>
      </c>
      <c r="I43" s="65">
        <f t="shared" si="21"/>
        <v>0</v>
      </c>
      <c r="J43" s="66">
        <f t="shared" ref="J43:L43" si="23">SUM(J40:J41)-J28</f>
        <v>0</v>
      </c>
      <c r="K43" s="45">
        <f t="shared" si="23"/>
        <v>0</v>
      </c>
      <c r="L43" s="123">
        <f t="shared" si="23"/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s="61" t="s">
        <v>42</v>
      </c>
      <c r="B45" s="146">
        <f>+B35+B36</f>
        <v>-1427198.84583318</v>
      </c>
      <c r="C45" s="53">
        <f t="shared" ref="C45:I45" si="24">(SUM(C10:C14)-SUM(C25:C26))+SUM(C40:C41)+B45</f>
        <v>-596669.06932448142</v>
      </c>
      <c r="D45" s="54">
        <f t="shared" si="24"/>
        <v>-279893.77932448126</v>
      </c>
      <c r="E45" s="54">
        <f t="shared" si="24"/>
        <v>-498570.31932448142</v>
      </c>
      <c r="F45" s="135">
        <f t="shared" si="24"/>
        <v>-950177.83932448144</v>
      </c>
      <c r="G45" s="53">
        <f t="shared" si="24"/>
        <v>-445051.97932448145</v>
      </c>
      <c r="H45" s="54">
        <f t="shared" si="24"/>
        <v>717554.54067551857</v>
      </c>
      <c r="I45" s="135">
        <f t="shared" si="24"/>
        <v>1055007.0906755186</v>
      </c>
      <c r="J45" s="53">
        <f t="shared" ref="J45" si="25">(SUM(J10:J14)-SUM(J25:J26))+SUM(J40:J41)+I45</f>
        <v>2082292.8480455186</v>
      </c>
      <c r="K45" s="54">
        <f t="shared" ref="K45:L45" si="26">(SUM(K10:K14)-SUM(K25:K26))+SUM(K40:K41)+J45</f>
        <v>3367360.4789955188</v>
      </c>
      <c r="L45" s="77">
        <f t="shared" si="26"/>
        <v>2698256.4380355189</v>
      </c>
    </row>
    <row r="46" spans="1:13" x14ac:dyDescent="0.25">
      <c r="A46" s="61" t="s">
        <v>14</v>
      </c>
      <c r="C46" s="147"/>
      <c r="D46" s="71"/>
      <c r="E46" s="71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2" x14ac:dyDescent="0.25">
      <c r="A49" s="85" t="s">
        <v>13</v>
      </c>
      <c r="B49" s="85"/>
      <c r="C49" s="85"/>
    </row>
    <row r="50" spans="1:12" ht="39.75" customHeight="1" x14ac:dyDescent="0.25">
      <c r="A50" s="260" t="s">
        <v>146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</row>
    <row r="51" spans="1:12" ht="39" customHeight="1" x14ac:dyDescent="0.25">
      <c r="A51" s="259" t="s">
        <v>145</v>
      </c>
      <c r="B51" s="259"/>
      <c r="C51" s="259"/>
      <c r="D51" s="259"/>
      <c r="E51" s="259"/>
      <c r="F51" s="259"/>
      <c r="G51" s="259"/>
      <c r="H51" s="259"/>
      <c r="I51" s="259"/>
      <c r="J51" s="224"/>
      <c r="K51" s="224"/>
      <c r="L51" s="224"/>
    </row>
    <row r="52" spans="1:12" ht="33" customHeight="1" x14ac:dyDescent="0.25">
      <c r="A52" s="259" t="s">
        <v>126</v>
      </c>
      <c r="B52" s="259"/>
      <c r="C52" s="259"/>
      <c r="D52" s="259"/>
      <c r="E52" s="259"/>
      <c r="F52" s="259"/>
      <c r="G52" s="259"/>
      <c r="H52" s="259"/>
      <c r="I52" s="259"/>
      <c r="J52" s="224"/>
      <c r="K52" s="224"/>
      <c r="L52" s="224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3" t="s">
        <v>127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A52:I52"/>
    <mergeCell ref="D8:F8"/>
    <mergeCell ref="A51:I51"/>
    <mergeCell ref="A50:L50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workbookViewId="0">
      <selection activeCell="A14" sqref="A14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+PPC!A1</f>
        <v>KCP&amp;L Greater Missouri Operations Company - DSIM Rider Update Filed June 2019</v>
      </c>
    </row>
    <row r="2" spans="1:23" x14ac:dyDescent="0.25">
      <c r="A2" s="9" t="str">
        <f>+PPC!A2</f>
        <v>Projections for Cycle 2 July - December 2019 DSIM</v>
      </c>
    </row>
    <row r="3" spans="1:23" s="61" customFormat="1" x14ac:dyDescent="0.25">
      <c r="A3" s="9"/>
    </row>
    <row r="4" spans="1:23" ht="40.5" customHeight="1" x14ac:dyDescent="0.25">
      <c r="B4" s="252" t="s">
        <v>84</v>
      </c>
      <c r="C4" s="252"/>
    </row>
    <row r="5" spans="1:23" ht="45" x14ac:dyDescent="0.25">
      <c r="B5" s="86" t="s">
        <v>88</v>
      </c>
      <c r="C5" s="6" t="s">
        <v>34</v>
      </c>
    </row>
    <row r="6" spans="1:23" x14ac:dyDescent="0.25">
      <c r="A6" s="22" t="s">
        <v>29</v>
      </c>
      <c r="B6" s="34">
        <f>+'[2]GMO Monthly TD Calc'!AU377</f>
        <v>15161397.329870798</v>
      </c>
      <c r="C6" s="107">
        <f>ROUND('[2]GMO Monthly TD Calc'!AU355,2)</f>
        <v>885970.6</v>
      </c>
    </row>
    <row r="7" spans="1:23" x14ac:dyDescent="0.25">
      <c r="A7" s="43" t="s">
        <v>30</v>
      </c>
      <c r="B7" s="34">
        <f>+'[2]GMO Monthly TD Calc'!AU378</f>
        <v>28973779.302629411</v>
      </c>
      <c r="C7" s="107">
        <f>ROUND('[2]GMO Monthly TD Calc'!AU356,2)</f>
        <v>982352.81</v>
      </c>
    </row>
    <row r="8" spans="1:23" x14ac:dyDescent="0.25">
      <c r="A8" s="22" t="s">
        <v>6</v>
      </c>
      <c r="B8" s="35">
        <f>SUM(B6:B7)</f>
        <v>44135176.632500209</v>
      </c>
      <c r="C8" s="24">
        <f>SUM(C6:C7)</f>
        <v>1868323.4100000001</v>
      </c>
    </row>
    <row r="9" spans="1:23" x14ac:dyDescent="0.25">
      <c r="B9" s="33"/>
      <c r="C9" s="61"/>
    </row>
    <row r="10" spans="1:23" x14ac:dyDescent="0.25">
      <c r="A10" s="61"/>
      <c r="B10" s="61"/>
      <c r="C10" s="61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57" t="s">
        <v>147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</row>
    <row r="13" spans="1:23" x14ac:dyDescent="0.25">
      <c r="A13" s="257" t="s">
        <v>148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L12"/>
    <mergeCell ref="A13:L13"/>
  </mergeCells>
  <pageMargins left="0.2" right="0.2" top="0.75" bottom="0.2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5"/>
  <sheetViews>
    <sheetView zoomScaleNormal="100" workbookViewId="0">
      <pane xSplit="3" ySplit="11" topLeftCell="N12" activePane="bottomRight" state="frozen"/>
      <selection pane="topRight" activeCell="D1" sqref="D1"/>
      <selection pane="bottomLeft" activeCell="A12" sqref="A12"/>
      <selection pane="bottomRight" activeCell="O1" sqref="O1:Q1048576"/>
    </sheetView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6.28515625" bestFit="1" customWidth="1"/>
    <col min="16" max="16" width="15.28515625" bestFit="1" customWidth="1"/>
    <col min="17" max="17" width="12.42578125" customWidth="1"/>
    <col min="18" max="19" width="14.28515625" bestFit="1" customWidth="1"/>
  </cols>
  <sheetData>
    <row r="1" spans="1:32" x14ac:dyDescent="0.25">
      <c r="A1" s="3" t="str">
        <f>+PPC!A1</f>
        <v>KCP&amp;L Greater Missouri Operations Company - DSIM Rider Update Filed June 2019</v>
      </c>
      <c r="B1" s="3"/>
      <c r="C1" s="3"/>
    </row>
    <row r="2" spans="1:32" x14ac:dyDescent="0.25">
      <c r="J2" s="3" t="s">
        <v>86</v>
      </c>
      <c r="K2"/>
      <c r="M2" s="61"/>
    </row>
    <row r="3" spans="1:32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P3" s="6"/>
    </row>
    <row r="4" spans="1:32" x14ac:dyDescent="0.25">
      <c r="A4" s="22" t="s">
        <v>29</v>
      </c>
      <c r="B4" s="22"/>
      <c r="C4" s="22"/>
      <c r="D4" s="24">
        <f>SUM(C15:L15)</f>
        <v>17967.070940000001</v>
      </c>
      <c r="E4" s="168">
        <f>M19</f>
        <v>0</v>
      </c>
      <c r="F4" s="24">
        <f>SUM(C23:K23)</f>
        <v>0</v>
      </c>
      <c r="G4" s="24">
        <f>F4-D4</f>
        <v>-17967.070940000001</v>
      </c>
      <c r="H4" s="24">
        <f>+B33+B38</f>
        <v>22261.889999999956</v>
      </c>
      <c r="I4" s="24">
        <f>SUM(C38:K38)</f>
        <v>3242.1399999999994</v>
      </c>
      <c r="J4" s="36">
        <f>SUM(G4:I4)</f>
        <v>7536.9590599999538</v>
      </c>
      <c r="K4" s="4">
        <f>+J4-L33-M38</f>
        <v>0</v>
      </c>
    </row>
    <row r="5" spans="1:32" ht="15.75" thickBot="1" x14ac:dyDescent="0.3">
      <c r="A5" s="22" t="s">
        <v>30</v>
      </c>
      <c r="B5" s="22"/>
      <c r="C5" s="22"/>
      <c r="D5" s="24">
        <f>SUM(C16:L16)</f>
        <v>-16961.682930000003</v>
      </c>
      <c r="E5" s="168">
        <f>M20</f>
        <v>0</v>
      </c>
      <c r="F5" s="24">
        <f>SUM(C24:K24)</f>
        <v>0</v>
      </c>
      <c r="G5" s="24">
        <f>F5-D5</f>
        <v>16961.682930000003</v>
      </c>
      <c r="H5" s="24">
        <f>+B34+B39</f>
        <v>-10937.56000000007</v>
      </c>
      <c r="I5" s="24">
        <f>SUM(C39:K39)</f>
        <v>2185.15</v>
      </c>
      <c r="J5" s="36">
        <f>SUM(G5:I5)</f>
        <v>8209.2729299999319</v>
      </c>
      <c r="K5" s="62">
        <f>+J5-L34-M39</f>
        <v>0</v>
      </c>
    </row>
    <row r="6" spans="1:32" ht="16.5" thickTop="1" thickBot="1" x14ac:dyDescent="0.3">
      <c r="D6" s="40">
        <f t="shared" ref="D6" si="0">SUM(D4:D5)</f>
        <v>1005.3880099999988</v>
      </c>
      <c r="E6" s="169">
        <f t="shared" ref="E6:H6" si="1">SUM(E4:E5)</f>
        <v>0</v>
      </c>
      <c r="F6" s="40">
        <f t="shared" si="1"/>
        <v>0</v>
      </c>
      <c r="G6" s="40">
        <f t="shared" si="1"/>
        <v>-1005.3880099999988</v>
      </c>
      <c r="H6" s="40">
        <f t="shared" si="1"/>
        <v>11324.329999999885</v>
      </c>
      <c r="I6" s="40">
        <f>SUM(I4:I5)</f>
        <v>5427.2899999999991</v>
      </c>
      <c r="J6" s="40">
        <f>SUM(J4:J5)</f>
        <v>15746.231989999886</v>
      </c>
      <c r="K6"/>
      <c r="Q6" s="5"/>
    </row>
    <row r="7" spans="1:32" ht="15.75" thickTop="1" x14ac:dyDescent="0.25"/>
    <row r="8" spans="1:32" x14ac:dyDescent="0.25">
      <c r="I8" s="4"/>
      <c r="S8" s="4"/>
    </row>
    <row r="9" spans="1:32" ht="15.75" thickBot="1" x14ac:dyDescent="0.3">
      <c r="S9" s="4"/>
      <c r="T9" s="5"/>
    </row>
    <row r="10" spans="1:32" ht="105.75" thickBot="1" x14ac:dyDescent="0.3">
      <c r="B10" s="145" t="str">
        <f>+'PCR Cycle 1'!B8</f>
        <v>Cumulative Over/Under Carryover From 12/01/2018 Filing</v>
      </c>
      <c r="C10" s="219" t="str">
        <f>+'PCR Cycle 1'!C8</f>
        <v>Reverse November-18 - January-19  Forecast From 12/01/2018 Filing</v>
      </c>
      <c r="D10" s="261" t="s">
        <v>39</v>
      </c>
      <c r="E10" s="261"/>
      <c r="F10" s="262"/>
      <c r="G10" s="266" t="s">
        <v>39</v>
      </c>
      <c r="H10" s="267"/>
      <c r="I10" s="268"/>
      <c r="J10" s="263" t="s">
        <v>9</v>
      </c>
      <c r="K10" s="264"/>
      <c r="L10" s="265"/>
    </row>
    <row r="11" spans="1:32" x14ac:dyDescent="0.25">
      <c r="A11" t="s">
        <v>43</v>
      </c>
      <c r="C11" s="132"/>
      <c r="D11" s="20">
        <f>+'PCR Cycle 1'!D9</f>
        <v>43434</v>
      </c>
      <c r="E11" s="20">
        <f t="shared" ref="E11:L11" si="2">EOMONTH(D11,1)</f>
        <v>43465</v>
      </c>
      <c r="F11" s="20">
        <f t="shared" si="2"/>
        <v>43496</v>
      </c>
      <c r="G11" s="14">
        <f t="shared" si="2"/>
        <v>43524</v>
      </c>
      <c r="H11" s="20">
        <f t="shared" si="2"/>
        <v>43555</v>
      </c>
      <c r="I11" s="20">
        <f t="shared" si="2"/>
        <v>43585</v>
      </c>
      <c r="J11" s="14">
        <f t="shared" si="2"/>
        <v>43616</v>
      </c>
      <c r="K11" s="20">
        <f t="shared" si="2"/>
        <v>43646</v>
      </c>
      <c r="L11" s="15">
        <f t="shared" si="2"/>
        <v>43677</v>
      </c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t="s">
        <v>6</v>
      </c>
      <c r="C12" s="124">
        <v>0</v>
      </c>
      <c r="D12" s="136">
        <f t="shared" ref="D12:H12" si="3">+D23+D24</f>
        <v>0</v>
      </c>
      <c r="E12" s="136">
        <f t="shared" si="3"/>
        <v>0</v>
      </c>
      <c r="F12" s="137">
        <f t="shared" si="3"/>
        <v>0</v>
      </c>
      <c r="G12" s="16">
        <f t="shared" si="3"/>
        <v>0</v>
      </c>
      <c r="H12" s="70">
        <f t="shared" si="3"/>
        <v>0</v>
      </c>
      <c r="I12" s="72">
        <f>+I23+I24</f>
        <v>0</v>
      </c>
      <c r="J12" s="186">
        <f t="shared" ref="J12:K12" si="4">+J23+J24</f>
        <v>0</v>
      </c>
      <c r="K12" s="97">
        <f t="shared" si="4"/>
        <v>0</v>
      </c>
      <c r="L12" s="98"/>
    </row>
    <row r="13" spans="1:32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2" x14ac:dyDescent="0.25">
      <c r="A14" t="s">
        <v>17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2" x14ac:dyDescent="0.25">
      <c r="A15" t="s">
        <v>29</v>
      </c>
      <c r="C15" s="124">
        <v>0</v>
      </c>
      <c r="D15" s="166">
        <f>ROUND('[3]November 2018 Combined'!F18,2)</f>
        <v>-3.58</v>
      </c>
      <c r="E15" s="166">
        <f>ROUND('[3]December 2018 Combined'!F18,2)</f>
        <v>2.3199999999999998</v>
      </c>
      <c r="F15" s="222">
        <f>ROUND('[4]January 2019 Combined'!F18,2)</f>
        <v>4.4400000000000004</v>
      </c>
      <c r="G15" s="16">
        <f>ROUND('[4]February 2019 Combined'!F18,2)</f>
        <v>3855.77</v>
      </c>
      <c r="H15" s="148">
        <f>ROUND('[4]March 2019 Combined'!F18,2)</f>
        <v>3542.07</v>
      </c>
      <c r="I15" s="210">
        <f>ROUND('[4]April 2019 Combined'!F18,2)</f>
        <v>2205.84</v>
      </c>
      <c r="J15" s="187">
        <f>'PCR Cycle 1'!J21*'TDR Cycle 1'!$M15</f>
        <v>2072.6026100000004</v>
      </c>
      <c r="K15" s="175">
        <f>'PCR Cycle 1'!K21*'TDR Cycle 1'!$M15</f>
        <v>2666.3320100000001</v>
      </c>
      <c r="L15" s="102">
        <f>'PCR Cycle 1'!L21*'TDR Cycle 1'!$M15</f>
        <v>3621.2763200000004</v>
      </c>
      <c r="M15" s="88">
        <v>1.0000000000000001E-5</v>
      </c>
      <c r="N15" s="4"/>
    </row>
    <row r="16" spans="1:32" x14ac:dyDescent="0.25">
      <c r="A16" t="s">
        <v>30</v>
      </c>
      <c r="C16" s="124">
        <v>0</v>
      </c>
      <c r="D16" s="166">
        <f>ROUND('[3]November 2018 Combined'!F19,2)</f>
        <v>-8.17</v>
      </c>
      <c r="E16" s="166">
        <f>ROUND('[3]December 2018 Combined'!F19,2)</f>
        <v>5.0599999999999996</v>
      </c>
      <c r="F16" s="222">
        <f>ROUND('[4]January 2019 Combined'!F19,2)</f>
        <v>-120.62</v>
      </c>
      <c r="G16" s="16">
        <f>ROUND('[4]February 2019 Combined'!F19,2)</f>
        <v>-2865.64</v>
      </c>
      <c r="H16" s="148">
        <f>ROUND('[4]March 2019 Combined'!F19,2)</f>
        <v>-2469.0500000000002</v>
      </c>
      <c r="I16" s="210">
        <f>ROUND('[4]April 2019 Combined'!F19,2)</f>
        <v>-2605.34</v>
      </c>
      <c r="J16" s="187">
        <f>'PCR Cycle 1'!J22*'TDR Cycle 1'!$M16</f>
        <v>-2656.7895400000002</v>
      </c>
      <c r="K16" s="175">
        <f>'PCR Cycle 1'!K22*'TDR Cycle 1'!$M16</f>
        <v>-2975.4765100000004</v>
      </c>
      <c r="L16" s="102">
        <f>'PCR Cycle 1'!L22*'TDR Cycle 1'!$M16</f>
        <v>-3265.6568800000005</v>
      </c>
      <c r="M16" s="88">
        <v>-1.0000000000000001E-5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36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  <c r="N18" s="61"/>
    </row>
    <row r="19" spans="1:14" x14ac:dyDescent="0.25">
      <c r="A19" s="61" t="s">
        <v>29</v>
      </c>
      <c r="C19" s="129">
        <v>0</v>
      </c>
      <c r="D19" s="138">
        <v>0</v>
      </c>
      <c r="E19" s="138">
        <v>0</v>
      </c>
      <c r="F19" s="152">
        <v>0</v>
      </c>
      <c r="G19" s="92">
        <v>0</v>
      </c>
      <c r="H19" s="93">
        <v>0</v>
      </c>
      <c r="I19" s="207">
        <v>0</v>
      </c>
      <c r="J19" s="188">
        <v>0</v>
      </c>
      <c r="K19" s="176">
        <v>0</v>
      </c>
      <c r="L19" s="99"/>
      <c r="M19" s="75">
        <f>SUM(C19:K19)</f>
        <v>0</v>
      </c>
      <c r="N19" s="61"/>
    </row>
    <row r="20" spans="1:14" x14ac:dyDescent="0.25">
      <c r="A20" t="s">
        <v>30</v>
      </c>
      <c r="C20" s="129">
        <v>0</v>
      </c>
      <c r="D20" s="138">
        <v>0</v>
      </c>
      <c r="E20" s="138">
        <v>0</v>
      </c>
      <c r="F20" s="152">
        <v>0</v>
      </c>
      <c r="G20" s="92">
        <v>0</v>
      </c>
      <c r="H20" s="93">
        <v>0</v>
      </c>
      <c r="I20" s="207">
        <v>0</v>
      </c>
      <c r="J20" s="188">
        <v>0</v>
      </c>
      <c r="K20" s="176">
        <v>0</v>
      </c>
      <c r="L20" s="99"/>
      <c r="M20" s="75">
        <f>SUM(C20:K20)</f>
        <v>0</v>
      </c>
      <c r="N20" s="61"/>
    </row>
    <row r="21" spans="1:14" s="61" customFormat="1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89</v>
      </c>
      <c r="C22" s="49"/>
      <c r="D22" s="50"/>
      <c r="E22" s="50"/>
      <c r="F22" s="50"/>
      <c r="G22" s="49"/>
      <c r="H22" s="50"/>
      <c r="I22" s="50"/>
      <c r="J22" s="189"/>
      <c r="K22" s="67"/>
      <c r="L22" s="51"/>
      <c r="M22" s="61"/>
      <c r="N22" s="61"/>
    </row>
    <row r="23" spans="1:14" x14ac:dyDescent="0.25">
      <c r="A23" s="61" t="s">
        <v>29</v>
      </c>
      <c r="C23" s="124">
        <v>0</v>
      </c>
      <c r="D23" s="136">
        <v>0</v>
      </c>
      <c r="E23" s="136">
        <v>0</v>
      </c>
      <c r="F23" s="137">
        <v>0</v>
      </c>
      <c r="G23" s="16">
        <v>0</v>
      </c>
      <c r="H23" s="70">
        <v>0</v>
      </c>
      <c r="I23" s="72">
        <v>0</v>
      </c>
      <c r="J23" s="190">
        <v>0</v>
      </c>
      <c r="K23" s="174">
        <v>0</v>
      </c>
      <c r="L23" s="98"/>
    </row>
    <row r="24" spans="1:14" x14ac:dyDescent="0.25">
      <c r="A24" s="61" t="s">
        <v>30</v>
      </c>
      <c r="C24" s="124">
        <v>0</v>
      </c>
      <c r="D24" s="136">
        <v>0</v>
      </c>
      <c r="E24" s="136">
        <v>0</v>
      </c>
      <c r="F24" s="137">
        <v>0</v>
      </c>
      <c r="G24" s="16">
        <v>0</v>
      </c>
      <c r="H24" s="70">
        <v>0</v>
      </c>
      <c r="I24" s="72">
        <v>0</v>
      </c>
      <c r="J24" s="190">
        <v>0</v>
      </c>
      <c r="K24" s="174">
        <v>0</v>
      </c>
      <c r="L24" s="98"/>
      <c r="N24" s="62"/>
    </row>
    <row r="25" spans="1:14" s="61" customFormat="1" x14ac:dyDescent="0.25">
      <c r="C25" s="126"/>
      <c r="D25" s="18"/>
      <c r="E25" s="18"/>
      <c r="F25" s="18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-1191.04</v>
      </c>
      <c r="D26" s="166">
        <v>595.53</v>
      </c>
      <c r="E26" s="166">
        <v>721.62</v>
      </c>
      <c r="F26" s="167">
        <v>721.75</v>
      </c>
      <c r="G26" s="39">
        <v>918.15</v>
      </c>
      <c r="H26" s="149">
        <v>915.01</v>
      </c>
      <c r="I26" s="211">
        <v>913.97</v>
      </c>
      <c r="J26" s="191">
        <v>915.48</v>
      </c>
      <c r="K26" s="177">
        <v>916.82999999999993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2"/>
      <c r="K27" s="47"/>
      <c r="L27" s="76"/>
    </row>
    <row r="28" spans="1:14" x14ac:dyDescent="0.25">
      <c r="A28" t="s">
        <v>68</v>
      </c>
      <c r="C28" s="81"/>
      <c r="D28" s="48"/>
      <c r="E28" s="48"/>
      <c r="F28" s="48"/>
      <c r="G28" s="81"/>
      <c r="H28" s="48"/>
      <c r="I28" s="48"/>
      <c r="J28" s="192"/>
      <c r="K28" s="47"/>
      <c r="L28" s="76"/>
    </row>
    <row r="29" spans="1:14" x14ac:dyDescent="0.25">
      <c r="A29" s="61" t="s">
        <v>29</v>
      </c>
      <c r="C29" s="127">
        <f t="shared" ref="C29:C30" si="5">C23-C15</f>
        <v>0</v>
      </c>
      <c r="D29" s="54">
        <f t="shared" ref="D29:I30" si="6">D23-D15</f>
        <v>3.58</v>
      </c>
      <c r="E29" s="54">
        <f t="shared" si="6"/>
        <v>-2.3199999999999998</v>
      </c>
      <c r="F29" s="135">
        <f t="shared" ref="F29:H29" si="7">F23-F15</f>
        <v>-4.4400000000000004</v>
      </c>
      <c r="G29" s="53">
        <f t="shared" si="7"/>
        <v>-3855.77</v>
      </c>
      <c r="H29" s="54">
        <f t="shared" si="7"/>
        <v>-3542.07</v>
      </c>
      <c r="I29" s="135">
        <f t="shared" si="6"/>
        <v>-2205.84</v>
      </c>
      <c r="J29" s="53">
        <f t="shared" ref="J29:K29" si="8">J23-J15</f>
        <v>-2072.6026100000004</v>
      </c>
      <c r="K29" s="54">
        <f t="shared" si="8"/>
        <v>-2666.3320100000001</v>
      </c>
      <c r="L29" s="77">
        <f t="shared" ref="L29" si="9">L23-L15</f>
        <v>-3621.2763200000004</v>
      </c>
    </row>
    <row r="30" spans="1:14" x14ac:dyDescent="0.25">
      <c r="A30" t="s">
        <v>30</v>
      </c>
      <c r="C30" s="127">
        <f t="shared" si="5"/>
        <v>0</v>
      </c>
      <c r="D30" s="54">
        <f t="shared" si="6"/>
        <v>8.17</v>
      </c>
      <c r="E30" s="54">
        <f t="shared" si="6"/>
        <v>-5.0599999999999996</v>
      </c>
      <c r="F30" s="135">
        <f t="shared" ref="F30:H30" si="10">F24-F16</f>
        <v>120.62</v>
      </c>
      <c r="G30" s="53">
        <f t="shared" si="10"/>
        <v>2865.64</v>
      </c>
      <c r="H30" s="54">
        <f t="shared" si="10"/>
        <v>2469.0500000000002</v>
      </c>
      <c r="I30" s="135">
        <f t="shared" si="6"/>
        <v>2605.34</v>
      </c>
      <c r="J30" s="53">
        <f t="shared" ref="J30:K30" si="11">J24-J16</f>
        <v>2656.7895400000002</v>
      </c>
      <c r="K30" s="54">
        <f t="shared" si="11"/>
        <v>2975.4765100000004</v>
      </c>
      <c r="L30" s="77">
        <f t="shared" ref="L30" si="12">L24-L16</f>
        <v>3265.6568800000005</v>
      </c>
    </row>
    <row r="31" spans="1:14" x14ac:dyDescent="0.25">
      <c r="C31" s="126"/>
      <c r="D31" s="17"/>
      <c r="E31" s="17"/>
      <c r="F31" s="17"/>
      <c r="G31" s="10"/>
      <c r="H31" s="17"/>
      <c r="I31" s="17"/>
      <c r="J31" s="10"/>
      <c r="K31" s="17"/>
      <c r="L31" s="11"/>
    </row>
    <row r="32" spans="1:14" ht="15.75" thickBot="1" x14ac:dyDescent="0.3">
      <c r="A32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33" x14ac:dyDescent="0.25">
      <c r="A33" s="61" t="s">
        <v>29</v>
      </c>
      <c r="B33" s="143">
        <v>186676.80000000002</v>
      </c>
      <c r="C33" s="127">
        <f>B33+C29</f>
        <v>186676.80000000002</v>
      </c>
      <c r="D33" s="54">
        <f t="shared" ref="D33:L33" si="13">C33+D29</f>
        <v>186680.38</v>
      </c>
      <c r="E33" s="54">
        <f t="shared" si="13"/>
        <v>186678.06</v>
      </c>
      <c r="F33" s="135">
        <f t="shared" si="13"/>
        <v>186673.62</v>
      </c>
      <c r="G33" s="53">
        <f t="shared" si="13"/>
        <v>182817.85</v>
      </c>
      <c r="H33" s="54">
        <f t="shared" si="13"/>
        <v>179275.78</v>
      </c>
      <c r="I33" s="135">
        <f t="shared" si="13"/>
        <v>177069.94</v>
      </c>
      <c r="J33" s="53">
        <f t="shared" si="13"/>
        <v>174997.33739</v>
      </c>
      <c r="K33" s="54">
        <f t="shared" si="13"/>
        <v>172331.00537999999</v>
      </c>
      <c r="L33" s="77">
        <f t="shared" si="13"/>
        <v>168709.72905999998</v>
      </c>
    </row>
    <row r="34" spans="1:33" ht="15.75" thickBot="1" x14ac:dyDescent="0.3">
      <c r="A34" t="s">
        <v>30</v>
      </c>
      <c r="B34" s="144">
        <v>115521.86999999998</v>
      </c>
      <c r="C34" s="127">
        <f>B34+C30</f>
        <v>115521.86999999998</v>
      </c>
      <c r="D34" s="54">
        <f t="shared" ref="D34:L34" si="14">C34+D30</f>
        <v>115530.03999999998</v>
      </c>
      <c r="E34" s="54">
        <f t="shared" si="14"/>
        <v>115524.97999999998</v>
      </c>
      <c r="F34" s="135">
        <f t="shared" si="14"/>
        <v>115645.59999999998</v>
      </c>
      <c r="G34" s="53">
        <f t="shared" si="14"/>
        <v>118511.23999999998</v>
      </c>
      <c r="H34" s="54">
        <f t="shared" si="14"/>
        <v>120980.28999999998</v>
      </c>
      <c r="I34" s="135">
        <f t="shared" si="14"/>
        <v>123585.62999999998</v>
      </c>
      <c r="J34" s="53">
        <f t="shared" si="14"/>
        <v>126242.41953999997</v>
      </c>
      <c r="K34" s="54">
        <f t="shared" si="14"/>
        <v>129217.89604999998</v>
      </c>
      <c r="L34" s="77">
        <f t="shared" si="14"/>
        <v>132483.55292999998</v>
      </c>
    </row>
    <row r="35" spans="1:33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33" x14ac:dyDescent="0.25">
      <c r="A36" s="52" t="s">
        <v>91</v>
      </c>
      <c r="B36" s="52"/>
      <c r="C36" s="131"/>
      <c r="D36" s="201">
        <f>+'[7]AFUDC Rate Jan - Dec 18'!$I$37</f>
        <v>1.9706066666666665E-3</v>
      </c>
      <c r="E36" s="201">
        <f>+'[7]AFUDC Rate Jan - Dec 18'!$I$38</f>
        <v>2.3878433333333333E-3</v>
      </c>
      <c r="F36" s="201">
        <f>+'[7]AFUDC Rate Jan - Dec 19'!$I$27</f>
        <v>2.3878433333333333E-3</v>
      </c>
      <c r="G36" s="202">
        <f>+'[7]AFUDC Rate Jan - Dec 19'!$I$28</f>
        <v>3.0419833333333334E-3</v>
      </c>
      <c r="H36" s="201">
        <f>+'[7]AFUDC Rate Jan - Dec 19'!$I$29</f>
        <v>3.0419833333333334E-3</v>
      </c>
      <c r="I36" s="201">
        <f>+'[7]AFUDC Rate Jan - Dec 19'!$I$30</f>
        <v>3.0419833333333334E-3</v>
      </c>
      <c r="J36" s="105">
        <f>+I36</f>
        <v>3.0419833333333334E-3</v>
      </c>
      <c r="K36" s="103">
        <f>+J36</f>
        <v>3.0419833333333334E-3</v>
      </c>
      <c r="L36" s="106"/>
    </row>
    <row r="37" spans="1:33" s="61" customFormat="1" ht="15.75" thickBot="1" x14ac:dyDescent="0.3">
      <c r="A37" s="52" t="s">
        <v>110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33" x14ac:dyDescent="0.25">
      <c r="A38" s="61" t="s">
        <v>29</v>
      </c>
      <c r="B38" s="143">
        <v>-164414.91000000006</v>
      </c>
      <c r="C38" s="127">
        <v>-735.74</v>
      </c>
      <c r="D38" s="54">
        <f t="shared" ref="D38:D39" si="15">ROUND((C33+D29/2)*D$36,2)</f>
        <v>367.87</v>
      </c>
      <c r="E38" s="54">
        <f t="shared" ref="E38:E39" si="16">ROUND((D33+E29/2)*E$36,2)</f>
        <v>445.76</v>
      </c>
      <c r="F38" s="135">
        <f t="shared" ref="F38:F39" si="17">ROUND((E33+F29/2)*F$36,2)</f>
        <v>445.75</v>
      </c>
      <c r="G38" s="53">
        <f t="shared" ref="G38:G39" si="18">ROUND((F33+G29/2)*G$36,2)</f>
        <v>561.99</v>
      </c>
      <c r="H38" s="150">
        <f t="shared" ref="H38:I39" si="19">ROUND((G33+H29/2)*H$36,2)</f>
        <v>550.74</v>
      </c>
      <c r="I38" s="209">
        <f t="shared" si="19"/>
        <v>542</v>
      </c>
      <c r="J38" s="183">
        <f t="shared" ref="J38:L38" si="20">ROUND((I33+J29/2)*J$36,2)</f>
        <v>535.49</v>
      </c>
      <c r="K38" s="135">
        <f t="shared" si="20"/>
        <v>528.28</v>
      </c>
      <c r="L38" s="77">
        <f t="shared" si="20"/>
        <v>0</v>
      </c>
      <c r="M38" s="195">
        <f>SUM(B38:L38)</f>
        <v>-161172.77000000008</v>
      </c>
    </row>
    <row r="39" spans="1:33" ht="15.75" thickBot="1" x14ac:dyDescent="0.3">
      <c r="A39" t="s">
        <v>30</v>
      </c>
      <c r="B39" s="144">
        <v>-126459.43000000005</v>
      </c>
      <c r="C39" s="127">
        <v>-455.3</v>
      </c>
      <c r="D39" s="54">
        <f t="shared" si="15"/>
        <v>227.66</v>
      </c>
      <c r="E39" s="54">
        <f t="shared" si="16"/>
        <v>275.86</v>
      </c>
      <c r="F39" s="135">
        <f t="shared" si="17"/>
        <v>276</v>
      </c>
      <c r="G39" s="53">
        <f t="shared" si="18"/>
        <v>356.15</v>
      </c>
      <c r="H39" s="150">
        <f t="shared" si="19"/>
        <v>364.26</v>
      </c>
      <c r="I39" s="209">
        <f t="shared" si="19"/>
        <v>371.98</v>
      </c>
      <c r="J39" s="183">
        <f t="shared" ref="J39:L39" si="21">ROUND((I34+J30/2)*J$36,2)</f>
        <v>379.99</v>
      </c>
      <c r="K39" s="135">
        <f t="shared" si="21"/>
        <v>388.55</v>
      </c>
      <c r="L39" s="77">
        <f t="shared" si="21"/>
        <v>0</v>
      </c>
      <c r="M39" s="195">
        <f>SUM(B39:L39)</f>
        <v>-124274.28000000006</v>
      </c>
    </row>
    <row r="40" spans="1:33" ht="16.5" thickTop="1" thickBot="1" x14ac:dyDescent="0.3">
      <c r="A40" s="69" t="s">
        <v>25</v>
      </c>
      <c r="B40" s="69"/>
      <c r="C40" s="134">
        <v>0</v>
      </c>
      <c r="D40" s="55">
        <f>SUM($B38:D39)+SUM(D33:D34)-D43</f>
        <v>2.0008883439004421E-11</v>
      </c>
      <c r="E40" s="55">
        <f>SUM($B38:E39)+SUM(E33:E34)-E43</f>
        <v>0</v>
      </c>
      <c r="F40" s="65">
        <f>SUM($B38:F39)+SUM(F33:F34)-F43</f>
        <v>0</v>
      </c>
      <c r="G40" s="185">
        <f>SUM($B38:G39)+SUM(G33:G34)-G43</f>
        <v>0</v>
      </c>
      <c r="H40" s="65">
        <f>SUM($B38:H39)+SUM(H33:H34)-H43</f>
        <v>0</v>
      </c>
      <c r="I40" s="65">
        <f>SUM($B38:I39)+SUM(I33:I34)-I43</f>
        <v>-2.3646862246096134E-11</v>
      </c>
      <c r="J40" s="193">
        <f>SUM($B38:J39)+SUM(J33:J34)-J43</f>
        <v>-1.6370904631912708E-11</v>
      </c>
      <c r="K40" s="65">
        <f>SUM($B38:K39)+SUM(K33:K34)-K43</f>
        <v>-6.3664629124104977E-11</v>
      </c>
      <c r="L40" s="78">
        <f>SUM($B38:L39)+SUM(L33:L34)-L43</f>
        <v>-1.0186340659856796E-10</v>
      </c>
    </row>
    <row r="41" spans="1:33" s="61" customFormat="1" ht="16.5" thickTop="1" thickBot="1" x14ac:dyDescent="0.3">
      <c r="A41" s="69" t="s">
        <v>26</v>
      </c>
      <c r="B41" s="69"/>
      <c r="C41" s="134">
        <v>0</v>
      </c>
      <c r="D41" s="55">
        <f t="shared" ref="D41:I41" si="22">SUM(D38:D39)-D26</f>
        <v>0</v>
      </c>
      <c r="E41" s="55">
        <f t="shared" si="22"/>
        <v>0</v>
      </c>
      <c r="F41" s="65">
        <f t="shared" ref="F41:H41" si="23">SUM(F38:F39)-F26</f>
        <v>0</v>
      </c>
      <c r="G41" s="185">
        <f t="shared" si="23"/>
        <v>-9.9999999999909051E-3</v>
      </c>
      <c r="H41" s="65">
        <f t="shared" si="23"/>
        <v>-9.9999999999909051E-3</v>
      </c>
      <c r="I41" s="65">
        <f t="shared" si="22"/>
        <v>9.9999999999909051E-3</v>
      </c>
      <c r="J41" s="66">
        <f t="shared" ref="J41:L41" si="24">SUM(J38:J39)-J26</f>
        <v>0</v>
      </c>
      <c r="K41" s="55">
        <f t="shared" si="24"/>
        <v>0</v>
      </c>
      <c r="L41" s="55">
        <f t="shared" si="24"/>
        <v>0</v>
      </c>
    </row>
    <row r="42" spans="1:33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33" ht="15.75" thickBot="1" x14ac:dyDescent="0.3">
      <c r="A43" t="s">
        <v>42</v>
      </c>
      <c r="B43" s="146">
        <f>SUM(B33:B34,B38:B39)</f>
        <v>11324.329999999871</v>
      </c>
      <c r="C43" s="127">
        <f t="shared" ref="C43" si="25">(C12-SUM(C15:C16))+SUM(C38:C39)+B43</f>
        <v>10133.28999999987</v>
      </c>
      <c r="D43" s="54">
        <f t="shared" ref="D43:I43" si="26">(D12-SUM(D15:D16))+SUM(D38:D39)+C43</f>
        <v>10740.569999999871</v>
      </c>
      <c r="E43" s="54">
        <f t="shared" si="26"/>
        <v>11454.80999999987</v>
      </c>
      <c r="F43" s="135">
        <f t="shared" si="26"/>
        <v>12292.739999999871</v>
      </c>
      <c r="G43" s="53">
        <f t="shared" si="26"/>
        <v>12220.749999999871</v>
      </c>
      <c r="H43" s="54">
        <f t="shared" si="26"/>
        <v>12062.72999999987</v>
      </c>
      <c r="I43" s="135">
        <f t="shared" si="26"/>
        <v>13376.20999999987</v>
      </c>
      <c r="J43" s="183">
        <f t="shared" ref="J43" si="27">(J12-SUM(J15:J16))+SUM(J38:J39)+I43</f>
        <v>14875.876929999869</v>
      </c>
      <c r="K43" s="135">
        <f t="shared" ref="K43" si="28">(K12-SUM(K15:K16))+SUM(K38:K39)+J43</f>
        <v>16101.85142999987</v>
      </c>
      <c r="L43" s="77">
        <f t="shared" ref="L43" si="29">(L12-SUM(L15:L16))+SUM(L38:L39)+K43</f>
        <v>15746.231989999869</v>
      </c>
    </row>
    <row r="44" spans="1:33" x14ac:dyDescent="0.25">
      <c r="A44" t="s">
        <v>14</v>
      </c>
      <c r="C44" s="147"/>
      <c r="D44" s="17"/>
      <c r="E44" s="225"/>
      <c r="F44" s="17"/>
      <c r="G44" s="10"/>
      <c r="H44" s="17"/>
      <c r="I44" s="225"/>
      <c r="J44" s="10"/>
      <c r="K44" s="17"/>
      <c r="L44" s="11"/>
    </row>
    <row r="45" spans="1:33" ht="15.75" thickBot="1" x14ac:dyDescent="0.3">
      <c r="A45" s="50"/>
      <c r="B45" s="50"/>
      <c r="C45" s="194"/>
      <c r="D45" s="57"/>
      <c r="E45" s="57"/>
      <c r="F45" s="57"/>
      <c r="G45" s="56"/>
      <c r="H45" s="57"/>
      <c r="I45" s="57"/>
      <c r="J45" s="56"/>
      <c r="K45" s="57"/>
      <c r="L45" s="58"/>
    </row>
    <row r="46" spans="1:33" x14ac:dyDescent="0.25">
      <c r="A46" s="61"/>
      <c r="D46" s="61"/>
      <c r="E46" s="61"/>
      <c r="I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</row>
    <row r="47" spans="1:33" x14ac:dyDescent="0.25">
      <c r="A47" s="85" t="s">
        <v>13</v>
      </c>
      <c r="B47" s="85"/>
      <c r="C47" s="85"/>
      <c r="D47" s="61"/>
      <c r="E47" s="61"/>
      <c r="I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</row>
    <row r="48" spans="1:33" ht="23.25" customHeight="1" outlineLevel="1" x14ac:dyDescent="0.25">
      <c r="A48" s="259" t="s">
        <v>111</v>
      </c>
      <c r="B48" s="259"/>
      <c r="C48" s="259"/>
      <c r="D48" s="259"/>
      <c r="E48" s="259"/>
      <c r="F48" s="259"/>
      <c r="G48" s="259"/>
      <c r="H48" s="259"/>
      <c r="I48" s="259"/>
      <c r="J48" s="170"/>
      <c r="K48" s="170"/>
      <c r="L48" s="117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</row>
    <row r="49" spans="1:33" ht="43.5" customHeight="1" outlineLevel="1" x14ac:dyDescent="0.25">
      <c r="A49" s="260" t="s">
        <v>149</v>
      </c>
      <c r="B49" s="260"/>
      <c r="C49" s="260"/>
      <c r="D49" s="260"/>
      <c r="E49" s="260"/>
      <c r="F49" s="260"/>
      <c r="G49" s="260"/>
      <c r="H49" s="260"/>
      <c r="I49" s="260"/>
      <c r="J49" s="170"/>
      <c r="K49" s="170"/>
      <c r="L49" s="117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</row>
    <row r="50" spans="1:33" ht="29.25" customHeight="1" outlineLevel="1" x14ac:dyDescent="0.25">
      <c r="A50" s="259" t="s">
        <v>129</v>
      </c>
      <c r="B50" s="259"/>
      <c r="C50" s="259"/>
      <c r="D50" s="259"/>
      <c r="E50" s="259"/>
      <c r="F50" s="259"/>
      <c r="G50" s="259"/>
      <c r="H50" s="259"/>
      <c r="I50" s="259"/>
      <c r="J50" s="170"/>
      <c r="K50" s="170"/>
      <c r="L50" s="11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</row>
    <row r="51" spans="1:33" outlineLevel="1" x14ac:dyDescent="0.25">
      <c r="A51" s="3" t="s">
        <v>90</v>
      </c>
      <c r="B51" s="3"/>
      <c r="C51" s="3"/>
      <c r="D51" s="61"/>
      <c r="E51" s="61"/>
      <c r="I51" s="61"/>
    </row>
    <row r="52" spans="1:33" outlineLevel="1" x14ac:dyDescent="0.25">
      <c r="A52" s="79" t="s">
        <v>130</v>
      </c>
      <c r="B52" s="3"/>
      <c r="C52" s="3"/>
      <c r="D52" s="61"/>
      <c r="E52" s="61"/>
      <c r="I52" s="61"/>
    </row>
    <row r="53" spans="1:33" outlineLevel="1" x14ac:dyDescent="0.25">
      <c r="A53" s="3" t="s">
        <v>92</v>
      </c>
      <c r="B53" s="3"/>
      <c r="C53" s="3"/>
      <c r="D53" s="61"/>
      <c r="E53" s="61"/>
      <c r="I53" s="61"/>
    </row>
    <row r="54" spans="1:33" outlineLevel="1" x14ac:dyDescent="0.25">
      <c r="A54" s="3"/>
      <c r="B54" s="3"/>
      <c r="C54" s="3"/>
    </row>
    <row r="55" spans="1:33" ht="36" customHeight="1" x14ac:dyDescent="0.25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</row>
  </sheetData>
  <mergeCells count="7">
    <mergeCell ref="A55:L55"/>
    <mergeCell ref="A48:I48"/>
    <mergeCell ref="A49:I49"/>
    <mergeCell ref="A50:I50"/>
    <mergeCell ref="D10:F10"/>
    <mergeCell ref="G10:I10"/>
    <mergeCell ref="J10:L10"/>
  </mergeCells>
  <pageMargins left="0.2" right="0.2" top="0.75" bottom="0.25" header="0.3" footer="0.3"/>
  <pageSetup scale="55" orientation="landscape" r:id="rId1"/>
  <headerFooter>
    <oddHeader>&amp;C&amp;F &amp;A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7"/>
  <sheetViews>
    <sheetView zoomScaleNormal="100" workbookViewId="0">
      <pane xSplit="1" ySplit="2" topLeftCell="H21" activePane="bottomRight" state="frozen"/>
      <selection activeCell="C24" sqref="C24"/>
      <selection pane="topRight" activeCell="C24" sqref="C24"/>
      <selection pane="bottomLeft" activeCell="C24" sqref="C24"/>
      <selection pane="bottomRight" activeCell="P1" sqref="P1:R1048576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4" width="14.85546875" style="61" customWidth="1"/>
    <col min="5" max="5" width="15.42578125" style="61" customWidth="1"/>
    <col min="6" max="6" width="15.85546875" style="61" customWidth="1"/>
    <col min="7" max="7" width="12.28515625" style="61" customWidth="1"/>
    <col min="8" max="9" width="13.28515625" style="61" customWidth="1"/>
    <col min="10" max="10" width="11.28515625" style="61" bestFit="1" customWidth="1"/>
    <col min="11" max="11" width="12.7109375" style="61" customWidth="1"/>
    <col min="12" max="12" width="11.5703125" style="61" bestFit="1" customWidth="1"/>
    <col min="13" max="13" width="16" style="61" customWidth="1"/>
    <col min="14" max="14" width="15" style="61" bestFit="1" customWidth="1"/>
    <col min="15" max="15" width="16" style="61" bestFit="1" customWidth="1"/>
    <col min="16" max="16" width="16.28515625" style="61" bestFit="1" customWidth="1"/>
    <col min="17" max="17" width="15.28515625" style="61" bestFit="1" customWidth="1"/>
    <col min="18" max="18" width="12.42578125" style="61" customWidth="1"/>
    <col min="19" max="20" width="14.28515625" style="61" bestFit="1" customWidth="1"/>
    <col min="21" max="16384" width="9.140625" style="61"/>
  </cols>
  <sheetData>
    <row r="1" spans="1:33" x14ac:dyDescent="0.25">
      <c r="A1" s="3" t="str">
        <f>+PPC!A1</f>
        <v>KCP&amp;L Greater Missouri Operations Company - DSIM Rider Update Filed June 2019</v>
      </c>
      <c r="B1" s="3"/>
      <c r="C1" s="3"/>
      <c r="D1" s="3"/>
    </row>
    <row r="2" spans="1:33" x14ac:dyDescent="0.25">
      <c r="E2" s="3" t="s">
        <v>81</v>
      </c>
    </row>
    <row r="3" spans="1:33" ht="30" x14ac:dyDescent="0.25">
      <c r="E3" s="63" t="s">
        <v>62</v>
      </c>
      <c r="F3" s="86" t="s">
        <v>98</v>
      </c>
      <c r="G3" s="86" t="s">
        <v>99</v>
      </c>
      <c r="H3" s="63" t="s">
        <v>3</v>
      </c>
      <c r="I3" s="86" t="s">
        <v>70</v>
      </c>
      <c r="J3" s="63" t="s">
        <v>11</v>
      </c>
      <c r="K3" s="63" t="s">
        <v>10</v>
      </c>
      <c r="Q3" s="63"/>
    </row>
    <row r="4" spans="1:33" x14ac:dyDescent="0.25">
      <c r="A4" s="22" t="s">
        <v>29</v>
      </c>
      <c r="B4" s="22"/>
      <c r="C4" s="22"/>
      <c r="D4" s="22"/>
      <c r="E4" s="24">
        <f>SUM(C15:M15)</f>
        <v>-40444.409999999923</v>
      </c>
      <c r="F4" s="168">
        <f>N19</f>
        <v>13471297.835134083</v>
      </c>
      <c r="G4" s="24">
        <f>SUM(C23:L23)</f>
        <v>633281.34000000008</v>
      </c>
      <c r="H4" s="24">
        <f>G4-E4</f>
        <v>673725.75</v>
      </c>
      <c r="I4" s="24">
        <f>+B33</f>
        <v>-577652.09</v>
      </c>
      <c r="J4" s="24">
        <f>SUM(C38:L38)</f>
        <v>-4092.98</v>
      </c>
      <c r="K4" s="36">
        <f>SUM(H4:J4)</f>
        <v>91980.680000000037</v>
      </c>
      <c r="L4" s="62">
        <f>+K4-M33</f>
        <v>0</v>
      </c>
    </row>
    <row r="5" spans="1:33" ht="15.75" thickBot="1" x14ac:dyDescent="0.3">
      <c r="A5" s="22" t="s">
        <v>30</v>
      </c>
      <c r="B5" s="22"/>
      <c r="C5" s="22"/>
      <c r="D5" s="22"/>
      <c r="E5" s="24">
        <f>SUM(C16:M16)</f>
        <v>637192.13427000004</v>
      </c>
      <c r="F5" s="168">
        <f>N20</f>
        <v>18559236.715330958</v>
      </c>
      <c r="G5" s="24">
        <f>SUM(C24:L24)</f>
        <v>545168.57999999996</v>
      </c>
      <c r="H5" s="24">
        <f>G5-E5</f>
        <v>-92023.554270000081</v>
      </c>
      <c r="I5" s="24">
        <f>+B34</f>
        <v>-14861.47</v>
      </c>
      <c r="J5" s="24">
        <f>SUM(C39:L39)</f>
        <v>456.75999999999965</v>
      </c>
      <c r="K5" s="36">
        <f>SUM(H5:J5)</f>
        <v>-106428.26427000009</v>
      </c>
      <c r="L5" s="62">
        <f>+K5-M34</f>
        <v>0</v>
      </c>
    </row>
    <row r="6" spans="1:33" ht="16.5" thickTop="1" thickBot="1" x14ac:dyDescent="0.3">
      <c r="E6" s="40">
        <f t="shared" ref="E6" si="0">SUM(E4:E5)</f>
        <v>596747.72427000012</v>
      </c>
      <c r="F6" s="169">
        <f t="shared" ref="F6:I6" si="1">SUM(F4:F5)</f>
        <v>32030534.55046504</v>
      </c>
      <c r="G6" s="40">
        <f t="shared" si="1"/>
        <v>1178449.9199999999</v>
      </c>
      <c r="H6" s="40">
        <f t="shared" si="1"/>
        <v>581702.19572999992</v>
      </c>
      <c r="I6" s="40">
        <f t="shared" si="1"/>
        <v>-592513.55999999994</v>
      </c>
      <c r="J6" s="40">
        <f>SUM(J4:J5)</f>
        <v>-3636.2200000000003</v>
      </c>
      <c r="K6" s="40">
        <f>SUM(K4:K5)</f>
        <v>-14447.58427000005</v>
      </c>
      <c r="R6" s="5"/>
    </row>
    <row r="7" spans="1:33" ht="15.75" thickTop="1" x14ac:dyDescent="0.25"/>
    <row r="8" spans="1:33" x14ac:dyDescent="0.25">
      <c r="J8" s="4"/>
      <c r="T8" s="4"/>
    </row>
    <row r="9" spans="1:33" ht="15.75" thickBot="1" x14ac:dyDescent="0.3">
      <c r="T9" s="4"/>
      <c r="U9" s="5"/>
    </row>
    <row r="10" spans="1:33" ht="90.75" thickBot="1" x14ac:dyDescent="0.3">
      <c r="B10" s="145" t="str">
        <f>+'PCR Cycle 1'!B8</f>
        <v>Cumulative Over/Under Carryover From 12/01/2018 Filing</v>
      </c>
      <c r="C10" s="219" t="str">
        <f>+'PCR Cycle 1'!C8</f>
        <v>Reverse November-18 - January-19  Forecast From 12/01/2018 Filing</v>
      </c>
      <c r="D10" s="233" t="s">
        <v>132</v>
      </c>
      <c r="E10" s="261" t="s">
        <v>39</v>
      </c>
      <c r="F10" s="261"/>
      <c r="G10" s="262"/>
      <c r="H10" s="266" t="s">
        <v>39</v>
      </c>
      <c r="I10" s="267"/>
      <c r="J10" s="268"/>
      <c r="K10" s="263" t="s">
        <v>9</v>
      </c>
      <c r="L10" s="264"/>
      <c r="M10" s="265"/>
    </row>
    <row r="11" spans="1:33" x14ac:dyDescent="0.25">
      <c r="A11" s="61" t="s">
        <v>83</v>
      </c>
      <c r="C11" s="132"/>
      <c r="D11" s="234"/>
      <c r="E11" s="20">
        <f>+'PCR Cycle 1'!D9</f>
        <v>43434</v>
      </c>
      <c r="F11" s="20">
        <f t="shared" ref="F11:M11" si="2">EOMONTH(E11,1)</f>
        <v>43465</v>
      </c>
      <c r="G11" s="20">
        <f t="shared" si="2"/>
        <v>43496</v>
      </c>
      <c r="H11" s="14">
        <f t="shared" si="2"/>
        <v>43524</v>
      </c>
      <c r="I11" s="20">
        <f t="shared" si="2"/>
        <v>43555</v>
      </c>
      <c r="J11" s="20">
        <f t="shared" si="2"/>
        <v>43585</v>
      </c>
      <c r="K11" s="14">
        <f t="shared" si="2"/>
        <v>43616</v>
      </c>
      <c r="L11" s="20">
        <f t="shared" si="2"/>
        <v>43646</v>
      </c>
      <c r="M11" s="15">
        <f t="shared" si="2"/>
        <v>43677</v>
      </c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61" t="s">
        <v>6</v>
      </c>
      <c r="C12" s="124">
        <v>-800349.58</v>
      </c>
      <c r="D12" s="235">
        <f>+D23+D24</f>
        <v>-14753.99</v>
      </c>
      <c r="E12" s="136">
        <f t="shared" ref="E12:I12" si="3">+E23+E24</f>
        <v>608884.07000000007</v>
      </c>
      <c r="F12" s="136">
        <f t="shared" si="3"/>
        <v>152897.72</v>
      </c>
      <c r="G12" s="137">
        <f t="shared" si="3"/>
        <v>158304.16</v>
      </c>
      <c r="H12" s="16">
        <f t="shared" si="3"/>
        <v>174652.82</v>
      </c>
      <c r="I12" s="70">
        <f t="shared" si="3"/>
        <v>209768.07</v>
      </c>
      <c r="J12" s="72">
        <f t="shared" ref="J12:L12" si="4">+J23+J24</f>
        <v>210583.53999999998</v>
      </c>
      <c r="K12" s="186">
        <f t="shared" si="4"/>
        <v>172712.22999999998</v>
      </c>
      <c r="L12" s="97">
        <f t="shared" si="4"/>
        <v>305750.88</v>
      </c>
      <c r="M12" s="98"/>
    </row>
    <row r="13" spans="1:33" x14ac:dyDescent="0.25">
      <c r="C13" s="126"/>
      <c r="D13" s="236"/>
      <c r="E13" s="17"/>
      <c r="F13" s="17"/>
      <c r="G13" s="17"/>
      <c r="H13" s="10"/>
      <c r="I13" s="17"/>
      <c r="J13" s="17"/>
      <c r="K13" s="41"/>
      <c r="L13" s="44"/>
      <c r="M13" s="42"/>
    </row>
    <row r="14" spans="1:33" x14ac:dyDescent="0.25">
      <c r="A14" s="61" t="s">
        <v>82</v>
      </c>
      <c r="C14" s="126"/>
      <c r="D14" s="236"/>
      <c r="E14" s="18"/>
      <c r="F14" s="18"/>
      <c r="G14" s="18"/>
      <c r="H14" s="118"/>
      <c r="I14" s="18"/>
      <c r="J14" s="18"/>
      <c r="K14" s="41"/>
      <c r="L14" s="44"/>
      <c r="M14" s="42"/>
      <c r="N14" s="3" t="s">
        <v>93</v>
      </c>
      <c r="O14" s="52"/>
    </row>
    <row r="15" spans="1:33" x14ac:dyDescent="0.25">
      <c r="A15" s="61" t="s">
        <v>29</v>
      </c>
      <c r="C15" s="124">
        <v>-1555123.99</v>
      </c>
      <c r="D15" s="235">
        <v>0</v>
      </c>
      <c r="E15" s="166">
        <f>ROUND('[3]November 2018 Combined'!F38,2)</f>
        <v>403528.48</v>
      </c>
      <c r="F15" s="166">
        <f>ROUND('[3]December 2018 Combined'!F38,2)</f>
        <v>546452.92000000004</v>
      </c>
      <c r="G15" s="166">
        <f>ROUND('[4]January 2019 Combined'!F38,2)</f>
        <v>565888.67000000004</v>
      </c>
      <c r="H15" s="16">
        <f>ROUND('[4]February 2019 Combined'!F38,2)</f>
        <v>-1262.8499999999999</v>
      </c>
      <c r="I15" s="148">
        <f>ROUND('[4]March 2019 Combined'!F38,2)</f>
        <v>32.64</v>
      </c>
      <c r="J15" s="210">
        <f>ROUND('[4]April 2019 Combined'!F38,2)</f>
        <v>39.72</v>
      </c>
      <c r="K15" s="53">
        <f>'PCR Cycle 1'!J21*'TDR Cycle 2'!$N15</f>
        <v>0</v>
      </c>
      <c r="L15" s="54">
        <f>'PCR Cycle 1'!K21*'TDR Cycle 2'!$N15</f>
        <v>0</v>
      </c>
      <c r="M15" s="77">
        <f>'PCR Cycle 1'!L21*'TDR Cycle 2'!$N15</f>
        <v>0</v>
      </c>
      <c r="N15" s="88">
        <v>0</v>
      </c>
      <c r="O15" s="4"/>
    </row>
    <row r="16" spans="1:33" x14ac:dyDescent="0.25">
      <c r="A16" s="61" t="s">
        <v>30</v>
      </c>
      <c r="C16" s="124">
        <v>-911625.99</v>
      </c>
      <c r="D16" s="235">
        <v>0</v>
      </c>
      <c r="E16" s="166">
        <f>ROUND('[3]November 2018 Combined'!F39,2)</f>
        <v>297538.53000000003</v>
      </c>
      <c r="F16" s="166">
        <f>ROUND('[3]December 2018 Combined'!F39,2)</f>
        <v>293862.63</v>
      </c>
      <c r="G16" s="166">
        <f>ROUND('[4]January 2019 Combined'!F39,2)</f>
        <v>291222.57</v>
      </c>
      <c r="H16" s="16">
        <f>ROUND('[4]February 2019 Combined'!F39,2)</f>
        <v>114356.02</v>
      </c>
      <c r="I16" s="148">
        <f>ROUND('[4]March 2019 Combined'!F39,2)</f>
        <v>107890.82</v>
      </c>
      <c r="J16" s="210">
        <f>ROUND('[4]April 2019 Combined'!F39,2)</f>
        <v>96928.56</v>
      </c>
      <c r="K16" s="53">
        <f>'PCR Cycle 1'!J22*'TDR Cycle 2'!$N16</f>
        <v>103614.79205999999</v>
      </c>
      <c r="L16" s="54">
        <f>'PCR Cycle 1'!K22*'TDR Cycle 2'!$N16</f>
        <v>116043.58388999999</v>
      </c>
      <c r="M16" s="77">
        <f>'PCR Cycle 1'!L22*'TDR Cycle 2'!$N16</f>
        <v>127360.61831999999</v>
      </c>
      <c r="N16" s="88">
        <v>3.8999999999999999E-4</v>
      </c>
      <c r="O16" s="4"/>
    </row>
    <row r="17" spans="1:15" x14ac:dyDescent="0.25">
      <c r="C17" s="83"/>
      <c r="D17" s="237"/>
      <c r="E17" s="84"/>
      <c r="F17" s="84"/>
      <c r="G17" s="84"/>
      <c r="H17" s="83"/>
      <c r="I17" s="84"/>
      <c r="J17" s="84"/>
      <c r="K17" s="12"/>
      <c r="L17" s="71"/>
      <c r="M17" s="13"/>
      <c r="O17" s="4"/>
    </row>
    <row r="18" spans="1:15" x14ac:dyDescent="0.25">
      <c r="A18" s="52" t="s">
        <v>97</v>
      </c>
      <c r="B18" s="52"/>
      <c r="C18" s="83"/>
      <c r="D18" s="237"/>
      <c r="E18" s="71"/>
      <c r="F18" s="71"/>
      <c r="G18" s="71"/>
      <c r="H18" s="12"/>
      <c r="I18" s="71"/>
      <c r="J18" s="111"/>
      <c r="K18" s="12"/>
      <c r="L18" s="71"/>
      <c r="M18" s="13"/>
      <c r="N18" s="7"/>
    </row>
    <row r="19" spans="1:15" x14ac:dyDescent="0.25">
      <c r="A19" s="61" t="s">
        <v>29</v>
      </c>
      <c r="C19" s="129">
        <v>-8192595.7610925231</v>
      </c>
      <c r="D19" s="238"/>
      <c r="E19" s="138">
        <f>+'[8]Monthly TD Calc'!AH285</f>
        <v>5347344.3378689876</v>
      </c>
      <c r="F19" s="138">
        <f>+'[8]Monthly TD Calc'!AI285</f>
        <v>2223847.8207397051</v>
      </c>
      <c r="G19" s="152">
        <f>+'[8]Monthly TD Calc'!AJ285</f>
        <v>2437390.5599332452</v>
      </c>
      <c r="H19" s="92">
        <f>+'[8]Monthly TD Calc'!AK285</f>
        <v>2568645.6526650907</v>
      </c>
      <c r="I19" s="93">
        <f>+'[8]Monthly TD Calc'!AL285</f>
        <v>2800178.2596328454</v>
      </c>
      <c r="J19" s="207">
        <f>+'[8]Monthly TD Calc'!AM285</f>
        <v>2703617.2723785238</v>
      </c>
      <c r="K19" s="188">
        <f>+'[2]GMO Monthly TD Calc'!AN372</f>
        <v>1530700.2326677311</v>
      </c>
      <c r="L19" s="176">
        <f>+'[2]GMO Monthly TD Calc'!AO372</f>
        <v>2052169.460340478</v>
      </c>
      <c r="M19" s="99"/>
      <c r="N19" s="75">
        <f>SUM(C19:L19)</f>
        <v>13471297.835134083</v>
      </c>
    </row>
    <row r="20" spans="1:15" x14ac:dyDescent="0.25">
      <c r="A20" s="61" t="s">
        <v>30</v>
      </c>
      <c r="C20" s="129">
        <v>-11956209.999365322</v>
      </c>
      <c r="D20" s="238"/>
      <c r="E20" s="138">
        <f>+'[8]Monthly TD Calc'!AH286</f>
        <v>9360030.5072822627</v>
      </c>
      <c r="F20" s="138">
        <f>+'[8]Monthly TD Calc'!AI286</f>
        <v>2110331.3100300855</v>
      </c>
      <c r="G20" s="152">
        <f>+'[8]Monthly TD Calc'!AJ286</f>
        <v>2485410.5229145219</v>
      </c>
      <c r="H20" s="92">
        <f>+'[8]Monthly TD Calc'!AK286</f>
        <v>2522716.8233601586</v>
      </c>
      <c r="I20" s="93">
        <f>+'[8]Monthly TD Calc'!AL286</f>
        <v>3231683.4224237148</v>
      </c>
      <c r="J20" s="207">
        <f>+'[8]Monthly TD Calc'!AM286</f>
        <v>3356858.9549558652</v>
      </c>
      <c r="K20" s="188">
        <f>+'[2]GMO Monthly TD Calc'!AN373</f>
        <v>3604233.295715705</v>
      </c>
      <c r="L20" s="176">
        <f>+'[2]GMO Monthly TD Calc'!AO373</f>
        <v>3844181.878013968</v>
      </c>
      <c r="M20" s="99"/>
      <c r="N20" s="75">
        <f>SUM(C20:L20)</f>
        <v>18559236.715330958</v>
      </c>
    </row>
    <row r="21" spans="1:15" x14ac:dyDescent="0.25">
      <c r="C21" s="83"/>
      <c r="D21" s="237"/>
      <c r="E21" s="84"/>
      <c r="F21" s="84"/>
      <c r="G21" s="84"/>
      <c r="H21" s="83"/>
      <c r="I21" s="84"/>
      <c r="J21" s="84"/>
      <c r="K21" s="12"/>
      <c r="L21" s="71"/>
      <c r="M21" s="13"/>
    </row>
    <row r="22" spans="1:15" x14ac:dyDescent="0.25">
      <c r="A22" s="61" t="s">
        <v>94</v>
      </c>
      <c r="C22" s="49"/>
      <c r="D22" s="239"/>
      <c r="E22" s="50"/>
      <c r="F22" s="50"/>
      <c r="G22" s="50"/>
      <c r="H22" s="49"/>
      <c r="I22" s="50"/>
      <c r="J22" s="50"/>
      <c r="K22" s="189"/>
      <c r="L22" s="67"/>
      <c r="M22" s="51"/>
    </row>
    <row r="23" spans="1:15" x14ac:dyDescent="0.25">
      <c r="A23" s="61" t="s">
        <v>29</v>
      </c>
      <c r="C23" s="124">
        <v>-378481.25</v>
      </c>
      <c r="D23" s="235">
        <f>ROUND('[8]Monthly TD Calc'!AG340,2)</f>
        <v>-13949.1</v>
      </c>
      <c r="E23" s="136">
        <f>ROUND('[8]Monthly TD Calc'!AH318,2)</f>
        <v>271623.71000000002</v>
      </c>
      <c r="F23" s="136">
        <f>ROUND('[8]Monthly TD Calc'!AI318,2)</f>
        <v>96214.77</v>
      </c>
      <c r="G23" s="137">
        <f>ROUND('[8]Monthly TD Calc'!AJ318,2)</f>
        <v>95032.639999999999</v>
      </c>
      <c r="H23" s="16">
        <f>ROUND('[8]Monthly TD Calc'!AK318,2)</f>
        <v>106569.25</v>
      </c>
      <c r="I23" s="70">
        <f>ROUND('[8]Monthly TD Calc'!AL318,2)</f>
        <v>122244.59</v>
      </c>
      <c r="J23" s="207">
        <f>ROUND('[8]Monthly TD Calc'!AM318,2)</f>
        <v>118396.81</v>
      </c>
      <c r="K23" s="190">
        <f>ROUND('[2]GMO Monthly TD Calc'!AN351,2)</f>
        <v>65599.22</v>
      </c>
      <c r="L23" s="174">
        <f>ROUND('[2]GMO Monthly TD Calc'!AO351,2)</f>
        <v>150030.70000000001</v>
      </c>
      <c r="M23" s="98"/>
    </row>
    <row r="24" spans="1:15" x14ac:dyDescent="0.25">
      <c r="A24" s="61" t="s">
        <v>30</v>
      </c>
      <c r="C24" s="124">
        <v>-421868.33</v>
      </c>
      <c r="D24" s="235">
        <f>ROUND('[8]Monthly TD Calc'!AG341,2)</f>
        <v>-804.89</v>
      </c>
      <c r="E24" s="136">
        <f>ROUND('[8]Monthly TD Calc'!AH319,2)</f>
        <v>337260.36</v>
      </c>
      <c r="F24" s="136">
        <f>ROUND('[8]Monthly TD Calc'!AI319,2)</f>
        <v>56682.95</v>
      </c>
      <c r="G24" s="137">
        <f>ROUND('[8]Monthly TD Calc'!AJ319,2)</f>
        <v>63271.519999999997</v>
      </c>
      <c r="H24" s="16">
        <f>ROUND('[8]Monthly TD Calc'!AK319,2)</f>
        <v>68083.570000000007</v>
      </c>
      <c r="I24" s="70">
        <f>ROUND('[8]Monthly TD Calc'!AL319,2)</f>
        <v>87523.48</v>
      </c>
      <c r="J24" s="207">
        <f>ROUND('[8]Monthly TD Calc'!AM319,2)</f>
        <v>92186.73</v>
      </c>
      <c r="K24" s="190">
        <f>ROUND('[2]GMO Monthly TD Calc'!AN352,2)</f>
        <v>107113.01</v>
      </c>
      <c r="L24" s="174">
        <f>ROUND('[2]GMO Monthly TD Calc'!AO352,2)</f>
        <v>155720.18</v>
      </c>
      <c r="M24" s="98"/>
      <c r="O24" s="62"/>
    </row>
    <row r="25" spans="1:15" x14ac:dyDescent="0.25">
      <c r="C25" s="126"/>
      <c r="D25" s="236"/>
      <c r="E25" s="235"/>
      <c r="F25" s="214"/>
      <c r="G25" s="214"/>
      <c r="H25" s="118"/>
      <c r="I25" s="18"/>
      <c r="J25" s="18"/>
      <c r="K25" s="12"/>
      <c r="L25" s="71"/>
      <c r="M25" s="13"/>
    </row>
    <row r="26" spans="1:15" ht="15.75" thickBot="1" x14ac:dyDescent="0.3">
      <c r="A26" s="3" t="s">
        <v>18</v>
      </c>
      <c r="B26" s="3"/>
      <c r="C26" s="130">
        <v>-5131.78</v>
      </c>
      <c r="D26" s="240">
        <v>-106.19</v>
      </c>
      <c r="E26" s="166">
        <v>2996.36</v>
      </c>
      <c r="F26" s="166">
        <v>1916.9099999999999</v>
      </c>
      <c r="G26" s="167">
        <v>-219.90999999999997</v>
      </c>
      <c r="H26" s="39">
        <v>-1214.0700000000002</v>
      </c>
      <c r="I26" s="149">
        <v>-961.6</v>
      </c>
      <c r="J26" s="211">
        <v>-627.16</v>
      </c>
      <c r="K26" s="191">
        <v>-345.15999999999997</v>
      </c>
      <c r="L26" s="177">
        <v>55.96</v>
      </c>
      <c r="M26" s="101"/>
    </row>
    <row r="27" spans="1:15" x14ac:dyDescent="0.25">
      <c r="C27" s="80"/>
      <c r="D27" s="241"/>
      <c r="E27" s="82"/>
      <c r="F27" s="82"/>
      <c r="G27" s="46"/>
      <c r="H27" s="80"/>
      <c r="I27" s="46"/>
      <c r="J27" s="46"/>
      <c r="K27" s="192"/>
      <c r="L27" s="47"/>
      <c r="M27" s="76"/>
    </row>
    <row r="28" spans="1:15" x14ac:dyDescent="0.25">
      <c r="A28" s="61" t="s">
        <v>68</v>
      </c>
      <c r="C28" s="81"/>
      <c r="D28" s="242"/>
      <c r="E28" s="204"/>
      <c r="F28" s="204"/>
      <c r="G28" s="204"/>
      <c r="H28" s="205"/>
      <c r="I28" s="204"/>
      <c r="J28" s="204"/>
      <c r="K28" s="192"/>
      <c r="L28" s="47"/>
      <c r="M28" s="76"/>
    </row>
    <row r="29" spans="1:15" x14ac:dyDescent="0.25">
      <c r="A29" s="61" t="s">
        <v>29</v>
      </c>
      <c r="C29" s="127">
        <f>(C23-C15)-0</f>
        <v>1176642.74</v>
      </c>
      <c r="D29" s="243">
        <f t="shared" ref="D29:D30" si="5">D23-D15</f>
        <v>-13949.1</v>
      </c>
      <c r="E29" s="54">
        <f t="shared" ref="E29:M30" si="6">E23-E15</f>
        <v>-131904.76999999996</v>
      </c>
      <c r="F29" s="54">
        <f t="shared" si="6"/>
        <v>-450238.15</v>
      </c>
      <c r="G29" s="135">
        <f t="shared" si="6"/>
        <v>-470856.03</v>
      </c>
      <c r="H29" s="53">
        <f t="shared" si="6"/>
        <v>107832.1</v>
      </c>
      <c r="I29" s="54">
        <f t="shared" si="6"/>
        <v>122211.95</v>
      </c>
      <c r="J29" s="135">
        <f t="shared" si="6"/>
        <v>118357.09</v>
      </c>
      <c r="K29" s="53">
        <f t="shared" si="6"/>
        <v>65599.22</v>
      </c>
      <c r="L29" s="54">
        <f t="shared" si="6"/>
        <v>150030.70000000001</v>
      </c>
      <c r="M29" s="77">
        <f>M23-M15</f>
        <v>0</v>
      </c>
    </row>
    <row r="30" spans="1:15" x14ac:dyDescent="0.25">
      <c r="A30" s="61" t="s">
        <v>30</v>
      </c>
      <c r="C30" s="127">
        <f>(C24-C16)-0</f>
        <v>489757.66</v>
      </c>
      <c r="D30" s="243">
        <f t="shared" si="5"/>
        <v>-804.89</v>
      </c>
      <c r="E30" s="54">
        <f t="shared" si="6"/>
        <v>39721.829999999958</v>
      </c>
      <c r="F30" s="54">
        <f t="shared" si="6"/>
        <v>-237179.68</v>
      </c>
      <c r="G30" s="135">
        <f t="shared" si="6"/>
        <v>-227951.05000000002</v>
      </c>
      <c r="H30" s="53">
        <f t="shared" si="6"/>
        <v>-46272.45</v>
      </c>
      <c r="I30" s="54">
        <f t="shared" si="6"/>
        <v>-20367.340000000011</v>
      </c>
      <c r="J30" s="135">
        <f t="shared" si="6"/>
        <v>-4741.8300000000017</v>
      </c>
      <c r="K30" s="53">
        <f t="shared" si="6"/>
        <v>3498.2179400000023</v>
      </c>
      <c r="L30" s="54">
        <f t="shared" si="6"/>
        <v>39676.596109999999</v>
      </c>
      <c r="M30" s="77">
        <f t="shared" si="6"/>
        <v>-127360.61831999999</v>
      </c>
    </row>
    <row r="31" spans="1:15" x14ac:dyDescent="0.25">
      <c r="C31" s="126"/>
      <c r="D31" s="236"/>
      <c r="E31" s="71"/>
      <c r="F31" s="71"/>
      <c r="G31" s="71"/>
      <c r="H31" s="10"/>
      <c r="I31" s="17"/>
      <c r="J31" s="17"/>
      <c r="K31" s="10"/>
      <c r="L31" s="17"/>
      <c r="M31" s="11"/>
    </row>
    <row r="32" spans="1:15" ht="15.75" thickBot="1" x14ac:dyDescent="0.3">
      <c r="A32" s="61" t="s">
        <v>69</v>
      </c>
      <c r="C32" s="126"/>
      <c r="D32" s="236"/>
      <c r="E32" s="17"/>
      <c r="F32" s="17"/>
      <c r="G32" s="17"/>
      <c r="H32" s="10"/>
      <c r="I32" s="17"/>
      <c r="J32" s="17"/>
      <c r="K32" s="10"/>
      <c r="L32" s="17"/>
      <c r="M32" s="11"/>
    </row>
    <row r="33" spans="1:13" x14ac:dyDescent="0.25">
      <c r="A33" s="61" t="s">
        <v>29</v>
      </c>
      <c r="B33" s="143">
        <v>-577652.09</v>
      </c>
      <c r="C33" s="127">
        <f>(B33+B38+C29)-0</f>
        <v>598990.65</v>
      </c>
      <c r="D33" s="243">
        <f t="shared" ref="D33:D34" si="7">+C33+D29+C38</f>
        <v>582571.70000000007</v>
      </c>
      <c r="E33" s="54">
        <f>D33+D38+E29</f>
        <v>450566.47000000015</v>
      </c>
      <c r="F33" s="54">
        <f t="shared" ref="F33:M33" si="8">E33+E38+F29</f>
        <v>1864.0100000001257</v>
      </c>
      <c r="G33" s="135">
        <f t="shared" si="8"/>
        <v>-468291.36999999988</v>
      </c>
      <c r="H33" s="53">
        <f t="shared" si="8"/>
        <v>-361188.77999999991</v>
      </c>
      <c r="I33" s="54">
        <f t="shared" si="8"/>
        <v>-240272.23999999987</v>
      </c>
      <c r="J33" s="135">
        <f t="shared" si="8"/>
        <v>-122854.38999999987</v>
      </c>
      <c r="K33" s="53">
        <f t="shared" si="8"/>
        <v>-57820.939999999871</v>
      </c>
      <c r="L33" s="54">
        <f t="shared" si="8"/>
        <v>91928.110000000132</v>
      </c>
      <c r="M33" s="77">
        <f t="shared" si="8"/>
        <v>91980.680000000139</v>
      </c>
    </row>
    <row r="34" spans="1:13" ht="15.75" thickBot="1" x14ac:dyDescent="0.3">
      <c r="A34" s="61" t="s">
        <v>30</v>
      </c>
      <c r="B34" s="144">
        <v>-14861.47</v>
      </c>
      <c r="C34" s="127">
        <f>(B34+B39+C30)-0</f>
        <v>474896.19</v>
      </c>
      <c r="D34" s="243">
        <f t="shared" si="7"/>
        <v>471429.37</v>
      </c>
      <c r="E34" s="54">
        <f>D34+D39+E30</f>
        <v>511145.87999999995</v>
      </c>
      <c r="F34" s="54">
        <f t="shared" ref="F34:M34" si="9">E34+E39+F30</f>
        <v>275426.86999999994</v>
      </c>
      <c r="G34" s="135">
        <f t="shared" si="9"/>
        <v>48692.06999999992</v>
      </c>
      <c r="H34" s="53">
        <f t="shared" si="9"/>
        <v>2929.2199999999211</v>
      </c>
      <c r="I34" s="54">
        <f t="shared" si="9"/>
        <v>-17356.78000000009</v>
      </c>
      <c r="J34" s="135">
        <f t="shared" si="9"/>
        <v>-22120.96000000009</v>
      </c>
      <c r="K34" s="53">
        <f t="shared" si="9"/>
        <v>-18684.122060000089</v>
      </c>
      <c r="L34" s="54">
        <f t="shared" si="9"/>
        <v>20928.964049999911</v>
      </c>
      <c r="M34" s="77">
        <f t="shared" si="9"/>
        <v>-106428.26427000009</v>
      </c>
    </row>
    <row r="35" spans="1:13" x14ac:dyDescent="0.25">
      <c r="C35" s="126"/>
      <c r="D35" s="236"/>
      <c r="E35" s="17"/>
      <c r="F35" s="17"/>
      <c r="G35" s="17"/>
      <c r="H35" s="10"/>
      <c r="I35" s="17"/>
      <c r="J35" s="17"/>
      <c r="K35" s="10"/>
      <c r="L35" s="17"/>
      <c r="M35" s="11"/>
    </row>
    <row r="36" spans="1:13" x14ac:dyDescent="0.25">
      <c r="A36" s="52" t="s">
        <v>96</v>
      </c>
      <c r="B36" s="52"/>
      <c r="C36" s="131"/>
      <c r="D36" s="244"/>
      <c r="E36" s="103">
        <f>+'PCR Cycle 2'!D38</f>
        <v>2.9731599999999999E-3</v>
      </c>
      <c r="F36" s="103">
        <f>+'PCR Cycle 2'!E38</f>
        <v>3.0868100000000002E-3</v>
      </c>
      <c r="G36" s="103">
        <f>+'PCR Cycle 2'!F38</f>
        <v>3.13277E-3</v>
      </c>
      <c r="H36" s="105">
        <f>+'PCR Cycle 2'!G38</f>
        <v>3.1206900000000002E-3</v>
      </c>
      <c r="I36" s="103">
        <f>+'PCR Cycle 2'!H38</f>
        <v>3.11648E-3</v>
      </c>
      <c r="J36" s="104">
        <f>+'PCR Cycle 2'!I38</f>
        <v>3.1080600000000002E-3</v>
      </c>
      <c r="K36" s="105">
        <f>+'PCR Cycle 2'!J38</f>
        <v>3.1080600000000002E-3</v>
      </c>
      <c r="L36" s="103">
        <f>+'PCR Cycle 2'!K38</f>
        <v>3.1080600000000002E-3</v>
      </c>
      <c r="M36" s="106"/>
    </row>
    <row r="37" spans="1:13" x14ac:dyDescent="0.25">
      <c r="A37" s="52" t="s">
        <v>44</v>
      </c>
      <c r="B37" s="52"/>
      <c r="C37" s="133"/>
      <c r="D37" s="245"/>
      <c r="E37" s="103"/>
      <c r="F37" s="103"/>
      <c r="G37" s="103"/>
      <c r="H37" s="105"/>
      <c r="I37" s="103"/>
      <c r="J37" s="103"/>
      <c r="K37" s="105"/>
      <c r="L37" s="103"/>
      <c r="M37" s="106"/>
    </row>
    <row r="38" spans="1:13" x14ac:dyDescent="0.25">
      <c r="A38" s="61" t="s">
        <v>29</v>
      </c>
      <c r="C38" s="127">
        <v>-2469.85</v>
      </c>
      <c r="D38" s="243">
        <f>ROUND('[8]Monthly TD Calc'!AG350,2)</f>
        <v>-100.46</v>
      </c>
      <c r="E38" s="215">
        <f>ROUND((D33+D38+E29/2)*E$36,2)</f>
        <v>1535.69</v>
      </c>
      <c r="F38" s="215">
        <f t="shared" ref="F38:M38" si="10">ROUND((E33+E38+F29/2)*F$36,2)</f>
        <v>700.65</v>
      </c>
      <c r="G38" s="218">
        <f t="shared" si="10"/>
        <v>-729.51</v>
      </c>
      <c r="H38" s="53">
        <f t="shared" si="10"/>
        <v>-1295.4100000000001</v>
      </c>
      <c r="I38" s="150">
        <f t="shared" si="10"/>
        <v>-939.24</v>
      </c>
      <c r="J38" s="135">
        <f t="shared" si="10"/>
        <v>-565.77</v>
      </c>
      <c r="K38" s="183">
        <f t="shared" si="10"/>
        <v>-281.64999999999998</v>
      </c>
      <c r="L38" s="135">
        <f t="shared" si="10"/>
        <v>52.57</v>
      </c>
      <c r="M38" s="77">
        <f t="shared" si="10"/>
        <v>0</v>
      </c>
    </row>
    <row r="39" spans="1:13" ht="15.75" thickBot="1" x14ac:dyDescent="0.3">
      <c r="A39" s="61" t="s">
        <v>30</v>
      </c>
      <c r="C39" s="127">
        <v>-2661.9300000000003</v>
      </c>
      <c r="D39" s="243">
        <f>ROUND('[8]Monthly TD Calc'!AG351,2)</f>
        <v>-5.32</v>
      </c>
      <c r="E39" s="215">
        <f>ROUND((D34+D39+E30/2)*E$36,2)</f>
        <v>1460.67</v>
      </c>
      <c r="F39" s="215">
        <f t="shared" ref="F39:M39" si="11">ROUND((E34+E39+F30/2)*F$36,2)</f>
        <v>1216.25</v>
      </c>
      <c r="G39" s="218">
        <f t="shared" si="11"/>
        <v>509.6</v>
      </c>
      <c r="H39" s="53">
        <f t="shared" si="11"/>
        <v>81.34</v>
      </c>
      <c r="I39" s="150">
        <f t="shared" si="11"/>
        <v>-22.35</v>
      </c>
      <c r="J39" s="135">
        <f t="shared" si="11"/>
        <v>-61.38</v>
      </c>
      <c r="K39" s="183">
        <f t="shared" si="11"/>
        <v>-63.51</v>
      </c>
      <c r="L39" s="135">
        <f t="shared" si="11"/>
        <v>3.39</v>
      </c>
      <c r="M39" s="77">
        <f t="shared" si="11"/>
        <v>0</v>
      </c>
    </row>
    <row r="40" spans="1:13" ht="16.5" thickTop="1" thickBot="1" x14ac:dyDescent="0.3">
      <c r="A40" s="69" t="s">
        <v>25</v>
      </c>
      <c r="B40" s="69"/>
      <c r="C40" s="134">
        <v>0</v>
      </c>
      <c r="D40" s="246"/>
      <c r="E40" s="55">
        <f>SUM(E38:E39)+SUM(E33:E34)-E43</f>
        <v>0</v>
      </c>
      <c r="F40" s="55">
        <f t="shared" ref="F40:M40" si="12">SUM(F38:F39)+SUM(F33:F34)-F43</f>
        <v>0</v>
      </c>
      <c r="G40" s="65">
        <f t="shared" si="12"/>
        <v>0</v>
      </c>
      <c r="H40" s="66">
        <f t="shared" si="12"/>
        <v>0</v>
      </c>
      <c r="I40" s="55">
        <f t="shared" si="12"/>
        <v>0</v>
      </c>
      <c r="J40" s="65">
        <f t="shared" si="12"/>
        <v>0</v>
      </c>
      <c r="K40" s="193">
        <f t="shared" si="12"/>
        <v>0</v>
      </c>
      <c r="L40" s="65">
        <f t="shared" si="12"/>
        <v>0</v>
      </c>
      <c r="M40" s="78">
        <f t="shared" si="12"/>
        <v>1.4551915228366852E-11</v>
      </c>
    </row>
    <row r="41" spans="1:13" ht="16.5" thickTop="1" thickBot="1" x14ac:dyDescent="0.3">
      <c r="A41" s="69" t="s">
        <v>26</v>
      </c>
      <c r="B41" s="69"/>
      <c r="C41" s="134">
        <v>0</v>
      </c>
      <c r="D41" s="246"/>
      <c r="E41" s="55">
        <f>SUM(E38:E39)-E26</f>
        <v>0</v>
      </c>
      <c r="F41" s="55">
        <f t="shared" ref="F41:J41" si="13">SUM(F38:F39)-F26</f>
        <v>-9.9999999997635314E-3</v>
      </c>
      <c r="G41" s="65">
        <f t="shared" ref="G41:I41" si="14">SUM(G38:G39)-G26</f>
        <v>0</v>
      </c>
      <c r="H41" s="66">
        <f t="shared" si="14"/>
        <v>0</v>
      </c>
      <c r="I41" s="55">
        <f t="shared" si="14"/>
        <v>9.9999999999909051E-3</v>
      </c>
      <c r="J41" s="65">
        <f t="shared" si="13"/>
        <v>9.9999999999909051E-3</v>
      </c>
      <c r="K41" s="66">
        <f t="shared" ref="K41:M41" si="15">SUM(K38:K39)-K26</f>
        <v>0</v>
      </c>
      <c r="L41" s="55">
        <f t="shared" si="15"/>
        <v>0</v>
      </c>
      <c r="M41" s="55">
        <f t="shared" si="15"/>
        <v>0</v>
      </c>
    </row>
    <row r="42" spans="1:13" ht="16.5" thickTop="1" thickBot="1" x14ac:dyDescent="0.3">
      <c r="C42" s="126"/>
      <c r="D42" s="236"/>
      <c r="E42" s="17"/>
      <c r="F42" s="17"/>
      <c r="G42" s="17"/>
      <c r="H42" s="10"/>
      <c r="I42" s="17"/>
      <c r="J42" s="17"/>
      <c r="K42" s="10"/>
      <c r="L42" s="17"/>
      <c r="M42" s="11"/>
    </row>
    <row r="43" spans="1:13" ht="15.75" thickBot="1" x14ac:dyDescent="0.3">
      <c r="A43" s="61" t="s">
        <v>42</v>
      </c>
      <c r="B43" s="146">
        <f>+B33+B34</f>
        <v>-592513.55999999994</v>
      </c>
      <c r="C43" s="127">
        <f t="shared" ref="C43" si="16">(C12-SUM(C15:C16))+SUM(C38:C39)+B43</f>
        <v>1068755.06</v>
      </c>
      <c r="D43" s="243">
        <f>(D12-SUM(D15:D16))+SUM(D38:D39)+C43</f>
        <v>1053895.29</v>
      </c>
      <c r="E43" s="54">
        <f>(E12-SUM(E15:E16))+SUM(E38:E39)+D43</f>
        <v>964708.71000000008</v>
      </c>
      <c r="F43" s="54">
        <f t="shared" ref="F43:M43" si="17">(F12-SUM(F15:F16))+SUM(F38:F39)+E43</f>
        <v>279207.78000000003</v>
      </c>
      <c r="G43" s="135">
        <f t="shared" si="17"/>
        <v>-419819.20999999996</v>
      </c>
      <c r="H43" s="53">
        <f t="shared" si="17"/>
        <v>-359473.62999999995</v>
      </c>
      <c r="I43" s="54">
        <f t="shared" si="17"/>
        <v>-258590.60999999993</v>
      </c>
      <c r="J43" s="135">
        <f t="shared" si="17"/>
        <v>-145602.49999999994</v>
      </c>
      <c r="K43" s="183">
        <f t="shared" si="17"/>
        <v>-76850.222059999956</v>
      </c>
      <c r="L43" s="135">
        <f t="shared" si="17"/>
        <v>112913.03405000003</v>
      </c>
      <c r="M43" s="77">
        <f t="shared" si="17"/>
        <v>-14447.584269999963</v>
      </c>
    </row>
    <row r="44" spans="1:13" x14ac:dyDescent="0.25">
      <c r="A44" s="61" t="s">
        <v>14</v>
      </c>
      <c r="C44" s="147"/>
      <c r="D44" s="17"/>
      <c r="E44" s="17"/>
      <c r="F44" s="17"/>
      <c r="G44" s="17"/>
      <c r="H44" s="10"/>
      <c r="I44" s="17"/>
      <c r="J44" s="17"/>
      <c r="K44" s="10"/>
      <c r="L44" s="17"/>
      <c r="M44" s="11"/>
    </row>
    <row r="45" spans="1:13" ht="15.75" thickBot="1" x14ac:dyDescent="0.3">
      <c r="A45" s="50"/>
      <c r="B45" s="50"/>
      <c r="C45" s="194"/>
      <c r="D45" s="232"/>
      <c r="E45" s="57"/>
      <c r="F45" s="57"/>
      <c r="G45" s="57"/>
      <c r="H45" s="56"/>
      <c r="I45" s="57"/>
      <c r="J45" s="57"/>
      <c r="K45" s="56"/>
      <c r="L45" s="57"/>
      <c r="M45" s="58"/>
    </row>
    <row r="47" spans="1:13" x14ac:dyDescent="0.25">
      <c r="A47" s="85" t="s">
        <v>13</v>
      </c>
      <c r="B47" s="85"/>
      <c r="C47" s="85"/>
      <c r="D47" s="85"/>
    </row>
    <row r="48" spans="1:13" ht="43.5" customHeight="1" x14ac:dyDescent="0.25">
      <c r="A48" s="260" t="s">
        <v>150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</row>
    <row r="49" spans="1:13" ht="35.25" customHeight="1" x14ac:dyDescent="0.25">
      <c r="A49" s="259" t="s">
        <v>145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1:13" ht="33" customHeight="1" x14ac:dyDescent="0.25">
      <c r="A50" s="260" t="s">
        <v>151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</row>
    <row r="51" spans="1:13" x14ac:dyDescent="0.25">
      <c r="A51" s="3" t="s">
        <v>90</v>
      </c>
      <c r="B51" s="3"/>
      <c r="C51" s="3"/>
      <c r="D51" s="3"/>
    </row>
    <row r="52" spans="1:13" x14ac:dyDescent="0.25">
      <c r="A52" s="3" t="s">
        <v>127</v>
      </c>
      <c r="B52" s="3"/>
      <c r="C52" s="3"/>
      <c r="D52" s="3"/>
    </row>
    <row r="53" spans="1:13" x14ac:dyDescent="0.25">
      <c r="A53" s="3" t="s">
        <v>95</v>
      </c>
      <c r="B53" s="3"/>
      <c r="C53" s="3"/>
      <c r="D53" s="3"/>
    </row>
    <row r="54" spans="1:13" x14ac:dyDescent="0.25">
      <c r="A54" s="3"/>
      <c r="B54" s="3"/>
      <c r="C54" s="3"/>
      <c r="D54" s="3"/>
    </row>
    <row r="55" spans="1:13" x14ac:dyDescent="0.25">
      <c r="H55" s="213"/>
      <c r="I55" s="213"/>
      <c r="J55" s="213"/>
    </row>
    <row r="56" spans="1:13" x14ac:dyDescent="0.25">
      <c r="J56" s="216"/>
      <c r="K56" s="216"/>
    </row>
    <row r="57" spans="1:13" x14ac:dyDescent="0.25">
      <c r="J57" s="216"/>
      <c r="K57" s="216"/>
      <c r="L57" s="217"/>
      <c r="M57" s="217"/>
    </row>
  </sheetData>
  <mergeCells count="6">
    <mergeCell ref="A50:M50"/>
    <mergeCell ref="E10:G10"/>
    <mergeCell ref="A48:M48"/>
    <mergeCell ref="A49:M49"/>
    <mergeCell ref="H10:J10"/>
    <mergeCell ref="K10:M10"/>
  </mergeCells>
  <pageMargins left="0.2" right="0.2" top="0.75" bottom="0.25" header="0.3" footer="0.3"/>
  <pageSetup scale="50" orientation="landscape" r:id="rId1"/>
  <headerFooter>
    <oddHeader>&amp;C&amp;F &amp;A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2"/>
  <sheetViews>
    <sheetView topLeftCell="A4" workbookViewId="0">
      <selection activeCell="E14" sqref="E14"/>
    </sheetView>
  </sheetViews>
  <sheetFormatPr defaultRowHeight="15" x14ac:dyDescent="0.25"/>
  <cols>
    <col min="1" max="1" width="27.42578125" customWidth="1"/>
    <col min="2" max="2" width="14.28515625" bestFit="1" customWidth="1"/>
    <col min="3" max="3" width="11.85546875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+PPC!A1</f>
        <v>KCP&amp;L Greater Missouri Operations Company - DSIM Rider Update Filed June 2019</v>
      </c>
      <c r="B1" s="61"/>
      <c r="C1" s="61"/>
      <c r="D1" s="61"/>
    </row>
    <row r="2" spans="1:7" x14ac:dyDescent="0.25">
      <c r="A2" s="9" t="str">
        <f>+PPC!A2</f>
        <v>Projections for Cycle 2 July - December 2019 DSIM</v>
      </c>
      <c r="B2" s="61"/>
      <c r="C2" s="61"/>
      <c r="D2" s="61"/>
    </row>
    <row r="3" spans="1:7" x14ac:dyDescent="0.25">
      <c r="A3" s="61"/>
      <c r="B3" s="252" t="s">
        <v>100</v>
      </c>
      <c r="C3" s="252"/>
      <c r="D3" s="252"/>
    </row>
    <row r="4" spans="1:7" ht="75" x14ac:dyDescent="0.25">
      <c r="A4" s="61"/>
      <c r="B4" s="86" t="s">
        <v>103</v>
      </c>
      <c r="C4" s="86" t="s">
        <v>104</v>
      </c>
      <c r="D4" s="63"/>
      <c r="E4" s="86" t="s">
        <v>105</v>
      </c>
      <c r="F4" s="86" t="s">
        <v>106</v>
      </c>
      <c r="G4" s="86" t="s">
        <v>87</v>
      </c>
    </row>
    <row r="5" spans="1:7" x14ac:dyDescent="0.25">
      <c r="A5" s="22" t="s">
        <v>102</v>
      </c>
      <c r="B5" s="86"/>
      <c r="C5" s="86"/>
      <c r="D5" s="198">
        <v>5461152.9000000004</v>
      </c>
    </row>
    <row r="6" spans="1:7" x14ac:dyDescent="0.25">
      <c r="A6" s="22"/>
      <c r="B6" s="86"/>
      <c r="C6" s="86"/>
      <c r="D6" s="199"/>
    </row>
    <row r="7" spans="1:7" x14ac:dyDescent="0.25">
      <c r="A7" s="22"/>
      <c r="B7" s="86"/>
      <c r="C7" s="86"/>
      <c r="D7" s="199"/>
    </row>
    <row r="8" spans="1:7" x14ac:dyDescent="0.25">
      <c r="A8" s="22" t="s">
        <v>29</v>
      </c>
      <c r="B8" s="93">
        <v>85567046</v>
      </c>
      <c r="C8" s="200">
        <f>+B8/$B$10</f>
        <v>0.39907902980160825</v>
      </c>
      <c r="D8" s="36">
        <f>ROUND($D$5*C8,2)</f>
        <v>2179431.6</v>
      </c>
      <c r="E8" s="178">
        <v>41263.03</v>
      </c>
      <c r="F8" s="24">
        <f>SUM(D8:E8)</f>
        <v>2220694.63</v>
      </c>
      <c r="G8" s="36">
        <f>ROUND(F8/4,2)*0</f>
        <v>0</v>
      </c>
    </row>
    <row r="9" spans="1:7" x14ac:dyDescent="0.25">
      <c r="A9" s="22" t="s">
        <v>30</v>
      </c>
      <c r="B9" s="93">
        <v>128844235</v>
      </c>
      <c r="C9" s="200">
        <f>+B9/$B$10</f>
        <v>0.60092097019839175</v>
      </c>
      <c r="D9" s="36">
        <f>ROUND($D$5*C9,2)</f>
        <v>3281721.3</v>
      </c>
      <c r="E9" s="178">
        <v>62132.61</v>
      </c>
      <c r="F9" s="24">
        <f>SUM(D9:E9)</f>
        <v>3343853.9099999997</v>
      </c>
      <c r="G9" s="36">
        <f>ROUND(F9/4,2)*0</f>
        <v>0</v>
      </c>
    </row>
    <row r="10" spans="1:7" ht="15.75" thickBot="1" x14ac:dyDescent="0.3">
      <c r="A10" s="22" t="s">
        <v>6</v>
      </c>
      <c r="B10" s="35">
        <f t="shared" ref="B10:G10" si="0">SUM(B8:B9)</f>
        <v>214411281</v>
      </c>
      <c r="C10" s="200">
        <f t="shared" si="0"/>
        <v>1</v>
      </c>
      <c r="D10" s="24">
        <f t="shared" si="0"/>
        <v>5461152.9000000004</v>
      </c>
      <c r="E10" s="203">
        <f t="shared" si="0"/>
        <v>103395.64</v>
      </c>
      <c r="F10" s="24">
        <f t="shared" si="0"/>
        <v>5564548.5399999991</v>
      </c>
      <c r="G10" s="24">
        <f t="shared" si="0"/>
        <v>0</v>
      </c>
    </row>
    <row r="11" spans="1:7" ht="16.5" thickTop="1" thickBot="1" x14ac:dyDescent="0.3">
      <c r="A11" s="61"/>
      <c r="B11" s="33" t="s">
        <v>12</v>
      </c>
      <c r="C11" s="33"/>
      <c r="D11" s="21">
        <f>ROUND(D5,2)-D10</f>
        <v>0</v>
      </c>
    </row>
    <row r="12" spans="1:7" ht="15.75" thickTop="1" x14ac:dyDescent="0.25">
      <c r="A12" s="61"/>
      <c r="B12" s="61"/>
      <c r="C12" s="61"/>
      <c r="D12" s="61"/>
    </row>
    <row r="13" spans="1:7" x14ac:dyDescent="0.25">
      <c r="A13" s="61"/>
      <c r="B13" s="61"/>
      <c r="C13" s="61"/>
      <c r="D13" s="61"/>
    </row>
    <row r="14" spans="1:7" x14ac:dyDescent="0.25">
      <c r="A14" s="61"/>
      <c r="B14" s="61"/>
      <c r="C14" s="61"/>
      <c r="D14" s="61"/>
    </row>
    <row r="15" spans="1:7" x14ac:dyDescent="0.25">
      <c r="A15" s="61"/>
      <c r="B15" s="61"/>
      <c r="C15" s="61"/>
      <c r="D15" s="61"/>
    </row>
    <row r="16" spans="1:7" x14ac:dyDescent="0.25">
      <c r="A16" s="61"/>
      <c r="B16" s="61"/>
      <c r="C16" s="61"/>
      <c r="D16" s="61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139</v>
      </c>
      <c r="B18" s="61"/>
      <c r="C18" s="61"/>
      <c r="D18" s="61"/>
    </row>
    <row r="19" spans="1:4" x14ac:dyDescent="0.25">
      <c r="A19" s="3" t="s">
        <v>140</v>
      </c>
      <c r="B19" s="61"/>
      <c r="C19" s="61"/>
      <c r="D19" s="61"/>
    </row>
    <row r="20" spans="1:4" x14ac:dyDescent="0.25">
      <c r="A20" s="3" t="s">
        <v>107</v>
      </c>
    </row>
    <row r="21" spans="1:4" x14ac:dyDescent="0.25">
      <c r="A21" s="3" t="s">
        <v>141</v>
      </c>
    </row>
    <row r="22" spans="1:4" x14ac:dyDescent="0.25">
      <c r="A22" s="3" t="s">
        <v>108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4"/>
  <sheetViews>
    <sheetView workbookViewId="0">
      <pane xSplit="2" ySplit="9" topLeftCell="M28" activePane="bottomRight" state="frozen"/>
      <selection pane="topRight" activeCell="C1" sqref="C1"/>
      <selection pane="bottomLeft" activeCell="A10" sqref="A10"/>
      <selection pane="bottomRight" activeCell="O1" sqref="O1:Q1048576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7.42578125" style="61" customWidth="1"/>
    <col min="16" max="16" width="15.5703125" style="61" customWidth="1"/>
    <col min="17" max="17" width="13" style="61" customWidth="1"/>
    <col min="18" max="18" width="9.140625" style="61"/>
    <col min="19" max="19" width="14.28515625" style="61" bestFit="1" customWidth="1"/>
    <col min="20" max="16384" width="9.140625" style="61"/>
  </cols>
  <sheetData>
    <row r="1" spans="1:32" x14ac:dyDescent="0.25">
      <c r="A1" s="3" t="str">
        <f>+PPC!A1</f>
        <v>KCP&amp;L Greater Missouri Operations Company - DSIM Rider Update Filed June 2019</v>
      </c>
      <c r="B1" s="3"/>
      <c r="C1" s="3"/>
    </row>
    <row r="2" spans="1:32" x14ac:dyDescent="0.25">
      <c r="D2" s="3" t="s">
        <v>109</v>
      </c>
    </row>
    <row r="3" spans="1:32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229"/>
      <c r="L3" s="229"/>
      <c r="M3" s="229"/>
      <c r="N3" s="230"/>
    </row>
    <row r="4" spans="1:32" x14ac:dyDescent="0.25">
      <c r="A4" s="61" t="s">
        <v>29</v>
      </c>
      <c r="D4" s="24">
        <f>SUM(C16:L16)</f>
        <v>265702.42053046834</v>
      </c>
      <c r="E4" s="24">
        <f>SUM(C12:K12)</f>
        <v>0</v>
      </c>
      <c r="F4" s="24">
        <f>E4-D4</f>
        <v>-265702.42053046834</v>
      </c>
      <c r="G4" s="24">
        <f>+B26</f>
        <v>250528.66643046832</v>
      </c>
      <c r="H4" s="24">
        <f>SUM(C31:K31)</f>
        <v>3060.52</v>
      </c>
      <c r="I4" s="36">
        <f>SUM(F4:H4)</f>
        <v>-12113.23410000002</v>
      </c>
      <c r="J4" s="62">
        <f>+I4-L26</f>
        <v>3.637978807091713E-11</v>
      </c>
      <c r="K4" s="231"/>
      <c r="L4" s="231"/>
      <c r="M4" s="231"/>
      <c r="N4" s="230"/>
    </row>
    <row r="5" spans="1:32" ht="15.75" thickBot="1" x14ac:dyDescent="0.3">
      <c r="A5" s="61" t="s">
        <v>30</v>
      </c>
      <c r="D5" s="24">
        <f>SUM(C17:L17)</f>
        <v>367868.22925999999</v>
      </c>
      <c r="E5" s="24">
        <f>SUM(C13:K13)</f>
        <v>0</v>
      </c>
      <c r="F5" s="24">
        <f>E5-D5</f>
        <v>-367868.22925999999</v>
      </c>
      <c r="G5" s="24">
        <f>+B27</f>
        <v>385013.86480000016</v>
      </c>
      <c r="H5" s="24">
        <f>SUM(C32:K32)</f>
        <v>5216.2800000000007</v>
      </c>
      <c r="I5" s="36">
        <f>SUM(F5:H5)</f>
        <v>22361.915540000162</v>
      </c>
      <c r="J5" s="62">
        <f>+I5-L27</f>
        <v>1.4915713109076023E-10</v>
      </c>
      <c r="K5" s="231"/>
      <c r="L5" s="231"/>
      <c r="M5" s="231"/>
      <c r="N5" s="230"/>
    </row>
    <row r="6" spans="1:32" ht="16.5" thickTop="1" thickBot="1" x14ac:dyDescent="0.3">
      <c r="D6" s="40">
        <f t="shared" ref="D6" si="0">SUM(D4:D5)</f>
        <v>633570.64979046839</v>
      </c>
      <c r="E6" s="40">
        <f>SUM(E4:E5)</f>
        <v>0</v>
      </c>
      <c r="F6" s="40">
        <f>SUM(F4:F5)</f>
        <v>-633570.64979046839</v>
      </c>
      <c r="G6" s="40">
        <f>SUM(G4:G5)</f>
        <v>635542.53123046854</v>
      </c>
      <c r="H6" s="94">
        <f>SUM(H4:H5)</f>
        <v>8276.8000000000011</v>
      </c>
      <c r="I6" s="40">
        <f>SUM(I4:I5)</f>
        <v>10248.681440000142</v>
      </c>
      <c r="K6" s="230"/>
      <c r="L6" s="230"/>
      <c r="M6" s="230"/>
      <c r="N6" s="230"/>
    </row>
    <row r="7" spans="1:32" ht="16.5" thickTop="1" thickBot="1" x14ac:dyDescent="0.3"/>
    <row r="8" spans="1:32" ht="90.75" thickBot="1" x14ac:dyDescent="0.3">
      <c r="B8" s="145" t="str">
        <f>+'PCR Cycle 1'!B8</f>
        <v>Cumulative Over/Under Carryover From 12/01/2018 Filing</v>
      </c>
      <c r="C8" s="219" t="str">
        <f>+'PCR Cycle 1'!C8</f>
        <v>Reverse November-18 - January-19  Forecast From 12/01/2018 Filing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2" x14ac:dyDescent="0.25">
      <c r="C9" s="14"/>
      <c r="D9" s="20">
        <f>+'PCR Cycle 1'!D9</f>
        <v>43434</v>
      </c>
      <c r="E9" s="20">
        <f t="shared" ref="E9:L9" si="1">EOMONTH(D9,1)</f>
        <v>43465</v>
      </c>
      <c r="F9" s="20">
        <f t="shared" si="1"/>
        <v>43496</v>
      </c>
      <c r="G9" s="14">
        <f t="shared" si="1"/>
        <v>43524</v>
      </c>
      <c r="H9" s="20">
        <f t="shared" si="1"/>
        <v>43555</v>
      </c>
      <c r="I9" s="20">
        <f t="shared" si="1"/>
        <v>43585</v>
      </c>
      <c r="J9" s="14">
        <f t="shared" si="1"/>
        <v>43616</v>
      </c>
      <c r="K9" s="20">
        <f t="shared" si="1"/>
        <v>43646</v>
      </c>
      <c r="L9" s="122">
        <f t="shared" si="1"/>
        <v>43677</v>
      </c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2" x14ac:dyDescent="0.25">
      <c r="A11" s="61" t="s">
        <v>112</v>
      </c>
      <c r="C11" s="126"/>
      <c r="D11" s="44"/>
      <c r="E11" s="44"/>
      <c r="F11" s="44"/>
      <c r="G11" s="41"/>
      <c r="H11" s="44"/>
      <c r="I11" s="18"/>
      <c r="J11" s="10"/>
      <c r="K11" s="17"/>
      <c r="L11" s="11"/>
    </row>
    <row r="12" spans="1:32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v>0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2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v>0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2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2" x14ac:dyDescent="0.25">
      <c r="A15" s="61" t="s">
        <v>114</v>
      </c>
      <c r="C15" s="126"/>
      <c r="D15" s="18"/>
      <c r="E15" s="18"/>
      <c r="F15" s="18"/>
      <c r="G15" s="118"/>
      <c r="H15" s="18"/>
      <c r="J15" s="182"/>
      <c r="K15" s="73"/>
      <c r="L15" s="74"/>
      <c r="M15" s="79" t="s">
        <v>66</v>
      </c>
      <c r="N15" s="52"/>
    </row>
    <row r="16" spans="1:32" x14ac:dyDescent="0.25">
      <c r="A16" s="61" t="s">
        <v>29</v>
      </c>
      <c r="C16" s="124">
        <v>-147230.67356953167</v>
      </c>
      <c r="D16" s="136">
        <f>ROUND('[3]November 2018 Combined'!F23,2)</f>
        <v>38207.949999999997</v>
      </c>
      <c r="E16" s="136">
        <f>ROUND('[3]December 2018 Combined'!F23,2)</f>
        <v>51731.12</v>
      </c>
      <c r="F16" s="137">
        <f>ROUND('[4]January 2019 Combined'!F23,2)</f>
        <v>53566.48</v>
      </c>
      <c r="G16" s="220">
        <f>ROUND('[4]February 2019 Combined'!F23,2)</f>
        <v>57741.46</v>
      </c>
      <c r="H16" s="178">
        <f>ROUND('[4]March 2019 Combined'!F23,2)</f>
        <v>53178.37</v>
      </c>
      <c r="I16" s="179">
        <f>ROUND('[4]April 2019 Combined'!F23,2)</f>
        <v>33104.550000000003</v>
      </c>
      <c r="J16" s="53">
        <f>+$M16*'PCR Cycle 1'!J21</f>
        <v>31089.039149999997</v>
      </c>
      <c r="K16" s="54">
        <f>+$M16*'PCR Cycle 1'!K21</f>
        <v>39994.980149999996</v>
      </c>
      <c r="L16" s="54">
        <f>+$M16*'PCR Cycle 1'!L21</f>
        <v>54319.144799999995</v>
      </c>
      <c r="M16" s="88">
        <v>1.4999999999999999E-4</v>
      </c>
    </row>
    <row r="17" spans="1:13" x14ac:dyDescent="0.25">
      <c r="A17" s="61" t="s">
        <v>30</v>
      </c>
      <c r="C17" s="124">
        <v>-208371.65520000001</v>
      </c>
      <c r="D17" s="136">
        <f>ROUND('[3]November 2018 Combined'!F24,2)</f>
        <v>68000.160000000003</v>
      </c>
      <c r="E17" s="136">
        <f>ROUND('[3]December 2018 Combined'!F24,2)</f>
        <v>67173.72</v>
      </c>
      <c r="F17" s="137">
        <f>ROUND('[4]January 2019 Combined'!F24,2)</f>
        <v>66515.03</v>
      </c>
      <c r="G17" s="220">
        <f>ROUND('[4]February 2019 Combined'!F24,2)</f>
        <v>63743.79</v>
      </c>
      <c r="H17" s="178">
        <f>ROUND('[4]March 2019 Combined'!F24,2)</f>
        <v>60240.07</v>
      </c>
      <c r="I17" s="179">
        <f>ROUND('[4]April 2019 Combined'!F24,2)</f>
        <v>54812.81</v>
      </c>
      <c r="J17" s="53">
        <f>+$M17*'PCR Cycle 1'!J22</f>
        <v>58449.369880000006</v>
      </c>
      <c r="K17" s="54">
        <f>+$M17*'PCR Cycle 1'!K22</f>
        <v>65460.483220000002</v>
      </c>
      <c r="L17" s="54">
        <f>+$M17*'PCR Cycle 1'!L22</f>
        <v>71844.451360000006</v>
      </c>
      <c r="M17" s="88">
        <v>2.2000000000000001E-4</v>
      </c>
    </row>
    <row r="18" spans="1:13" x14ac:dyDescent="0.25">
      <c r="C18" s="83"/>
      <c r="D18" s="18"/>
      <c r="E18" s="18"/>
      <c r="F18" s="18"/>
      <c r="G18" s="118"/>
      <c r="H18" s="18"/>
      <c r="J18" s="12"/>
      <c r="K18" s="71"/>
      <c r="L18" s="13"/>
      <c r="M18" s="4"/>
    </row>
    <row r="19" spans="1:13" ht="15.75" thickBot="1" x14ac:dyDescent="0.3">
      <c r="A19" s="61" t="s">
        <v>115</v>
      </c>
      <c r="C19" s="130">
        <v>-5184.6499999999996</v>
      </c>
      <c r="D19" s="139">
        <v>2773.5299999999997</v>
      </c>
      <c r="E19" s="139">
        <v>2540.67</v>
      </c>
      <c r="F19" s="140">
        <v>2212.1099999999997</v>
      </c>
      <c r="G19" s="39">
        <v>1833.56</v>
      </c>
      <c r="H19" s="149">
        <v>1470.77</v>
      </c>
      <c r="I19" s="208">
        <v>1158.48</v>
      </c>
      <c r="J19" s="184">
        <v>886.31</v>
      </c>
      <c r="K19" s="173">
        <v>586.03</v>
      </c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" si="2">C12-C16</f>
        <v>147230.67356953167</v>
      </c>
      <c r="D22" s="54">
        <f t="shared" ref="D22:L22" si="3">D12-D16</f>
        <v>-38207.949999999997</v>
      </c>
      <c r="E22" s="54">
        <f t="shared" si="3"/>
        <v>-51731.12</v>
      </c>
      <c r="F22" s="135">
        <f t="shared" si="3"/>
        <v>-53566.48</v>
      </c>
      <c r="G22" s="53">
        <f t="shared" si="3"/>
        <v>-57741.46</v>
      </c>
      <c r="H22" s="54">
        <f t="shared" si="3"/>
        <v>-53178.37</v>
      </c>
      <c r="I22" s="135">
        <f t="shared" si="3"/>
        <v>-33104.550000000003</v>
      </c>
      <c r="J22" s="53">
        <f t="shared" si="3"/>
        <v>-31089.039149999997</v>
      </c>
      <c r="K22" s="54">
        <f t="shared" si="3"/>
        <v>-39994.980149999996</v>
      </c>
      <c r="L22" s="64">
        <f t="shared" si="3"/>
        <v>-54319.144799999995</v>
      </c>
    </row>
    <row r="23" spans="1:13" x14ac:dyDescent="0.25">
      <c r="A23" s="61" t="s">
        <v>30</v>
      </c>
      <c r="C23" s="53">
        <f t="shared" ref="C23" si="4">C13-C17</f>
        <v>208371.65520000001</v>
      </c>
      <c r="D23" s="54">
        <f t="shared" ref="D23:L23" si="5">D13-D17</f>
        <v>-68000.160000000003</v>
      </c>
      <c r="E23" s="54">
        <f t="shared" si="5"/>
        <v>-67173.72</v>
      </c>
      <c r="F23" s="135">
        <f t="shared" si="5"/>
        <v>-66515.03</v>
      </c>
      <c r="G23" s="53">
        <f t="shared" si="5"/>
        <v>-63743.79</v>
      </c>
      <c r="H23" s="54">
        <f t="shared" si="5"/>
        <v>-60240.07</v>
      </c>
      <c r="I23" s="135">
        <f t="shared" si="5"/>
        <v>-54812.81</v>
      </c>
      <c r="J23" s="53">
        <f t="shared" si="5"/>
        <v>-58449.369880000006</v>
      </c>
      <c r="K23" s="54">
        <f t="shared" si="5"/>
        <v>-65460.483220000002</v>
      </c>
      <c r="L23" s="64">
        <f t="shared" si="5"/>
        <v>-71844.451360000006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250528.66643046832</v>
      </c>
      <c r="C26" s="54">
        <f>B26+C22+B31</f>
        <v>397759.33999999997</v>
      </c>
      <c r="D26" s="54">
        <f t="shared" ref="D26:L27" si="6">C26+D22+C31</f>
        <v>357448.17999999993</v>
      </c>
      <c r="E26" s="54">
        <f t="shared" si="6"/>
        <v>306836.60999999993</v>
      </c>
      <c r="F26" s="135">
        <f t="shared" si="6"/>
        <v>254297.11999999991</v>
      </c>
      <c r="G26" s="53">
        <f t="shared" si="6"/>
        <v>197436.21999999991</v>
      </c>
      <c r="H26" s="54">
        <f t="shared" si="6"/>
        <v>144964.07999999993</v>
      </c>
      <c r="I26" s="135">
        <f t="shared" si="6"/>
        <v>112394.16999999993</v>
      </c>
      <c r="J26" s="53">
        <f t="shared" si="6"/>
        <v>81705.900849999933</v>
      </c>
      <c r="K26" s="54">
        <f t="shared" si="6"/>
        <v>42013.180699999939</v>
      </c>
      <c r="L26" s="64">
        <f t="shared" si="6"/>
        <v>-12113.234100000056</v>
      </c>
    </row>
    <row r="27" spans="1:13" ht="15.75" thickBot="1" x14ac:dyDescent="0.3">
      <c r="A27" s="61" t="s">
        <v>30</v>
      </c>
      <c r="B27" s="144">
        <v>385013.86480000016</v>
      </c>
      <c r="C27" s="54">
        <f>B27+C23+B32</f>
        <v>593385.52000000014</v>
      </c>
      <c r="D27" s="54">
        <f t="shared" si="6"/>
        <v>522303.9200000001</v>
      </c>
      <c r="E27" s="54">
        <f t="shared" si="6"/>
        <v>456784.18000000005</v>
      </c>
      <c r="F27" s="135">
        <f t="shared" si="6"/>
        <v>391782.83</v>
      </c>
      <c r="G27" s="53">
        <f t="shared" si="6"/>
        <v>329370.59000000003</v>
      </c>
      <c r="H27" s="54">
        <f t="shared" si="6"/>
        <v>270257.85000000003</v>
      </c>
      <c r="I27" s="135">
        <f t="shared" si="6"/>
        <v>216381.16000000003</v>
      </c>
      <c r="J27" s="53">
        <f t="shared" si="6"/>
        <v>158689.50012000001</v>
      </c>
      <c r="K27" s="54">
        <f t="shared" si="6"/>
        <v>93813.06690000002</v>
      </c>
      <c r="L27" s="64">
        <f t="shared" si="6"/>
        <v>22361.915540000013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116</v>
      </c>
      <c r="B29" s="52"/>
      <c r="C29" s="131"/>
      <c r="D29" s="103">
        <f>+'PCR Cycle 1'!D38</f>
        <v>2.9731599999999999E-3</v>
      </c>
      <c r="E29" s="103">
        <f>+'PCR Cycle 1'!E38</f>
        <v>3.0868100000000002E-3</v>
      </c>
      <c r="F29" s="103">
        <f>+'PCR Cycle 1'!F38</f>
        <v>3.13277E-3</v>
      </c>
      <c r="G29" s="105">
        <f>+'PCR Cycle 1'!G38</f>
        <v>3.1206900000000002E-3</v>
      </c>
      <c r="H29" s="103">
        <f>+'PCR Cycle 1'!H38</f>
        <v>3.11648E-3</v>
      </c>
      <c r="I29" s="104">
        <f>+'PCR Cycle 1'!I38</f>
        <v>3.1080600000000002E-3</v>
      </c>
      <c r="J29" s="105">
        <f>+I29</f>
        <v>3.1080600000000002E-3</v>
      </c>
      <c r="K29" s="103">
        <f>+J29</f>
        <v>3.1080600000000002E-3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-2103.21</v>
      </c>
      <c r="D31" s="54">
        <f>ROUND((C26+C31+D22/2)*D$29,2)</f>
        <v>1119.55</v>
      </c>
      <c r="E31" s="54">
        <f t="shared" ref="E31:K32" si="7">ROUND((D26+D31+E22/2)*E$29,2)</f>
        <v>1026.99</v>
      </c>
      <c r="F31" s="135">
        <f t="shared" si="7"/>
        <v>880.56</v>
      </c>
      <c r="G31" s="53">
        <f t="shared" si="7"/>
        <v>706.23</v>
      </c>
      <c r="H31" s="150">
        <f t="shared" si="7"/>
        <v>534.64</v>
      </c>
      <c r="I31" s="209">
        <f t="shared" si="7"/>
        <v>400.77</v>
      </c>
      <c r="J31" s="53">
        <f t="shared" si="7"/>
        <v>302.26</v>
      </c>
      <c r="K31" s="150">
        <f t="shared" si="7"/>
        <v>192.73</v>
      </c>
      <c r="L31" s="64"/>
    </row>
    <row r="32" spans="1:13" ht="15.75" thickBot="1" x14ac:dyDescent="0.3">
      <c r="A32" s="61" t="s">
        <v>30</v>
      </c>
      <c r="C32" s="141">
        <v>-3081.44</v>
      </c>
      <c r="D32" s="54">
        <f>ROUND((C27+C32+D23/2)*D$29,2)</f>
        <v>1653.98</v>
      </c>
      <c r="E32" s="54">
        <f t="shared" si="7"/>
        <v>1513.68</v>
      </c>
      <c r="F32" s="135">
        <f t="shared" si="7"/>
        <v>1331.55</v>
      </c>
      <c r="G32" s="53">
        <f t="shared" si="7"/>
        <v>1127.33</v>
      </c>
      <c r="H32" s="150">
        <f t="shared" si="7"/>
        <v>936.12</v>
      </c>
      <c r="I32" s="209">
        <f t="shared" si="7"/>
        <v>757.71</v>
      </c>
      <c r="J32" s="53">
        <f t="shared" si="7"/>
        <v>584.04999999999995</v>
      </c>
      <c r="K32" s="150">
        <f t="shared" si="7"/>
        <v>393.3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8">SUM(D31:D32)+SUM(D26:D27)-D36</f>
        <v>0</v>
      </c>
      <c r="E33" s="45">
        <f t="shared" si="8"/>
        <v>0</v>
      </c>
      <c r="F33" s="65">
        <f t="shared" ref="F33:H33" si="9">SUM(F31:F32)+SUM(F26:F27)-F36</f>
        <v>0</v>
      </c>
      <c r="G33" s="151">
        <f t="shared" si="9"/>
        <v>0</v>
      </c>
      <c r="H33" s="45">
        <f t="shared" si="9"/>
        <v>0</v>
      </c>
      <c r="I33" s="65">
        <f t="shared" si="8"/>
        <v>0</v>
      </c>
      <c r="J33" s="66">
        <f t="shared" ref="J33:L33" si="10">SUM(J31:J32)+SUM(J26:J27)-J36</f>
        <v>0</v>
      </c>
      <c r="K33" s="45">
        <f t="shared" si="10"/>
        <v>0</v>
      </c>
      <c r="L33" s="123">
        <f t="shared" si="10"/>
        <v>-1.3096723705530167E-10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0</v>
      </c>
      <c r="E34" s="45">
        <f t="shared" ref="E34:I34" si="11">SUM(E31:E32)-E19</f>
        <v>0</v>
      </c>
      <c r="F34" s="65">
        <f t="shared" ref="F34:H34" si="12">SUM(F31:F32)-F19</f>
        <v>0</v>
      </c>
      <c r="G34" s="66">
        <f t="shared" si="12"/>
        <v>0</v>
      </c>
      <c r="H34" s="45">
        <f t="shared" si="12"/>
        <v>-9.9999999999909051E-3</v>
      </c>
      <c r="I34" s="65">
        <f t="shared" si="11"/>
        <v>0</v>
      </c>
      <c r="J34" s="66">
        <f t="shared" ref="J34:L34" si="13">SUM(J31:J32)-J19</f>
        <v>0</v>
      </c>
      <c r="K34" s="45">
        <f t="shared" si="13"/>
        <v>0</v>
      </c>
      <c r="L34" s="123">
        <f t="shared" si="13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635542.53123046854</v>
      </c>
      <c r="C36" s="53">
        <f>(SUM(C12:C13)-SUM(C16:C17))+SUM(C31:C32)+B36</f>
        <v>985960.2100000002</v>
      </c>
      <c r="D36" s="54">
        <f t="shared" ref="D36:L36" si="14">(SUM(D12:D13)-SUM(D16:D17))+SUM(D31:D32)+C36</f>
        <v>882525.63000000024</v>
      </c>
      <c r="E36" s="54">
        <f t="shared" si="14"/>
        <v>766161.4600000002</v>
      </c>
      <c r="F36" s="135">
        <f t="shared" si="14"/>
        <v>648292.06000000017</v>
      </c>
      <c r="G36" s="53">
        <f t="shared" si="14"/>
        <v>528640.37000000011</v>
      </c>
      <c r="H36" s="54">
        <f t="shared" si="14"/>
        <v>416692.69000000012</v>
      </c>
      <c r="I36" s="135">
        <f t="shared" si="14"/>
        <v>329933.81000000011</v>
      </c>
      <c r="J36" s="53">
        <f t="shared" si="14"/>
        <v>241281.7109700001</v>
      </c>
      <c r="K36" s="54">
        <f t="shared" si="14"/>
        <v>136412.27760000009</v>
      </c>
      <c r="L36" s="77">
        <f t="shared" si="14"/>
        <v>10248.681440000088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ht="30.75" customHeight="1" x14ac:dyDescent="0.25">
      <c r="A41" s="259" t="s">
        <v>113</v>
      </c>
      <c r="B41" s="259"/>
      <c r="C41" s="259"/>
      <c r="D41" s="259"/>
      <c r="E41" s="259"/>
      <c r="F41" s="259"/>
      <c r="G41" s="259"/>
      <c r="H41" s="259"/>
      <c r="I41" s="259"/>
      <c r="J41" s="206"/>
      <c r="K41" s="206"/>
      <c r="L41" s="206"/>
    </row>
    <row r="42" spans="1:12" ht="30.75" customHeight="1" x14ac:dyDescent="0.25">
      <c r="A42" s="259" t="s">
        <v>131</v>
      </c>
      <c r="B42" s="259"/>
      <c r="C42" s="259"/>
      <c r="D42" s="259"/>
      <c r="E42" s="259"/>
      <c r="F42" s="259"/>
      <c r="G42" s="259"/>
      <c r="H42" s="259"/>
      <c r="I42" s="259"/>
      <c r="J42" s="206"/>
      <c r="K42" s="206"/>
      <c r="L42" s="206"/>
    </row>
    <row r="43" spans="1:12" x14ac:dyDescent="0.25">
      <c r="A43" s="3" t="s">
        <v>117</v>
      </c>
      <c r="B43" s="3"/>
      <c r="C43" s="3"/>
      <c r="I43" s="4"/>
    </row>
    <row r="44" spans="1:12" x14ac:dyDescent="0.25">
      <c r="A44" s="3" t="s">
        <v>127</v>
      </c>
      <c r="B44" s="3"/>
      <c r="C44" s="3"/>
      <c r="I44" s="4"/>
    </row>
    <row r="45" spans="1:12" x14ac:dyDescent="0.25">
      <c r="A45" s="3" t="s">
        <v>118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A42:I42"/>
    <mergeCell ref="A41:I41"/>
    <mergeCell ref="G8:I8"/>
    <mergeCell ref="J8:L8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B3B3C2A568948A3B61DE5471DEA1E" ma:contentTypeVersion="0" ma:contentTypeDescription="Create a new document." ma:contentTypeScope="" ma:versionID="e21325dc62556425e3e549579d3cac03">
  <xsd:schema xmlns:xsd="http://www.w3.org/2001/XMLSchema" xmlns:p="http://schemas.microsoft.com/office/2006/metadata/properties" xmlns:ns2="37C40F9E-044B-4F26-A90E-5C1316E52537" targetNamespace="http://schemas.microsoft.com/office/2006/metadata/properties" ma:root="true" ma:fieldsID="4b5ea1123175a8313d90db415902c5cf" ns2:_="">
    <xsd:import namespace="37C40F9E-044B-4F26-A90E-5C1316E52537"/>
    <xsd:element name="properties">
      <xsd:complexType>
        <xsd:sequence>
          <xsd:element name="documentManagement">
            <xsd:complexType>
              <xsd:all>
                <xsd:element ref="ns2:Comment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C40F9E-044B-4F26-A90E-5C1316E52537" elementFormDefault="qualified">
    <xsd:import namespace="http://schemas.microsoft.com/office/2006/documentManagement/types"/>
    <xsd:element name="Comments0" ma:index="8" nillable="true" ma:displayName="Comments" ma:description="Comments" ma:internalName="Comments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0 xmlns="37C40F9E-044B-4F26-A90E-5C1316E525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C2647-B5FC-4364-86FA-9C4ECAED7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40F9E-044B-4F26-A90E-5C1316E5253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purl.org/dc/dcmitype/"/>
    <ds:schemaRef ds:uri="http://schemas.openxmlformats.org/package/2006/metadata/core-properties"/>
    <ds:schemaRef ds:uri="37C40F9E-044B-4F26-A90E-5C1316E52537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Shelley Jordan</cp:lastModifiedBy>
  <cp:lastPrinted>2019-05-23T21:54:14Z</cp:lastPrinted>
  <dcterms:created xsi:type="dcterms:W3CDTF">2013-08-12T19:20:10Z</dcterms:created>
  <dcterms:modified xsi:type="dcterms:W3CDTF">2019-06-21T18:41:07Z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0x0101009C8B3B3C2A568948A3B61DE5471DEA1E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2018-11-19T15:35:58.2008381Z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