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8765" windowHeight="8340"/>
  </bookViews>
  <sheets>
    <sheet name="PPC" sheetId="4" r:id="rId1"/>
    <sheet name="PCR" sheetId="1" r:id="rId2"/>
    <sheet name="PCR (M1)" sheetId="14" r:id="rId3"/>
    <sheet name="PTD" sheetId="12" r:id="rId4"/>
    <sheet name="TDR" sheetId="11" r:id="rId5"/>
    <sheet name="TDR (M1)" sheetId="15" r:id="rId6"/>
    <sheet name="PI (M1)" sheetId="16" r:id="rId7"/>
    <sheet name="PIR (M1)" sheetId="18" r:id="rId8"/>
    <sheet name="EO" sheetId="8" r:id="rId9"/>
    <sheet name="EOR" sheetId="9" r:id="rId10"/>
    <sheet name="OA" sheetId="10" r:id="rId11"/>
    <sheet name="tariff tables" sheetId="5" r:id="rId12"/>
    <sheet name="tariff tables (M1)" sheetId="17" r:id="rId13"/>
    <sheet name="sheet 91.11" sheetId="13" r:id="rId14"/>
  </sheets>
  <externalReferences>
    <externalReference r:id="rId15"/>
  </externalReferences>
  <calcPr calcId="145621" iterate="1" concurrentCalc="0"/>
</workbook>
</file>

<file path=xl/calcChain.xml><?xml version="1.0" encoding="utf-8"?>
<calcChain xmlns="http://schemas.openxmlformats.org/spreadsheetml/2006/main">
  <c r="E17" i="17" l="1"/>
  <c r="E18" i="17"/>
  <c r="E19" i="17"/>
  <c r="E20" i="17"/>
  <c r="E16" i="17"/>
  <c r="AV39" i="14"/>
  <c r="AW39" i="14"/>
  <c r="AX39" i="14"/>
  <c r="B4" i="14"/>
  <c r="E4" i="14"/>
  <c r="AV48" i="14"/>
  <c r="AV55" i="14"/>
  <c r="AV62" i="14"/>
  <c r="AW48" i="14"/>
  <c r="AW55" i="14"/>
  <c r="AW62" i="14"/>
  <c r="AX48" i="14"/>
  <c r="AX55" i="14"/>
  <c r="AX62" i="14"/>
  <c r="F4" i="14"/>
  <c r="G4" i="14"/>
  <c r="C26" i="5"/>
  <c r="AV22" i="15"/>
  <c r="AW22" i="15"/>
  <c r="AX22" i="15"/>
  <c r="B4" i="15"/>
  <c r="E4" i="15"/>
  <c r="AV50" i="15"/>
  <c r="AV57" i="15"/>
  <c r="AV64" i="15"/>
  <c r="AW50" i="15"/>
  <c r="AW57" i="15"/>
  <c r="AW64" i="15"/>
  <c r="AX50" i="15"/>
  <c r="AX57" i="15"/>
  <c r="AX64" i="15"/>
  <c r="F4" i="15"/>
  <c r="G4" i="15"/>
  <c r="D26" i="5"/>
  <c r="F26" i="5"/>
  <c r="C16" i="5"/>
  <c r="C4" i="5"/>
  <c r="D4" i="5"/>
  <c r="I16" i="5"/>
  <c r="C17" i="5"/>
  <c r="C5" i="5"/>
  <c r="I17" i="5"/>
  <c r="C18" i="5"/>
  <c r="C6" i="5"/>
  <c r="I18" i="5"/>
  <c r="C19" i="5"/>
  <c r="C7" i="5"/>
  <c r="I19" i="5"/>
  <c r="C20" i="5"/>
  <c r="C8" i="5"/>
  <c r="I20" i="5"/>
  <c r="I22" i="5"/>
  <c r="I21" i="17"/>
  <c r="K67" i="1"/>
  <c r="K68" i="1"/>
  <c r="N62" i="1"/>
  <c r="N68" i="1"/>
  <c r="E6" i="16"/>
  <c r="AV18" i="15"/>
  <c r="AU44" i="15"/>
  <c r="AU43" i="15"/>
  <c r="AU42" i="15"/>
  <c r="AU41" i="15"/>
  <c r="AU40" i="15"/>
  <c r="AM40" i="15"/>
  <c r="AN40" i="15"/>
  <c r="AO40" i="15"/>
  <c r="AP40" i="15"/>
  <c r="AQ40" i="15"/>
  <c r="AR40" i="15"/>
  <c r="AS40" i="15"/>
  <c r="AT40" i="15"/>
  <c r="AM41" i="15"/>
  <c r="AN41" i="15"/>
  <c r="AO41" i="15"/>
  <c r="AP41" i="15"/>
  <c r="AQ41" i="15"/>
  <c r="AR41" i="15"/>
  <c r="AS41" i="15"/>
  <c r="AT41" i="15"/>
  <c r="AM42" i="15"/>
  <c r="AN42" i="15"/>
  <c r="AO42" i="15"/>
  <c r="AP42" i="15"/>
  <c r="AQ42" i="15"/>
  <c r="AR42" i="15"/>
  <c r="AS42" i="15"/>
  <c r="AT42" i="15"/>
  <c r="AM43" i="15"/>
  <c r="AN43" i="15"/>
  <c r="AO43" i="15"/>
  <c r="AP43" i="15"/>
  <c r="AQ43" i="15"/>
  <c r="AR43" i="15"/>
  <c r="AS43" i="15"/>
  <c r="AT43" i="15"/>
  <c r="AM44" i="15"/>
  <c r="AN44" i="15"/>
  <c r="AO44" i="15"/>
  <c r="AP44" i="15"/>
  <c r="AQ44" i="15"/>
  <c r="AR44" i="15"/>
  <c r="AS44" i="15"/>
  <c r="AT44" i="15"/>
  <c r="AL41" i="15"/>
  <c r="AL40" i="15"/>
  <c r="AL44" i="15"/>
  <c r="AL43" i="15"/>
  <c r="AL42" i="15"/>
  <c r="AX36" i="14"/>
  <c r="AW36" i="14"/>
  <c r="AV36" i="14"/>
  <c r="AX35" i="14"/>
  <c r="AW35" i="14"/>
  <c r="AV35" i="14"/>
  <c r="AX34" i="14"/>
  <c r="AW34" i="14"/>
  <c r="AV34" i="14"/>
  <c r="AX33" i="14"/>
  <c r="AW33" i="14"/>
  <c r="AV33" i="14"/>
  <c r="AX32" i="14"/>
  <c r="AW32" i="14"/>
  <c r="AV32" i="14"/>
  <c r="AK40" i="15"/>
  <c r="L49" i="11"/>
  <c r="F26" i="17"/>
  <c r="L26" i="11"/>
  <c r="L39" i="1"/>
  <c r="D25" i="1"/>
  <c r="AV23" i="15"/>
  <c r="M61" i="1"/>
  <c r="L61" i="1"/>
  <c r="K61" i="1"/>
  <c r="AL36" i="15"/>
  <c r="AV26" i="14"/>
  <c r="AV25" i="14"/>
  <c r="AU61" i="14"/>
  <c r="AV61" i="14"/>
  <c r="B11" i="16"/>
  <c r="F14" i="16"/>
  <c r="F15" i="16"/>
  <c r="F16" i="16"/>
  <c r="F13" i="16"/>
  <c r="B40" i="15"/>
  <c r="AY29" i="15"/>
  <c r="AM36" i="15"/>
  <c r="AW44" i="15"/>
  <c r="AX44" i="15"/>
  <c r="AW43" i="15"/>
  <c r="AX43" i="15"/>
  <c r="AW42" i="15"/>
  <c r="AX42" i="15"/>
  <c r="AW41" i="15"/>
  <c r="AX41" i="15"/>
  <c r="AW40" i="15"/>
  <c r="AX40" i="15"/>
  <c r="N61" i="1"/>
  <c r="M30" i="11"/>
  <c r="N30" i="11"/>
  <c r="L30" i="11"/>
  <c r="M29" i="11"/>
  <c r="N29" i="11"/>
  <c r="L29" i="11"/>
  <c r="M28" i="11"/>
  <c r="N28" i="11"/>
  <c r="L28" i="11"/>
  <c r="M27" i="11"/>
  <c r="N27" i="11"/>
  <c r="L27" i="11"/>
  <c r="M26" i="11"/>
  <c r="N26" i="11"/>
  <c r="G5" i="4"/>
  <c r="K25" i="1"/>
  <c r="L25" i="1"/>
  <c r="L48" i="1"/>
  <c r="H5" i="16"/>
  <c r="E9" i="17"/>
  <c r="F31" i="17"/>
  <c r="F21" i="17"/>
  <c r="F20" i="17"/>
  <c r="F19" i="17"/>
  <c r="F18" i="17"/>
  <c r="F17" i="17"/>
  <c r="F16" i="17"/>
  <c r="D9" i="17"/>
  <c r="C9" i="17"/>
  <c r="G8" i="17"/>
  <c r="K8" i="17"/>
  <c r="O8" i="17"/>
  <c r="D8" i="17"/>
  <c r="C8" i="17"/>
  <c r="G7" i="17"/>
  <c r="D7" i="17"/>
  <c r="C7" i="17"/>
  <c r="G6" i="17"/>
  <c r="K6" i="17"/>
  <c r="O6" i="17"/>
  <c r="D6" i="17"/>
  <c r="C6" i="17"/>
  <c r="G5" i="17"/>
  <c r="D5" i="17"/>
  <c r="C5" i="17"/>
  <c r="D4" i="17"/>
  <c r="C4" i="17"/>
  <c r="J8" i="17"/>
  <c r="N8" i="17"/>
  <c r="Q8" i="17"/>
  <c r="J6" i="17"/>
  <c r="N6" i="17"/>
  <c r="Q6" i="17"/>
  <c r="J5" i="17"/>
  <c r="J7" i="17"/>
  <c r="K5" i="17"/>
  <c r="O5" i="17"/>
  <c r="K7" i="17"/>
  <c r="O7" i="17"/>
  <c r="N5" i="17"/>
  <c r="Q5" i="17"/>
  <c r="N7" i="17"/>
  <c r="Q7" i="17"/>
  <c r="AE25" i="14"/>
  <c r="AE48" i="14"/>
  <c r="H4" i="4"/>
  <c r="AJ26" i="14"/>
  <c r="B15" i="4"/>
  <c r="G4" i="17"/>
  <c r="K4" i="17"/>
  <c r="O4" i="17"/>
  <c r="J4" i="17"/>
  <c r="N4" i="17"/>
  <c r="Q4" i="17"/>
  <c r="F17" i="16"/>
  <c r="G6" i="16"/>
  <c r="G19" i="16"/>
  <c r="G24" i="16"/>
  <c r="E19" i="16"/>
  <c r="F6" i="16"/>
  <c r="F19" i="16"/>
  <c r="F21" i="16"/>
  <c r="F24" i="16"/>
  <c r="F23" i="16"/>
  <c r="F22" i="16"/>
  <c r="G23" i="16"/>
  <c r="G21" i="16"/>
  <c r="G20" i="16"/>
  <c r="G22" i="16"/>
  <c r="E20" i="16"/>
  <c r="AI25" i="14"/>
  <c r="B13" i="16"/>
  <c r="B14" i="16"/>
  <c r="B12" i="16"/>
  <c r="B15" i="16"/>
  <c r="AY38" i="15"/>
  <c r="AY37" i="15"/>
  <c r="AY36" i="15"/>
  <c r="AZ36" i="15"/>
  <c r="B31" i="15"/>
  <c r="AY31" i="15"/>
  <c r="AY30" i="15"/>
  <c r="AX26" i="15"/>
  <c r="AW26" i="15"/>
  <c r="AV26" i="15"/>
  <c r="AX25" i="15"/>
  <c r="AW25" i="15"/>
  <c r="AV25" i="15"/>
  <c r="AX24" i="15"/>
  <c r="AW24" i="15"/>
  <c r="AV24" i="15"/>
  <c r="AX23" i="15"/>
  <c r="AW23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AI18" i="15"/>
  <c r="C18" i="15"/>
  <c r="C6" i="15"/>
  <c r="C5" i="15"/>
  <c r="C4" i="15"/>
  <c r="AU63" i="15"/>
  <c r="AT61" i="14"/>
  <c r="AT63" i="15"/>
  <c r="AS61" i="14"/>
  <c r="AS63" i="15"/>
  <c r="AR61" i="14"/>
  <c r="AR63" i="15"/>
  <c r="AQ61" i="14"/>
  <c r="AQ63" i="15"/>
  <c r="AP61" i="14"/>
  <c r="AP63" i="15"/>
  <c r="AO61" i="14"/>
  <c r="AO63" i="15"/>
  <c r="AN61" i="14"/>
  <c r="AN63" i="15"/>
  <c r="AM61" i="14"/>
  <c r="AM63" i="15"/>
  <c r="AL61" i="14"/>
  <c r="AL63" i="15"/>
  <c r="AK61" i="14"/>
  <c r="AK63" i="15"/>
  <c r="AJ61" i="14"/>
  <c r="AJ63" i="15"/>
  <c r="AI61" i="14"/>
  <c r="AI63" i="15"/>
  <c r="AH61" i="14"/>
  <c r="AH63" i="15"/>
  <c r="AG61" i="14"/>
  <c r="AG63" i="15"/>
  <c r="AF61" i="14"/>
  <c r="AF63" i="15"/>
  <c r="AE61" i="14"/>
  <c r="AE63" i="15"/>
  <c r="AD61" i="14"/>
  <c r="AD63" i="15"/>
  <c r="AC61" i="14"/>
  <c r="AC63" i="15"/>
  <c r="AB61" i="14"/>
  <c r="AB63" i="15"/>
  <c r="AA61" i="14"/>
  <c r="AA63" i="15"/>
  <c r="Z61" i="14"/>
  <c r="Z63" i="15"/>
  <c r="Y61" i="14"/>
  <c r="Y63" i="15"/>
  <c r="X61" i="14"/>
  <c r="X63" i="15"/>
  <c r="W61" i="14"/>
  <c r="W63" i="15"/>
  <c r="V61" i="14"/>
  <c r="V63" i="15"/>
  <c r="U61" i="14"/>
  <c r="U63" i="15"/>
  <c r="T61" i="14"/>
  <c r="T63" i="15"/>
  <c r="S61" i="14"/>
  <c r="S63" i="15"/>
  <c r="R61" i="14"/>
  <c r="R63" i="15"/>
  <c r="Q61" i="14"/>
  <c r="Q63" i="15"/>
  <c r="P61" i="14"/>
  <c r="P63" i="15"/>
  <c r="O61" i="14"/>
  <c r="O63" i="15"/>
  <c r="N61" i="14"/>
  <c r="M61" i="14"/>
  <c r="L61" i="14"/>
  <c r="K61" i="14"/>
  <c r="J61" i="14"/>
  <c r="I61" i="14"/>
  <c r="H61" i="14"/>
  <c r="G61" i="14"/>
  <c r="F61" i="14"/>
  <c r="E61" i="14"/>
  <c r="D61" i="14"/>
  <c r="C61" i="14"/>
  <c r="B61" i="14"/>
  <c r="AX43" i="14"/>
  <c r="AW43" i="14"/>
  <c r="AV43" i="14"/>
  <c r="A43" i="14"/>
  <c r="AX42" i="14"/>
  <c r="AW42" i="14"/>
  <c r="AV42" i="14"/>
  <c r="B7" i="14"/>
  <c r="A42" i="14"/>
  <c r="AX41" i="14"/>
  <c r="AW41" i="14"/>
  <c r="AV41" i="14"/>
  <c r="A41" i="14"/>
  <c r="AX40" i="14"/>
  <c r="AW40" i="14"/>
  <c r="AV40" i="14"/>
  <c r="B5" i="14"/>
  <c r="A40" i="14"/>
  <c r="A39" i="14"/>
  <c r="AX29" i="14"/>
  <c r="AW29" i="14"/>
  <c r="AV29" i="14"/>
  <c r="AU29" i="14"/>
  <c r="AU52" i="14"/>
  <c r="AT29" i="14"/>
  <c r="AT52" i="14"/>
  <c r="AS29" i="14"/>
  <c r="AS52" i="14"/>
  <c r="AR29" i="14"/>
  <c r="AR52" i="14"/>
  <c r="AQ29" i="14"/>
  <c r="AQ52" i="14"/>
  <c r="AP29" i="14"/>
  <c r="AP52" i="14"/>
  <c r="AO29" i="14"/>
  <c r="AO52" i="14"/>
  <c r="AN29" i="14"/>
  <c r="AN52" i="14"/>
  <c r="AM29" i="14"/>
  <c r="AM52" i="14"/>
  <c r="AL29" i="14"/>
  <c r="AL52" i="14"/>
  <c r="AK29" i="14"/>
  <c r="AK52" i="14"/>
  <c r="AJ29" i="14"/>
  <c r="AJ52" i="14"/>
  <c r="AI29" i="14"/>
  <c r="AI52" i="14"/>
  <c r="AH29" i="14"/>
  <c r="AH52" i="14"/>
  <c r="AG29" i="14"/>
  <c r="AG52" i="14"/>
  <c r="AF29" i="14"/>
  <c r="AF52" i="14"/>
  <c r="AE29" i="14"/>
  <c r="AE52" i="14"/>
  <c r="AD29" i="14"/>
  <c r="AD52" i="14"/>
  <c r="AC29" i="14"/>
  <c r="AC52" i="14"/>
  <c r="AB29" i="14"/>
  <c r="AB52" i="14"/>
  <c r="AA29" i="14"/>
  <c r="AA52" i="14"/>
  <c r="Z29" i="14"/>
  <c r="Z52" i="14"/>
  <c r="Y29" i="14"/>
  <c r="Y52" i="14"/>
  <c r="X29" i="14"/>
  <c r="X52" i="14"/>
  <c r="W29" i="14"/>
  <c r="W52" i="14"/>
  <c r="V29" i="14"/>
  <c r="V52" i="14"/>
  <c r="U29" i="14"/>
  <c r="U52" i="14"/>
  <c r="T29" i="14"/>
  <c r="T52" i="14"/>
  <c r="S29" i="14"/>
  <c r="S52" i="14"/>
  <c r="R29" i="14"/>
  <c r="R52" i="14"/>
  <c r="Q29" i="14"/>
  <c r="Q52" i="14"/>
  <c r="P29" i="14"/>
  <c r="P52" i="14"/>
  <c r="O29" i="14"/>
  <c r="O52" i="14"/>
  <c r="N29" i="14"/>
  <c r="N52" i="14"/>
  <c r="M29" i="14"/>
  <c r="M52" i="14"/>
  <c r="L29" i="14"/>
  <c r="L52" i="14"/>
  <c r="K29" i="14"/>
  <c r="K52" i="14"/>
  <c r="J29" i="14"/>
  <c r="J52" i="14"/>
  <c r="I29" i="14"/>
  <c r="I52" i="14"/>
  <c r="H29" i="14"/>
  <c r="H52" i="14"/>
  <c r="G29" i="14"/>
  <c r="G52" i="14"/>
  <c r="F29" i="14"/>
  <c r="F52" i="14"/>
  <c r="E29" i="14"/>
  <c r="E52" i="14"/>
  <c r="D29" i="14"/>
  <c r="D52" i="14"/>
  <c r="C29" i="14"/>
  <c r="C52" i="14"/>
  <c r="B29" i="14"/>
  <c r="B52" i="14"/>
  <c r="B59" i="14"/>
  <c r="AX28" i="14"/>
  <c r="AW28" i="14"/>
  <c r="AV28" i="14"/>
  <c r="AU28" i="14"/>
  <c r="AU51" i="14"/>
  <c r="AT28" i="14"/>
  <c r="AT51" i="14"/>
  <c r="AS28" i="14"/>
  <c r="AS51" i="14"/>
  <c r="AR28" i="14"/>
  <c r="AR51" i="14"/>
  <c r="AQ28" i="14"/>
  <c r="AQ51" i="14"/>
  <c r="AP28" i="14"/>
  <c r="AP51" i="14"/>
  <c r="AO28" i="14"/>
  <c r="AO51" i="14"/>
  <c r="AN28" i="14"/>
  <c r="AN51" i="14"/>
  <c r="AM28" i="14"/>
  <c r="AM51" i="14"/>
  <c r="AL28" i="14"/>
  <c r="AL51" i="14"/>
  <c r="AK28" i="14"/>
  <c r="AK51" i="14"/>
  <c r="AJ28" i="14"/>
  <c r="AJ51" i="14"/>
  <c r="AI28" i="14"/>
  <c r="AI51" i="14"/>
  <c r="AH28" i="14"/>
  <c r="AH51" i="14"/>
  <c r="AG28" i="14"/>
  <c r="AG51" i="14"/>
  <c r="AF28" i="14"/>
  <c r="AF51" i="14"/>
  <c r="AE28" i="14"/>
  <c r="AE51" i="14"/>
  <c r="AD28" i="14"/>
  <c r="AD51" i="14"/>
  <c r="AC28" i="14"/>
  <c r="AC51" i="14"/>
  <c r="AB28" i="14"/>
  <c r="AB51" i="14"/>
  <c r="AA28" i="14"/>
  <c r="AA51" i="14"/>
  <c r="Z28" i="14"/>
  <c r="Z51" i="14"/>
  <c r="Y28" i="14"/>
  <c r="Y51" i="14"/>
  <c r="X28" i="14"/>
  <c r="X51" i="14"/>
  <c r="W28" i="14"/>
  <c r="W51" i="14"/>
  <c r="V28" i="14"/>
  <c r="V51" i="14"/>
  <c r="U28" i="14"/>
  <c r="U51" i="14"/>
  <c r="T28" i="14"/>
  <c r="T51" i="14"/>
  <c r="S28" i="14"/>
  <c r="S51" i="14"/>
  <c r="R28" i="14"/>
  <c r="R51" i="14"/>
  <c r="Q28" i="14"/>
  <c r="Q51" i="14"/>
  <c r="P28" i="14"/>
  <c r="P51" i="14"/>
  <c r="O28" i="14"/>
  <c r="O51" i="14"/>
  <c r="N28" i="14"/>
  <c r="N51" i="14"/>
  <c r="M28" i="14"/>
  <c r="M51" i="14"/>
  <c r="L28" i="14"/>
  <c r="L51" i="14"/>
  <c r="K28" i="14"/>
  <c r="K51" i="14"/>
  <c r="J28" i="14"/>
  <c r="J51" i="14"/>
  <c r="I28" i="14"/>
  <c r="I51" i="14"/>
  <c r="H28" i="14"/>
  <c r="H51" i="14"/>
  <c r="G28" i="14"/>
  <c r="G51" i="14"/>
  <c r="F28" i="14"/>
  <c r="F51" i="14"/>
  <c r="E28" i="14"/>
  <c r="E51" i="14"/>
  <c r="D28" i="14"/>
  <c r="D51" i="14"/>
  <c r="C28" i="14"/>
  <c r="C51" i="14"/>
  <c r="B28" i="14"/>
  <c r="B51" i="14"/>
  <c r="B58" i="14"/>
  <c r="AX27" i="14"/>
  <c r="AW27" i="14"/>
  <c r="AV27" i="14"/>
  <c r="AU27" i="14"/>
  <c r="AU50" i="14"/>
  <c r="AT27" i="14"/>
  <c r="AT50" i="14"/>
  <c r="AS27" i="14"/>
  <c r="AS50" i="14"/>
  <c r="AR27" i="14"/>
  <c r="AR50" i="14"/>
  <c r="AQ27" i="14"/>
  <c r="AQ50" i="14"/>
  <c r="AP27" i="14"/>
  <c r="AP50" i="14"/>
  <c r="AO27" i="14"/>
  <c r="AO50" i="14"/>
  <c r="AN27" i="14"/>
  <c r="AN50" i="14"/>
  <c r="AM27" i="14"/>
  <c r="AM50" i="14"/>
  <c r="AL27" i="14"/>
  <c r="AL50" i="14"/>
  <c r="AK27" i="14"/>
  <c r="AK50" i="14"/>
  <c r="AJ27" i="14"/>
  <c r="AJ50" i="14"/>
  <c r="AI27" i="14"/>
  <c r="AI50" i="14"/>
  <c r="AH27" i="14"/>
  <c r="AH50" i="14"/>
  <c r="AG27" i="14"/>
  <c r="AG50" i="14"/>
  <c r="AF27" i="14"/>
  <c r="AF50" i="14"/>
  <c r="AE27" i="14"/>
  <c r="AE50" i="14"/>
  <c r="AD27" i="14"/>
  <c r="AD50" i="14"/>
  <c r="AC27" i="14"/>
  <c r="AC50" i="14"/>
  <c r="AB27" i="14"/>
  <c r="AB50" i="14"/>
  <c r="AA27" i="14"/>
  <c r="AA50" i="14"/>
  <c r="Z27" i="14"/>
  <c r="Z50" i="14"/>
  <c r="Y27" i="14"/>
  <c r="Y50" i="14"/>
  <c r="X27" i="14"/>
  <c r="X50" i="14"/>
  <c r="W27" i="14"/>
  <c r="W50" i="14"/>
  <c r="V27" i="14"/>
  <c r="V50" i="14"/>
  <c r="U27" i="14"/>
  <c r="U50" i="14"/>
  <c r="T27" i="14"/>
  <c r="T50" i="14"/>
  <c r="S27" i="14"/>
  <c r="S50" i="14"/>
  <c r="R27" i="14"/>
  <c r="R50" i="14"/>
  <c r="Q27" i="14"/>
  <c r="Q50" i="14"/>
  <c r="P27" i="14"/>
  <c r="P50" i="14"/>
  <c r="O27" i="14"/>
  <c r="O50" i="14"/>
  <c r="N27" i="14"/>
  <c r="N50" i="14"/>
  <c r="M27" i="14"/>
  <c r="M50" i="14"/>
  <c r="L27" i="14"/>
  <c r="L50" i="14"/>
  <c r="K27" i="14"/>
  <c r="K50" i="14"/>
  <c r="J27" i="14"/>
  <c r="J50" i="14"/>
  <c r="I27" i="14"/>
  <c r="I50" i="14"/>
  <c r="H27" i="14"/>
  <c r="H50" i="14"/>
  <c r="G27" i="14"/>
  <c r="G50" i="14"/>
  <c r="F27" i="14"/>
  <c r="F50" i="14"/>
  <c r="E27" i="14"/>
  <c r="E50" i="14"/>
  <c r="D27" i="14"/>
  <c r="D50" i="14"/>
  <c r="C27" i="14"/>
  <c r="C50" i="14"/>
  <c r="B27" i="14"/>
  <c r="B50" i="14"/>
  <c r="B57" i="14"/>
  <c r="AX26" i="14"/>
  <c r="AX49" i="14"/>
  <c r="AW26" i="14"/>
  <c r="AW49" i="14"/>
  <c r="AU26" i="14"/>
  <c r="AU49" i="14"/>
  <c r="AT26" i="14"/>
  <c r="AT49" i="14"/>
  <c r="AS26" i="14"/>
  <c r="AS49" i="14"/>
  <c r="AR26" i="14"/>
  <c r="AR49" i="14"/>
  <c r="AQ26" i="14"/>
  <c r="AQ49" i="14"/>
  <c r="AP26" i="14"/>
  <c r="AP49" i="14"/>
  <c r="AO26" i="14"/>
  <c r="AO49" i="14"/>
  <c r="AN26" i="14"/>
  <c r="AN49" i="14"/>
  <c r="AM26" i="14"/>
  <c r="AM49" i="14"/>
  <c r="AL26" i="14"/>
  <c r="AL49" i="14"/>
  <c r="AK26" i="14"/>
  <c r="AK49" i="14"/>
  <c r="AJ49" i="14"/>
  <c r="AI26" i="14"/>
  <c r="AI49" i="14"/>
  <c r="AH26" i="14"/>
  <c r="AH49" i="14"/>
  <c r="AG26" i="14"/>
  <c r="AG49" i="14"/>
  <c r="AF26" i="14"/>
  <c r="AF49" i="14"/>
  <c r="AE26" i="14"/>
  <c r="AE49" i="14"/>
  <c r="AD26" i="14"/>
  <c r="AD49" i="14"/>
  <c r="AC26" i="14"/>
  <c r="AC49" i="14"/>
  <c r="AB26" i="14"/>
  <c r="AB49" i="14"/>
  <c r="AA26" i="14"/>
  <c r="AA49" i="14"/>
  <c r="Z26" i="14"/>
  <c r="Z49" i="14"/>
  <c r="Y26" i="14"/>
  <c r="Y49" i="14"/>
  <c r="X26" i="14"/>
  <c r="X49" i="14"/>
  <c r="W26" i="14"/>
  <c r="W49" i="14"/>
  <c r="V26" i="14"/>
  <c r="V49" i="14"/>
  <c r="U26" i="14"/>
  <c r="U49" i="14"/>
  <c r="T26" i="14"/>
  <c r="T49" i="14"/>
  <c r="S26" i="14"/>
  <c r="S49" i="14"/>
  <c r="R26" i="14"/>
  <c r="R49" i="14"/>
  <c r="Q26" i="14"/>
  <c r="Q49" i="14"/>
  <c r="P26" i="14"/>
  <c r="P49" i="14"/>
  <c r="O26" i="14"/>
  <c r="O49" i="14"/>
  <c r="N26" i="14"/>
  <c r="N49" i="14"/>
  <c r="M26" i="14"/>
  <c r="M49" i="14"/>
  <c r="L26" i="14"/>
  <c r="L49" i="14"/>
  <c r="K26" i="14"/>
  <c r="K49" i="14"/>
  <c r="J26" i="14"/>
  <c r="J49" i="14"/>
  <c r="I26" i="14"/>
  <c r="I49" i="14"/>
  <c r="H26" i="14"/>
  <c r="H49" i="14"/>
  <c r="G26" i="14"/>
  <c r="G49" i="14"/>
  <c r="F26" i="14"/>
  <c r="F49" i="14"/>
  <c r="E26" i="14"/>
  <c r="E49" i="14"/>
  <c r="D26" i="14"/>
  <c r="D49" i="14"/>
  <c r="C26" i="14"/>
  <c r="C49" i="14"/>
  <c r="B26" i="14"/>
  <c r="B49" i="14"/>
  <c r="B56" i="14"/>
  <c r="AX25" i="14"/>
  <c r="AW25" i="14"/>
  <c r="AU25" i="14"/>
  <c r="AU48" i="14"/>
  <c r="AT25" i="14"/>
  <c r="AT48" i="14"/>
  <c r="AS25" i="14"/>
  <c r="AS48" i="14"/>
  <c r="AR25" i="14"/>
  <c r="AR48" i="14"/>
  <c r="AQ25" i="14"/>
  <c r="AQ48" i="14"/>
  <c r="AP25" i="14"/>
  <c r="AP48" i="14"/>
  <c r="AO25" i="14"/>
  <c r="AO48" i="14"/>
  <c r="AN25" i="14"/>
  <c r="AN48" i="14"/>
  <c r="AM25" i="14"/>
  <c r="AM48" i="14"/>
  <c r="AL25" i="14"/>
  <c r="AL48" i="14"/>
  <c r="AK25" i="14"/>
  <c r="AK48" i="14"/>
  <c r="AJ25" i="14"/>
  <c r="AJ48" i="14"/>
  <c r="AI48" i="14"/>
  <c r="AH25" i="14"/>
  <c r="AH48" i="14"/>
  <c r="AG25" i="14"/>
  <c r="AG48" i="14"/>
  <c r="AF25" i="14"/>
  <c r="AF48" i="14"/>
  <c r="AD25" i="14"/>
  <c r="AD48" i="14"/>
  <c r="AC25" i="14"/>
  <c r="AC48" i="14"/>
  <c r="AB25" i="14"/>
  <c r="AB48" i="14"/>
  <c r="AA25" i="14"/>
  <c r="AA48" i="14"/>
  <c r="Z25" i="14"/>
  <c r="Z48" i="14"/>
  <c r="Y25" i="14"/>
  <c r="Y48" i="14"/>
  <c r="X25" i="14"/>
  <c r="X48" i="14"/>
  <c r="W25" i="14"/>
  <c r="W48" i="14"/>
  <c r="V25" i="14"/>
  <c r="V48" i="14"/>
  <c r="U25" i="14"/>
  <c r="U48" i="14"/>
  <c r="T25" i="14"/>
  <c r="T48" i="14"/>
  <c r="S25" i="14"/>
  <c r="S48" i="14"/>
  <c r="R25" i="14"/>
  <c r="R48" i="14"/>
  <c r="Q25" i="14"/>
  <c r="Q48" i="14"/>
  <c r="P25" i="14"/>
  <c r="P48" i="14"/>
  <c r="O25" i="14"/>
  <c r="O48" i="14"/>
  <c r="N25" i="14"/>
  <c r="N48" i="14"/>
  <c r="M25" i="14"/>
  <c r="M48" i="14"/>
  <c r="L25" i="14"/>
  <c r="L48" i="14"/>
  <c r="K25" i="14"/>
  <c r="K48" i="14"/>
  <c r="J25" i="14"/>
  <c r="J48" i="14"/>
  <c r="I25" i="14"/>
  <c r="I48" i="14"/>
  <c r="H25" i="14"/>
  <c r="H48" i="14"/>
  <c r="G25" i="14"/>
  <c r="G48" i="14"/>
  <c r="F25" i="14"/>
  <c r="F48" i="14"/>
  <c r="E25" i="14"/>
  <c r="E48" i="14"/>
  <c r="D25" i="14"/>
  <c r="D48" i="14"/>
  <c r="C25" i="14"/>
  <c r="C48" i="14"/>
  <c r="B25" i="14"/>
  <c r="B48" i="14"/>
  <c r="B55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C8" i="14"/>
  <c r="C7" i="14"/>
  <c r="C6" i="14"/>
  <c r="C5" i="14"/>
  <c r="C4" i="14"/>
  <c r="B5" i="15"/>
  <c r="AV50" i="14"/>
  <c r="AX52" i="14"/>
  <c r="B7" i="15"/>
  <c r="E6" i="17"/>
  <c r="L6" i="17"/>
  <c r="F28" i="17"/>
  <c r="F29" i="17"/>
  <c r="L7" i="17"/>
  <c r="E7" i="17"/>
  <c r="E8" i="17"/>
  <c r="L8" i="17"/>
  <c r="F30" i="17"/>
  <c r="L4" i="17"/>
  <c r="E4" i="17"/>
  <c r="I16" i="17"/>
  <c r="L5" i="17"/>
  <c r="E5" i="17"/>
  <c r="F27" i="17"/>
  <c r="D7" i="14"/>
  <c r="E7" i="14"/>
  <c r="D6" i="14"/>
  <c r="D8" i="14"/>
  <c r="B16" i="16"/>
  <c r="B17" i="16"/>
  <c r="B6" i="14"/>
  <c r="D5" i="14"/>
  <c r="E5" i="14"/>
  <c r="D4" i="14"/>
  <c r="AW51" i="14"/>
  <c r="AX51" i="14"/>
  <c r="AW52" i="14"/>
  <c r="AX50" i="14"/>
  <c r="B6" i="15"/>
  <c r="B8" i="14"/>
  <c r="AV52" i="14"/>
  <c r="B8" i="15"/>
  <c r="AV51" i="14"/>
  <c r="AV49" i="14"/>
  <c r="AW36" i="15"/>
  <c r="P36" i="15"/>
  <c r="AS36" i="15"/>
  <c r="AD36" i="15"/>
  <c r="X36" i="15"/>
  <c r="I36" i="15"/>
  <c r="B36" i="15"/>
  <c r="AX36" i="15"/>
  <c r="AP36" i="15"/>
  <c r="AJ36" i="15"/>
  <c r="AC36" i="15"/>
  <c r="U36" i="15"/>
  <c r="N36" i="15"/>
  <c r="H36" i="15"/>
  <c r="AV36" i="15"/>
  <c r="AO36" i="15"/>
  <c r="AH36" i="15"/>
  <c r="Z36" i="15"/>
  <c r="T36" i="15"/>
  <c r="M36" i="15"/>
  <c r="E36" i="15"/>
  <c r="AT36" i="15"/>
  <c r="AN36" i="15"/>
  <c r="AF36" i="15"/>
  <c r="Y36" i="15"/>
  <c r="R36" i="15"/>
  <c r="J36" i="15"/>
  <c r="D36" i="15"/>
  <c r="AK36" i="15"/>
  <c r="AZ38" i="15"/>
  <c r="AW38" i="15"/>
  <c r="AZ37" i="15"/>
  <c r="C9" i="14"/>
  <c r="AW50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B62" i="14"/>
  <c r="C55" i="14"/>
  <c r="B63" i="14"/>
  <c r="B64" i="14"/>
  <c r="B65" i="14"/>
  <c r="C58" i="14"/>
  <c r="B66" i="14"/>
  <c r="C59" i="14"/>
  <c r="AV63" i="15"/>
  <c r="AW61" i="14"/>
  <c r="AJ18" i="15"/>
  <c r="AK18" i="15"/>
  <c r="AL18" i="15"/>
  <c r="AM18" i="15"/>
  <c r="AN18" i="15"/>
  <c r="AO18" i="15"/>
  <c r="AP18" i="15"/>
  <c r="AQ18" i="15"/>
  <c r="AR18" i="15"/>
  <c r="AS18" i="15"/>
  <c r="AT18" i="15"/>
  <c r="AU18" i="15"/>
  <c r="AW18" i="15"/>
  <c r="AX18" i="15"/>
  <c r="AO38" i="15"/>
  <c r="AK38" i="15"/>
  <c r="Y38" i="15"/>
  <c r="U38" i="15"/>
  <c r="I38" i="15"/>
  <c r="E38" i="15"/>
  <c r="AI38" i="15"/>
  <c r="AD38" i="15"/>
  <c r="N38" i="15"/>
  <c r="H38" i="15"/>
  <c r="AR38" i="15"/>
  <c r="AM38" i="15"/>
  <c r="W38" i="15"/>
  <c r="R38" i="15"/>
  <c r="B38" i="15"/>
  <c r="AV38" i="15"/>
  <c r="AF38" i="15"/>
  <c r="AA38" i="15"/>
  <c r="K38" i="15"/>
  <c r="F38" i="15"/>
  <c r="AJ38" i="15"/>
  <c r="AE38" i="15"/>
  <c r="O38" i="15"/>
  <c r="J38" i="15"/>
  <c r="B32" i="15"/>
  <c r="F36" i="15"/>
  <c r="L36" i="15"/>
  <c r="Q36" i="15"/>
  <c r="V36" i="15"/>
  <c r="AB36" i="15"/>
  <c r="AG36" i="15"/>
  <c r="AR36" i="15"/>
  <c r="G37" i="15"/>
  <c r="AC37" i="15"/>
  <c r="AV37" i="15"/>
  <c r="AF37" i="15"/>
  <c r="P37" i="15"/>
  <c r="AU36" i="15"/>
  <c r="AQ36" i="15"/>
  <c r="AI36" i="15"/>
  <c r="AE36" i="15"/>
  <c r="AA36" i="15"/>
  <c r="W36" i="15"/>
  <c r="S36" i="15"/>
  <c r="O36" i="15"/>
  <c r="K36" i="15"/>
  <c r="G36" i="15"/>
  <c r="C36" i="15"/>
  <c r="F37" i="15"/>
  <c r="AA37" i="15"/>
  <c r="AW37" i="15"/>
  <c r="J39" i="11"/>
  <c r="G36" i="11"/>
  <c r="AV44" i="15"/>
  <c r="AV40" i="15"/>
  <c r="AV43" i="15"/>
  <c r="AV41" i="15"/>
  <c r="AV51" i="15"/>
  <c r="AV42" i="15"/>
  <c r="B9" i="14"/>
  <c r="E6" i="14"/>
  <c r="P5" i="17"/>
  <c r="F6" i="13"/>
  <c r="P7" i="17"/>
  <c r="F8" i="13"/>
  <c r="H6" i="17"/>
  <c r="M6" i="17"/>
  <c r="I18" i="17"/>
  <c r="H4" i="17"/>
  <c r="M4" i="17"/>
  <c r="P8" i="17"/>
  <c r="F9" i="13"/>
  <c r="P4" i="17"/>
  <c r="F5" i="13"/>
  <c r="F26" i="13"/>
  <c r="H8" i="17"/>
  <c r="M8" i="17"/>
  <c r="I20" i="17"/>
  <c r="H5" i="17"/>
  <c r="M5" i="17"/>
  <c r="I17" i="17"/>
  <c r="I19" i="17"/>
  <c r="H7" i="17"/>
  <c r="M7" i="17"/>
  <c r="P6" i="17"/>
  <c r="F7" i="13"/>
  <c r="E8" i="14"/>
  <c r="D9" i="14"/>
  <c r="B9" i="15"/>
  <c r="AX37" i="15"/>
  <c r="AX52" i="15"/>
  <c r="AP37" i="15"/>
  <c r="AO37" i="15"/>
  <c r="AD37" i="15"/>
  <c r="S37" i="15"/>
  <c r="I37" i="15"/>
  <c r="I41" i="15"/>
  <c r="I51" i="15"/>
  <c r="AU37" i="15"/>
  <c r="AK37" i="15"/>
  <c r="Z37" i="15"/>
  <c r="O37" i="15"/>
  <c r="O41" i="15"/>
  <c r="O51" i="15"/>
  <c r="E37" i="15"/>
  <c r="AT37" i="15"/>
  <c r="AI37" i="15"/>
  <c r="Y37" i="15"/>
  <c r="Y44" i="15"/>
  <c r="Y54" i="15"/>
  <c r="N37" i="15"/>
  <c r="C37" i="15"/>
  <c r="AE37" i="15"/>
  <c r="AE41" i="15"/>
  <c r="AE51" i="15"/>
  <c r="U37" i="15"/>
  <c r="J37" i="15"/>
  <c r="AQ37" i="15"/>
  <c r="V37" i="15"/>
  <c r="D37" i="15"/>
  <c r="AJ37" i="15"/>
  <c r="AS37" i="15"/>
  <c r="W37" i="15"/>
  <c r="W41" i="15"/>
  <c r="W51" i="15"/>
  <c r="B37" i="15"/>
  <c r="AL37" i="15"/>
  <c r="Q37" i="15"/>
  <c r="H37" i="15"/>
  <c r="X37" i="15"/>
  <c r="AN37" i="15"/>
  <c r="AM37" i="15"/>
  <c r="R37" i="15"/>
  <c r="R44" i="15"/>
  <c r="R54" i="15"/>
  <c r="T38" i="15"/>
  <c r="AP38" i="15"/>
  <c r="P38" i="15"/>
  <c r="AL38" i="15"/>
  <c r="G38" i="15"/>
  <c r="G43" i="15"/>
  <c r="G53" i="15"/>
  <c r="AB38" i="15"/>
  <c r="AX38" i="15"/>
  <c r="S38" i="15"/>
  <c r="AN38" i="15"/>
  <c r="M38" i="15"/>
  <c r="M42" i="15"/>
  <c r="M52" i="15"/>
  <c r="AC38" i="15"/>
  <c r="AS38" i="15"/>
  <c r="AG37" i="15"/>
  <c r="AG43" i="15"/>
  <c r="AG53" i="15"/>
  <c r="K37" i="15"/>
  <c r="K43" i="15"/>
  <c r="K53" i="15"/>
  <c r="L37" i="15"/>
  <c r="AB37" i="15"/>
  <c r="AR37" i="15"/>
  <c r="AH37" i="15"/>
  <c r="M37" i="15"/>
  <c r="D38" i="15"/>
  <c r="D43" i="15"/>
  <c r="D53" i="15"/>
  <c r="Z38" i="15"/>
  <c r="Z43" i="15"/>
  <c r="Z53" i="15"/>
  <c r="AU38" i="15"/>
  <c r="V38" i="15"/>
  <c r="AQ38" i="15"/>
  <c r="L38" i="15"/>
  <c r="L42" i="15"/>
  <c r="L52" i="15"/>
  <c r="AH38" i="15"/>
  <c r="AH42" i="15"/>
  <c r="AH52" i="15"/>
  <c r="C38" i="15"/>
  <c r="X38" i="15"/>
  <c r="X44" i="15"/>
  <c r="X54" i="15"/>
  <c r="AT38" i="15"/>
  <c r="Q38" i="15"/>
  <c r="Q42" i="15"/>
  <c r="Q52" i="15"/>
  <c r="AG38" i="15"/>
  <c r="T37" i="15"/>
  <c r="B42" i="15"/>
  <c r="O43" i="15"/>
  <c r="O53" i="15"/>
  <c r="O40" i="15"/>
  <c r="O44" i="15"/>
  <c r="O54" i="15"/>
  <c r="O42" i="15"/>
  <c r="O52" i="15"/>
  <c r="K44" i="15"/>
  <c r="K54" i="15"/>
  <c r="K40" i="15"/>
  <c r="K42" i="15"/>
  <c r="K52" i="15"/>
  <c r="W43" i="15"/>
  <c r="W53" i="15"/>
  <c r="W42" i="15"/>
  <c r="W52" i="15"/>
  <c r="W44" i="15"/>
  <c r="W54" i="15"/>
  <c r="W40" i="15"/>
  <c r="N43" i="15"/>
  <c r="N53" i="15"/>
  <c r="N44" i="15"/>
  <c r="N54" i="15"/>
  <c r="N40" i="15"/>
  <c r="N42" i="15"/>
  <c r="N52" i="15"/>
  <c r="N41" i="15"/>
  <c r="N51" i="15"/>
  <c r="I44" i="15"/>
  <c r="I54" i="15"/>
  <c r="I42" i="15"/>
  <c r="I52" i="15"/>
  <c r="I43" i="15"/>
  <c r="I53" i="15"/>
  <c r="I40" i="15"/>
  <c r="Y41" i="15"/>
  <c r="Y51" i="15"/>
  <c r="Y42" i="15"/>
  <c r="Y52" i="15"/>
  <c r="Y43" i="15"/>
  <c r="Y53" i="15"/>
  <c r="Y40" i="15"/>
  <c r="AW63" i="15"/>
  <c r="AX61" i="14"/>
  <c r="AX63" i="15"/>
  <c r="B43" i="15"/>
  <c r="B33" i="15"/>
  <c r="C7" i="15"/>
  <c r="AY32" i="15"/>
  <c r="G42" i="15"/>
  <c r="G52" i="15"/>
  <c r="G44" i="15"/>
  <c r="G54" i="15"/>
  <c r="G41" i="15"/>
  <c r="G51" i="15"/>
  <c r="AX53" i="15"/>
  <c r="AX54" i="15"/>
  <c r="AX51" i="15"/>
  <c r="M44" i="15"/>
  <c r="M54" i="15"/>
  <c r="M41" i="15"/>
  <c r="M51" i="15"/>
  <c r="M40" i="15"/>
  <c r="M43" i="15"/>
  <c r="M53" i="15"/>
  <c r="D42" i="15"/>
  <c r="D52" i="15"/>
  <c r="D41" i="15"/>
  <c r="D51" i="15"/>
  <c r="D40" i="15"/>
  <c r="D44" i="15"/>
  <c r="D54" i="15"/>
  <c r="Z44" i="15"/>
  <c r="Z54" i="15"/>
  <c r="Z40" i="15"/>
  <c r="Z41" i="15"/>
  <c r="Z51" i="15"/>
  <c r="V43" i="15"/>
  <c r="V53" i="15"/>
  <c r="V44" i="15"/>
  <c r="V54" i="15"/>
  <c r="V40" i="15"/>
  <c r="V42" i="15"/>
  <c r="V52" i="15"/>
  <c r="V41" i="15"/>
  <c r="V51" i="15"/>
  <c r="L43" i="15"/>
  <c r="L53" i="15"/>
  <c r="L41" i="15"/>
  <c r="L51" i="15"/>
  <c r="L44" i="15"/>
  <c r="L54" i="15"/>
  <c r="AH43" i="15"/>
  <c r="AH53" i="15"/>
  <c r="AH44" i="15"/>
  <c r="AH54" i="15"/>
  <c r="AH40" i="15"/>
  <c r="AH41" i="15"/>
  <c r="AH51" i="15"/>
  <c r="C43" i="15"/>
  <c r="C53" i="15"/>
  <c r="C44" i="15"/>
  <c r="C54" i="15"/>
  <c r="C42" i="15"/>
  <c r="C52" i="15"/>
  <c r="C41" i="15"/>
  <c r="C51" i="15"/>
  <c r="C40" i="15"/>
  <c r="X42" i="15"/>
  <c r="X52" i="15"/>
  <c r="X41" i="15"/>
  <c r="X51" i="15"/>
  <c r="X43" i="15"/>
  <c r="X53" i="15"/>
  <c r="X40" i="15"/>
  <c r="Q44" i="15"/>
  <c r="Q54" i="15"/>
  <c r="Q41" i="15"/>
  <c r="Q51" i="15"/>
  <c r="Q43" i="15"/>
  <c r="Q53" i="15"/>
  <c r="Q40" i="15"/>
  <c r="AG44" i="15"/>
  <c r="AG54" i="15"/>
  <c r="AG41" i="15"/>
  <c r="AG51" i="15"/>
  <c r="AG42" i="15"/>
  <c r="AG52" i="15"/>
  <c r="AG40" i="15"/>
  <c r="AW54" i="15"/>
  <c r="AW51" i="15"/>
  <c r="AW53" i="15"/>
  <c r="AW52" i="15"/>
  <c r="C66" i="14"/>
  <c r="D59" i="14"/>
  <c r="C62" i="14"/>
  <c r="D55" i="14"/>
  <c r="J43" i="15"/>
  <c r="J53" i="15"/>
  <c r="J44" i="15"/>
  <c r="J54" i="15"/>
  <c r="J40" i="15"/>
  <c r="J41" i="15"/>
  <c r="J51" i="15"/>
  <c r="J42" i="15"/>
  <c r="J52" i="15"/>
  <c r="AE43" i="15"/>
  <c r="AE53" i="15"/>
  <c r="AE40" i="15"/>
  <c r="AE44" i="15"/>
  <c r="AE54" i="15"/>
  <c r="AE42" i="15"/>
  <c r="AE52" i="15"/>
  <c r="F43" i="15"/>
  <c r="F53" i="15"/>
  <c r="F44" i="15"/>
  <c r="F54" i="15"/>
  <c r="F40" i="15"/>
  <c r="F42" i="15"/>
  <c r="F52" i="15"/>
  <c r="F41" i="15"/>
  <c r="F51" i="15"/>
  <c r="AA43" i="15"/>
  <c r="AA53" i="15"/>
  <c r="AA44" i="15"/>
  <c r="AA54" i="15"/>
  <c r="AA40" i="15"/>
  <c r="AA42" i="15"/>
  <c r="AA52" i="15"/>
  <c r="AA41" i="15"/>
  <c r="AA51" i="15"/>
  <c r="AV52" i="15"/>
  <c r="AV54" i="15"/>
  <c r="AV53" i="15"/>
  <c r="R43" i="15"/>
  <c r="R53" i="15"/>
  <c r="R40" i="15"/>
  <c r="R42" i="15"/>
  <c r="R52" i="15"/>
  <c r="R41" i="15"/>
  <c r="R51" i="15"/>
  <c r="H42" i="15"/>
  <c r="H52" i="15"/>
  <c r="H44" i="15"/>
  <c r="H54" i="15"/>
  <c r="H41" i="15"/>
  <c r="H51" i="15"/>
  <c r="H43" i="15"/>
  <c r="H53" i="15"/>
  <c r="H40" i="15"/>
  <c r="AD43" i="15"/>
  <c r="AD53" i="15"/>
  <c r="AD44" i="15"/>
  <c r="AD54" i="15"/>
  <c r="AD40" i="15"/>
  <c r="AD42" i="15"/>
  <c r="AD52" i="15"/>
  <c r="AD41" i="15"/>
  <c r="AD51" i="15"/>
  <c r="E44" i="15"/>
  <c r="E54" i="15"/>
  <c r="E41" i="15"/>
  <c r="E51" i="15"/>
  <c r="E40" i="15"/>
  <c r="E43" i="15"/>
  <c r="E53" i="15"/>
  <c r="E42" i="15"/>
  <c r="E52" i="15"/>
  <c r="U44" i="15"/>
  <c r="U54" i="15"/>
  <c r="U41" i="15"/>
  <c r="U51" i="15"/>
  <c r="U40" i="15"/>
  <c r="U43" i="15"/>
  <c r="U53" i="15"/>
  <c r="U42" i="15"/>
  <c r="U52" i="15"/>
  <c r="AK44" i="15"/>
  <c r="AK54" i="15"/>
  <c r="AK41" i="15"/>
  <c r="AK51" i="15"/>
  <c r="AK42" i="15"/>
  <c r="AK52" i="15"/>
  <c r="AK43" i="15"/>
  <c r="AK53" i="15"/>
  <c r="C56" i="14"/>
  <c r="B70" i="14"/>
  <c r="B68" i="14"/>
  <c r="B41" i="15"/>
  <c r="AJ42" i="15"/>
  <c r="AJ52" i="15"/>
  <c r="AJ43" i="15"/>
  <c r="AJ53" i="15"/>
  <c r="AJ41" i="15"/>
  <c r="AJ51" i="15"/>
  <c r="AJ40" i="15"/>
  <c r="AJ44" i="15"/>
  <c r="AJ54" i="15"/>
  <c r="AF42" i="15"/>
  <c r="AF52" i="15"/>
  <c r="AF40" i="15"/>
  <c r="AF44" i="15"/>
  <c r="AF54" i="15"/>
  <c r="AF43" i="15"/>
  <c r="AF53" i="15"/>
  <c r="AF41" i="15"/>
  <c r="AF51" i="15"/>
  <c r="AI42" i="15"/>
  <c r="AI52" i="15"/>
  <c r="AI43" i="15"/>
  <c r="AI53" i="15"/>
  <c r="AI44" i="15"/>
  <c r="AI54" i="15"/>
  <c r="AI41" i="15"/>
  <c r="AI51" i="15"/>
  <c r="AI40" i="15"/>
  <c r="T42" i="15"/>
  <c r="T52" i="15"/>
  <c r="T43" i="15"/>
  <c r="T53" i="15"/>
  <c r="T41" i="15"/>
  <c r="T51" i="15"/>
  <c r="T40" i="15"/>
  <c r="T44" i="15"/>
  <c r="T54" i="15"/>
  <c r="P42" i="15"/>
  <c r="P52" i="15"/>
  <c r="P40" i="15"/>
  <c r="P44" i="15"/>
  <c r="P54" i="15"/>
  <c r="P43" i="15"/>
  <c r="P53" i="15"/>
  <c r="P41" i="15"/>
  <c r="P51" i="15"/>
  <c r="AB42" i="15"/>
  <c r="AB52" i="15"/>
  <c r="AB43" i="15"/>
  <c r="AB53" i="15"/>
  <c r="AB41" i="15"/>
  <c r="AB51" i="15"/>
  <c r="AB44" i="15"/>
  <c r="AB54" i="15"/>
  <c r="AB40" i="15"/>
  <c r="S43" i="15"/>
  <c r="S53" i="15"/>
  <c r="S44" i="15"/>
  <c r="S54" i="15"/>
  <c r="S42" i="15"/>
  <c r="S52" i="15"/>
  <c r="S41" i="15"/>
  <c r="S51" i="15"/>
  <c r="S40" i="15"/>
  <c r="AC44" i="15"/>
  <c r="AC54" i="15"/>
  <c r="AC41" i="15"/>
  <c r="AC51" i="15"/>
  <c r="AC42" i="15"/>
  <c r="AC52" i="15"/>
  <c r="AC40" i="15"/>
  <c r="AC43" i="15"/>
  <c r="AC53" i="15"/>
  <c r="C65" i="14"/>
  <c r="D58" i="14"/>
  <c r="C57" i="14"/>
  <c r="N49" i="11"/>
  <c r="M49" i="11"/>
  <c r="K49" i="11"/>
  <c r="J49" i="11"/>
  <c r="I49" i="11"/>
  <c r="H49" i="11"/>
  <c r="G49" i="11"/>
  <c r="F49" i="11"/>
  <c r="E49" i="11"/>
  <c r="D49" i="11"/>
  <c r="C49" i="11"/>
  <c r="B49" i="11"/>
  <c r="I22" i="17"/>
  <c r="E9" i="14"/>
  <c r="L40" i="15"/>
  <c r="L50" i="15"/>
  <c r="Z42" i="15"/>
  <c r="Z52" i="15"/>
  <c r="G40" i="15"/>
  <c r="K41" i="15"/>
  <c r="K51" i="15"/>
  <c r="D66" i="14"/>
  <c r="E59" i="14"/>
  <c r="D62" i="14"/>
  <c r="E55" i="14"/>
  <c r="AB50" i="15"/>
  <c r="AB45" i="15"/>
  <c r="AK45" i="15"/>
  <c r="AK50" i="15"/>
  <c r="B50" i="15"/>
  <c r="B57" i="15"/>
  <c r="U45" i="15"/>
  <c r="U50" i="15"/>
  <c r="S50" i="15"/>
  <c r="S45" i="15"/>
  <c r="T50" i="15"/>
  <c r="T45" i="15"/>
  <c r="AF50" i="15"/>
  <c r="AF45" i="15"/>
  <c r="E50" i="15"/>
  <c r="E45" i="15"/>
  <c r="H50" i="15"/>
  <c r="H45" i="15"/>
  <c r="R45" i="15"/>
  <c r="R50" i="15"/>
  <c r="AE45" i="15"/>
  <c r="AE50" i="15"/>
  <c r="V45" i="15"/>
  <c r="V50" i="15"/>
  <c r="G50" i="15"/>
  <c r="G45" i="15"/>
  <c r="B44" i="15"/>
  <c r="B45" i="15"/>
  <c r="AY33" i="15"/>
  <c r="C8" i="15"/>
  <c r="C9" i="15"/>
  <c r="W45" i="15"/>
  <c r="W50" i="15"/>
  <c r="O50" i="15"/>
  <c r="O45" i="15"/>
  <c r="B51" i="15"/>
  <c r="B58" i="15"/>
  <c r="AD50" i="15"/>
  <c r="AD45" i="15"/>
  <c r="J50" i="15"/>
  <c r="J45" i="15"/>
  <c r="AW45" i="15"/>
  <c r="X50" i="15"/>
  <c r="X45" i="15"/>
  <c r="AH45" i="15"/>
  <c r="AH50" i="15"/>
  <c r="AX45" i="15"/>
  <c r="B53" i="15"/>
  <c r="B60" i="15"/>
  <c r="Y45" i="15"/>
  <c r="Y50" i="15"/>
  <c r="N50" i="15"/>
  <c r="N45" i="15"/>
  <c r="B67" i="14"/>
  <c r="AV45" i="15"/>
  <c r="AA45" i="15"/>
  <c r="AA50" i="15"/>
  <c r="AG45" i="15"/>
  <c r="AG50" i="15"/>
  <c r="C50" i="15"/>
  <c r="C45" i="15"/>
  <c r="Z50" i="15"/>
  <c r="D50" i="15"/>
  <c r="D45" i="15"/>
  <c r="I50" i="15"/>
  <c r="I45" i="15"/>
  <c r="P50" i="15"/>
  <c r="P45" i="15"/>
  <c r="C64" i="14"/>
  <c r="C63" i="14"/>
  <c r="C68" i="14"/>
  <c r="E58" i="14"/>
  <c r="D65" i="14"/>
  <c r="AC45" i="15"/>
  <c r="AC50" i="15"/>
  <c r="AI50" i="15"/>
  <c r="AI45" i="15"/>
  <c r="AJ50" i="15"/>
  <c r="AJ45" i="15"/>
  <c r="F50" i="15"/>
  <c r="F45" i="15"/>
  <c r="Q45" i="15"/>
  <c r="Q50" i="15"/>
  <c r="M45" i="15"/>
  <c r="M50" i="15"/>
  <c r="K50" i="15"/>
  <c r="B52" i="15"/>
  <c r="B59" i="15"/>
  <c r="J61" i="1"/>
  <c r="I61" i="1"/>
  <c r="H61" i="1"/>
  <c r="G61" i="1"/>
  <c r="AR53" i="15"/>
  <c r="Z45" i="15"/>
  <c r="K45" i="15"/>
  <c r="AR51" i="15"/>
  <c r="AO52" i="15"/>
  <c r="AU52" i="15"/>
  <c r="AS51" i="15"/>
  <c r="AS52" i="15"/>
  <c r="AO53" i="15"/>
  <c r="AQ53" i="15"/>
  <c r="AM51" i="15"/>
  <c r="AQ50" i="15"/>
  <c r="AQ52" i="15"/>
  <c r="AO51" i="15"/>
  <c r="AM50" i="15"/>
  <c r="AS53" i="15"/>
  <c r="AN53" i="15"/>
  <c r="AM52" i="15"/>
  <c r="AL51" i="15"/>
  <c r="AR50" i="15"/>
  <c r="AN52" i="15"/>
  <c r="AP52" i="15"/>
  <c r="AS50" i="15"/>
  <c r="AP53" i="15"/>
  <c r="AM53" i="15"/>
  <c r="AZ31" i="15"/>
  <c r="AQ51" i="15"/>
  <c r="AT52" i="15"/>
  <c r="AP50" i="15"/>
  <c r="AN50" i="15"/>
  <c r="AL52" i="15"/>
  <c r="AO50" i="15"/>
  <c r="AT53" i="15"/>
  <c r="AZ33" i="15"/>
  <c r="AT54" i="15"/>
  <c r="AM54" i="15"/>
  <c r="AU54" i="15"/>
  <c r="AP54" i="15"/>
  <c r="AO54" i="15"/>
  <c r="AR54" i="15"/>
  <c r="AN54" i="15"/>
  <c r="AL54" i="15"/>
  <c r="L45" i="15"/>
  <c r="AR52" i="15"/>
  <c r="AP51" i="15"/>
  <c r="AT51" i="15"/>
  <c r="AU51" i="15"/>
  <c r="AT50" i="15"/>
  <c r="AU53" i="15"/>
  <c r="AZ30" i="15"/>
  <c r="B66" i="15"/>
  <c r="C59" i="15"/>
  <c r="D56" i="14"/>
  <c r="D57" i="14"/>
  <c r="AZ32" i="15"/>
  <c r="B67" i="15"/>
  <c r="C60" i="15"/>
  <c r="B54" i="15"/>
  <c r="B61" i="15"/>
  <c r="D8" i="15"/>
  <c r="E8" i="15"/>
  <c r="B64" i="15"/>
  <c r="C57" i="15"/>
  <c r="E65" i="14"/>
  <c r="F58" i="14"/>
  <c r="B65" i="15"/>
  <c r="C58" i="15"/>
  <c r="E62" i="14"/>
  <c r="E66" i="14"/>
  <c r="C70" i="14"/>
  <c r="F61" i="1"/>
  <c r="E61" i="1"/>
  <c r="D61" i="1"/>
  <c r="L18" i="1"/>
  <c r="N43" i="1"/>
  <c r="M43" i="1"/>
  <c r="B8" i="1"/>
  <c r="L43" i="1"/>
  <c r="A43" i="1"/>
  <c r="N42" i="1"/>
  <c r="M42" i="1"/>
  <c r="B7" i="1"/>
  <c r="L42" i="1"/>
  <c r="A42" i="1"/>
  <c r="N41" i="1"/>
  <c r="M41" i="1"/>
  <c r="B6" i="1"/>
  <c r="L41" i="1"/>
  <c r="A41" i="1"/>
  <c r="N40" i="1"/>
  <c r="M40" i="1"/>
  <c r="B5" i="1"/>
  <c r="L40" i="1"/>
  <c r="A40" i="1"/>
  <c r="N39" i="1"/>
  <c r="M39" i="1"/>
  <c r="B4" i="1"/>
  <c r="A39" i="1"/>
  <c r="N29" i="1"/>
  <c r="M29" i="1"/>
  <c r="L29" i="1"/>
  <c r="L52" i="1"/>
  <c r="K29" i="1"/>
  <c r="K52" i="1"/>
  <c r="J29" i="1"/>
  <c r="J52" i="1"/>
  <c r="I29" i="1"/>
  <c r="I52" i="1"/>
  <c r="H29" i="1"/>
  <c r="H52" i="1"/>
  <c r="G29" i="1"/>
  <c r="G52" i="1"/>
  <c r="F29" i="1"/>
  <c r="F52" i="1"/>
  <c r="E29" i="1"/>
  <c r="E52" i="1"/>
  <c r="D29" i="1"/>
  <c r="D52" i="1"/>
  <c r="C52" i="1"/>
  <c r="N28" i="1"/>
  <c r="M28" i="1"/>
  <c r="L28" i="1"/>
  <c r="K28" i="1"/>
  <c r="K51" i="1"/>
  <c r="J28" i="1"/>
  <c r="J51" i="1"/>
  <c r="I28" i="1"/>
  <c r="I51" i="1"/>
  <c r="H28" i="1"/>
  <c r="H51" i="1"/>
  <c r="G28" i="1"/>
  <c r="G51" i="1"/>
  <c r="F28" i="1"/>
  <c r="F51" i="1"/>
  <c r="E28" i="1"/>
  <c r="E51" i="1"/>
  <c r="D28" i="1"/>
  <c r="D51" i="1"/>
  <c r="C51" i="1"/>
  <c r="B51" i="1"/>
  <c r="B58" i="1"/>
  <c r="N27" i="1"/>
  <c r="N50" i="1"/>
  <c r="M27" i="1"/>
  <c r="L27" i="1"/>
  <c r="L50" i="1"/>
  <c r="K27" i="1"/>
  <c r="K50" i="1"/>
  <c r="J27" i="1"/>
  <c r="J50" i="1"/>
  <c r="I27" i="1"/>
  <c r="I50" i="1"/>
  <c r="H27" i="1"/>
  <c r="H50" i="1"/>
  <c r="G27" i="1"/>
  <c r="G50" i="1"/>
  <c r="F27" i="1"/>
  <c r="F50" i="1"/>
  <c r="E27" i="1"/>
  <c r="E50" i="1"/>
  <c r="D27" i="1"/>
  <c r="D50" i="1"/>
  <c r="C50" i="1"/>
  <c r="B50" i="1"/>
  <c r="B57" i="1"/>
  <c r="N26" i="1"/>
  <c r="M26" i="1"/>
  <c r="L26" i="1"/>
  <c r="K26" i="1"/>
  <c r="K49" i="1"/>
  <c r="J26" i="1"/>
  <c r="J49" i="1"/>
  <c r="I26" i="1"/>
  <c r="I49" i="1"/>
  <c r="H26" i="1"/>
  <c r="H49" i="1"/>
  <c r="G26" i="1"/>
  <c r="G49" i="1"/>
  <c r="F26" i="1"/>
  <c r="F49" i="1"/>
  <c r="E26" i="1"/>
  <c r="E49" i="1"/>
  <c r="D26" i="1"/>
  <c r="D49" i="1"/>
  <c r="C49" i="1"/>
  <c r="B49" i="1"/>
  <c r="B56" i="1"/>
  <c r="N25" i="1"/>
  <c r="M25" i="1"/>
  <c r="J25" i="1"/>
  <c r="J48" i="1"/>
  <c r="I25" i="1"/>
  <c r="I48" i="1"/>
  <c r="H25" i="1"/>
  <c r="H48" i="1"/>
  <c r="G25" i="1"/>
  <c r="G48" i="1"/>
  <c r="F25" i="1"/>
  <c r="F48" i="1"/>
  <c r="E25" i="1"/>
  <c r="E48" i="1"/>
  <c r="D48" i="1"/>
  <c r="C48" i="1"/>
  <c r="B48" i="1"/>
  <c r="B55" i="1"/>
  <c r="C18" i="1"/>
  <c r="D18" i="1"/>
  <c r="E18" i="1"/>
  <c r="F18" i="1"/>
  <c r="G18" i="1"/>
  <c r="H18" i="1"/>
  <c r="I18" i="1"/>
  <c r="J18" i="1"/>
  <c r="K18" i="1"/>
  <c r="M18" i="1"/>
  <c r="N18" i="1"/>
  <c r="C8" i="1"/>
  <c r="C7" i="1"/>
  <c r="C6" i="1"/>
  <c r="C5" i="1"/>
  <c r="C4" i="1"/>
  <c r="F36" i="11"/>
  <c r="N40" i="11"/>
  <c r="M40" i="11"/>
  <c r="L40" i="11"/>
  <c r="N39" i="11"/>
  <c r="M39" i="11"/>
  <c r="L39" i="11"/>
  <c r="N38" i="11"/>
  <c r="M38" i="11"/>
  <c r="L38" i="11"/>
  <c r="N37" i="11"/>
  <c r="M37" i="11"/>
  <c r="L37" i="11"/>
  <c r="N36" i="11"/>
  <c r="M36" i="11"/>
  <c r="L36" i="11"/>
  <c r="C8" i="11"/>
  <c r="C7" i="11"/>
  <c r="C6" i="11"/>
  <c r="C5" i="11"/>
  <c r="C4" i="11"/>
  <c r="B4" i="11"/>
  <c r="C36" i="11"/>
  <c r="D36" i="11"/>
  <c r="E36" i="11"/>
  <c r="H36" i="11"/>
  <c r="I36" i="11"/>
  <c r="J36" i="11"/>
  <c r="K36" i="11"/>
  <c r="C37" i="11"/>
  <c r="D37" i="11"/>
  <c r="E37" i="11"/>
  <c r="F37" i="11"/>
  <c r="G37" i="11"/>
  <c r="H37" i="11"/>
  <c r="I37" i="11"/>
  <c r="J37" i="11"/>
  <c r="K37" i="11"/>
  <c r="C38" i="11"/>
  <c r="D38" i="11"/>
  <c r="E38" i="11"/>
  <c r="F38" i="11"/>
  <c r="G38" i="11"/>
  <c r="H38" i="11"/>
  <c r="I38" i="11"/>
  <c r="J38" i="11"/>
  <c r="K38" i="11"/>
  <c r="C39" i="11"/>
  <c r="D39" i="11"/>
  <c r="E39" i="11"/>
  <c r="F39" i="11"/>
  <c r="G39" i="11"/>
  <c r="H39" i="11"/>
  <c r="I39" i="11"/>
  <c r="K39" i="11"/>
  <c r="C40" i="11"/>
  <c r="D40" i="11"/>
  <c r="E40" i="11"/>
  <c r="F40" i="11"/>
  <c r="G40" i="11"/>
  <c r="H40" i="11"/>
  <c r="I40" i="11"/>
  <c r="J40" i="11"/>
  <c r="K40" i="11"/>
  <c r="B37" i="11"/>
  <c r="B38" i="11"/>
  <c r="B39" i="11"/>
  <c r="B40" i="11"/>
  <c r="B36" i="11"/>
  <c r="C18" i="11"/>
  <c r="D18" i="11"/>
  <c r="E18" i="11"/>
  <c r="F18" i="11"/>
  <c r="G18" i="11"/>
  <c r="H18" i="11"/>
  <c r="I18" i="11"/>
  <c r="J18" i="11"/>
  <c r="K18" i="11"/>
  <c r="B8" i="11"/>
  <c r="B6" i="11"/>
  <c r="B7" i="11"/>
  <c r="B5" i="11"/>
  <c r="C9" i="1"/>
  <c r="D6" i="15"/>
  <c r="E6" i="15"/>
  <c r="AO45" i="15"/>
  <c r="AS54" i="15"/>
  <c r="AS45" i="15"/>
  <c r="AQ54" i="15"/>
  <c r="AQ45" i="15"/>
  <c r="D4" i="15"/>
  <c r="AL53" i="15"/>
  <c r="D7" i="15"/>
  <c r="E7" i="15"/>
  <c r="AR45" i="15"/>
  <c r="AT45" i="15"/>
  <c r="AU50" i="15"/>
  <c r="AU45" i="15"/>
  <c r="AL45" i="15"/>
  <c r="AL50" i="15"/>
  <c r="AN51" i="15"/>
  <c r="D5" i="15"/>
  <c r="E5" i="15"/>
  <c r="AN45" i="15"/>
  <c r="AM45" i="15"/>
  <c r="AP45" i="15"/>
  <c r="M52" i="1"/>
  <c r="M51" i="1"/>
  <c r="N52" i="1"/>
  <c r="K48" i="1"/>
  <c r="D4" i="1"/>
  <c r="E4" i="1"/>
  <c r="F65" i="14"/>
  <c r="G58" i="14"/>
  <c r="C64" i="15"/>
  <c r="D57" i="15"/>
  <c r="C67" i="15"/>
  <c r="D60" i="15"/>
  <c r="F59" i="14"/>
  <c r="F55" i="14"/>
  <c r="D63" i="14"/>
  <c r="C65" i="15"/>
  <c r="D58" i="15"/>
  <c r="B68" i="15"/>
  <c r="C66" i="15"/>
  <c r="D59" i="15"/>
  <c r="C67" i="14"/>
  <c r="B72" i="15"/>
  <c r="D64" i="14"/>
  <c r="E57" i="14"/>
  <c r="M50" i="1"/>
  <c r="M49" i="1"/>
  <c r="N48" i="1"/>
  <c r="M48" i="1"/>
  <c r="D7" i="1"/>
  <c r="E7" i="1"/>
  <c r="D6" i="1"/>
  <c r="E6" i="1"/>
  <c r="D5" i="1"/>
  <c r="E5" i="1"/>
  <c r="L49" i="1"/>
  <c r="N49" i="1"/>
  <c r="N51" i="1"/>
  <c r="L51" i="1"/>
  <c r="B62" i="1"/>
  <c r="B52" i="1"/>
  <c r="B59" i="1"/>
  <c r="D8" i="1"/>
  <c r="E8" i="1"/>
  <c r="B9" i="1"/>
  <c r="B64" i="1"/>
  <c r="C57" i="1"/>
  <c r="B63" i="1"/>
  <c r="C56" i="1"/>
  <c r="B65" i="1"/>
  <c r="L18" i="11"/>
  <c r="M18" i="11"/>
  <c r="N18" i="11"/>
  <c r="B9" i="11"/>
  <c r="E9" i="15"/>
  <c r="D9" i="15"/>
  <c r="E64" i="14"/>
  <c r="F57" i="14"/>
  <c r="D66" i="15"/>
  <c r="G65" i="14"/>
  <c r="H58" i="14"/>
  <c r="B69" i="15"/>
  <c r="D65" i="15"/>
  <c r="D67" i="15"/>
  <c r="E60" i="15"/>
  <c r="D68" i="14"/>
  <c r="F62" i="14"/>
  <c r="G55" i="14"/>
  <c r="D64" i="15"/>
  <c r="B70" i="15"/>
  <c r="D70" i="14"/>
  <c r="C61" i="15"/>
  <c r="E56" i="14"/>
  <c r="F66" i="14"/>
  <c r="G59" i="14"/>
  <c r="D9" i="1"/>
  <c r="C63" i="1"/>
  <c r="D56" i="1"/>
  <c r="C55" i="1"/>
  <c r="C64" i="1"/>
  <c r="D57" i="1"/>
  <c r="E9" i="1"/>
  <c r="C58" i="1"/>
  <c r="B66" i="1"/>
  <c r="F64" i="14"/>
  <c r="G57" i="14"/>
  <c r="C68" i="15"/>
  <c r="D61" i="15"/>
  <c r="G66" i="14"/>
  <c r="H59" i="14"/>
  <c r="G62" i="14"/>
  <c r="H55" i="14"/>
  <c r="E58" i="15"/>
  <c r="E59" i="15"/>
  <c r="D67" i="14"/>
  <c r="E67" i="15"/>
  <c r="F60" i="15"/>
  <c r="H65" i="14"/>
  <c r="I58" i="14"/>
  <c r="E63" i="14"/>
  <c r="E68" i="14"/>
  <c r="F56" i="14"/>
  <c r="E57" i="15"/>
  <c r="D64" i="1"/>
  <c r="E57" i="1"/>
  <c r="C62" i="1"/>
  <c r="D55" i="1"/>
  <c r="B68" i="1"/>
  <c r="D63" i="1"/>
  <c r="E56" i="1"/>
  <c r="C65" i="1"/>
  <c r="D58" i="1"/>
  <c r="C59" i="1"/>
  <c r="B70" i="1"/>
  <c r="H31" i="13"/>
  <c r="G26" i="13"/>
  <c r="F27" i="13"/>
  <c r="G27" i="13"/>
  <c r="F28" i="13"/>
  <c r="G28" i="13"/>
  <c r="F29" i="13"/>
  <c r="G29" i="13"/>
  <c r="F30" i="13"/>
  <c r="G30" i="13"/>
  <c r="E31" i="13"/>
  <c r="F31" i="13"/>
  <c r="G31" i="13"/>
  <c r="D31" i="13"/>
  <c r="H66" i="14"/>
  <c r="I59" i="14"/>
  <c r="I65" i="14"/>
  <c r="J58" i="14"/>
  <c r="D68" i="15"/>
  <c r="D70" i="15"/>
  <c r="E70" i="14"/>
  <c r="E66" i="15"/>
  <c r="F59" i="15"/>
  <c r="E65" i="15"/>
  <c r="C70" i="15"/>
  <c r="C72" i="15"/>
  <c r="F67" i="15"/>
  <c r="G60" i="15"/>
  <c r="H62" i="14"/>
  <c r="I55" i="14"/>
  <c r="G64" i="14"/>
  <c r="H57" i="14"/>
  <c r="F63" i="14"/>
  <c r="F68" i="14"/>
  <c r="E64" i="15"/>
  <c r="C66" i="1"/>
  <c r="D59" i="1"/>
  <c r="E63" i="1"/>
  <c r="F56" i="1"/>
  <c r="D65" i="1"/>
  <c r="E58" i="1"/>
  <c r="E64" i="1"/>
  <c r="F57" i="1"/>
  <c r="D62" i="1"/>
  <c r="E55" i="1"/>
  <c r="B67" i="1"/>
  <c r="C70" i="1"/>
  <c r="B46" i="11"/>
  <c r="D7" i="11"/>
  <c r="B44" i="11"/>
  <c r="D5" i="11"/>
  <c r="B45" i="11"/>
  <c r="D6" i="11"/>
  <c r="B47" i="11"/>
  <c r="D8" i="11"/>
  <c r="B43" i="11"/>
  <c r="E61" i="15"/>
  <c r="G56" i="14"/>
  <c r="H56" i="14"/>
  <c r="G67" i="15"/>
  <c r="H60" i="15"/>
  <c r="J65" i="14"/>
  <c r="K58" i="14"/>
  <c r="H64" i="14"/>
  <c r="I57" i="14"/>
  <c r="I66" i="14"/>
  <c r="J59" i="14"/>
  <c r="F70" i="14"/>
  <c r="E67" i="14"/>
  <c r="G63" i="14"/>
  <c r="G68" i="14"/>
  <c r="I62" i="14"/>
  <c r="J55" i="14"/>
  <c r="F58" i="15"/>
  <c r="E68" i="15"/>
  <c r="F61" i="15"/>
  <c r="D72" i="15"/>
  <c r="C69" i="15"/>
  <c r="F66" i="15"/>
  <c r="G59" i="15"/>
  <c r="F57" i="15"/>
  <c r="F63" i="1"/>
  <c r="G56" i="1"/>
  <c r="F64" i="1"/>
  <c r="G57" i="1"/>
  <c r="E62" i="1"/>
  <c r="C67" i="1"/>
  <c r="E65" i="1"/>
  <c r="F58" i="1"/>
  <c r="D66" i="1"/>
  <c r="D70" i="1"/>
  <c r="C68" i="1"/>
  <c r="B50" i="11"/>
  <c r="B52" i="11"/>
  <c r="C45" i="11"/>
  <c r="B51" i="11"/>
  <c r="B53" i="11"/>
  <c r="C9" i="11"/>
  <c r="D4" i="11"/>
  <c r="B54" i="11"/>
  <c r="B58" i="11"/>
  <c r="J66" i="14"/>
  <c r="K59" i="14"/>
  <c r="K65" i="14"/>
  <c r="L58" i="14"/>
  <c r="F68" i="15"/>
  <c r="G61" i="15"/>
  <c r="J62" i="14"/>
  <c r="K55" i="14"/>
  <c r="G70" i="14"/>
  <c r="F67" i="14"/>
  <c r="D69" i="15"/>
  <c r="E72" i="15"/>
  <c r="H63" i="14"/>
  <c r="H68" i="14"/>
  <c r="F65" i="15"/>
  <c r="G58" i="15"/>
  <c r="I64" i="14"/>
  <c r="J57" i="14"/>
  <c r="H67" i="15"/>
  <c r="I60" i="15"/>
  <c r="F64" i="15"/>
  <c r="G66" i="15"/>
  <c r="H59" i="15"/>
  <c r="E70" i="15"/>
  <c r="D68" i="1"/>
  <c r="E59" i="1"/>
  <c r="E66" i="1"/>
  <c r="F59" i="1"/>
  <c r="G64" i="1"/>
  <c r="H57" i="1"/>
  <c r="D67" i="1"/>
  <c r="F65" i="1"/>
  <c r="G58" i="1"/>
  <c r="G63" i="1"/>
  <c r="H56" i="1"/>
  <c r="F55" i="1"/>
  <c r="C43" i="11"/>
  <c r="C50" i="11"/>
  <c r="D9" i="11"/>
  <c r="C44" i="11"/>
  <c r="C52" i="11"/>
  <c r="D45" i="11"/>
  <c r="B56" i="11"/>
  <c r="C47" i="11"/>
  <c r="C46" i="11"/>
  <c r="B9" i="12"/>
  <c r="J64" i="14"/>
  <c r="K57" i="14"/>
  <c r="G65" i="15"/>
  <c r="H58" i="15"/>
  <c r="H66" i="15"/>
  <c r="I59" i="15"/>
  <c r="M58" i="14"/>
  <c r="L65" i="14"/>
  <c r="I67" i="15"/>
  <c r="J60" i="15"/>
  <c r="K62" i="14"/>
  <c r="L55" i="14"/>
  <c r="K66" i="14"/>
  <c r="L59" i="14"/>
  <c r="F72" i="15"/>
  <c r="E69" i="15"/>
  <c r="F70" i="15"/>
  <c r="G57" i="15"/>
  <c r="I56" i="14"/>
  <c r="G68" i="15"/>
  <c r="H61" i="15"/>
  <c r="H70" i="14"/>
  <c r="G67" i="14"/>
  <c r="E70" i="1"/>
  <c r="E67" i="1"/>
  <c r="H64" i="1"/>
  <c r="I57" i="1"/>
  <c r="G65" i="1"/>
  <c r="H58" i="1"/>
  <c r="F66" i="1"/>
  <c r="G59" i="1"/>
  <c r="H63" i="1"/>
  <c r="I56" i="1"/>
  <c r="F62" i="1"/>
  <c r="E68" i="1"/>
  <c r="C53" i="11"/>
  <c r="D46" i="11"/>
  <c r="B55" i="11"/>
  <c r="C54" i="11"/>
  <c r="D52" i="11"/>
  <c r="E45" i="11"/>
  <c r="D43" i="11"/>
  <c r="C51" i="11"/>
  <c r="D44" i="11"/>
  <c r="G6" i="4"/>
  <c r="C58" i="11"/>
  <c r="L66" i="14"/>
  <c r="M59" i="14"/>
  <c r="H65" i="15"/>
  <c r="I58" i="15"/>
  <c r="L62" i="14"/>
  <c r="M55" i="14"/>
  <c r="K64" i="14"/>
  <c r="L57" i="14"/>
  <c r="H67" i="14"/>
  <c r="G64" i="15"/>
  <c r="H57" i="15"/>
  <c r="F69" i="15"/>
  <c r="M65" i="14"/>
  <c r="N58" i="14"/>
  <c r="J67" i="15"/>
  <c r="K60" i="15"/>
  <c r="I66" i="15"/>
  <c r="J59" i="15"/>
  <c r="H68" i="15"/>
  <c r="I61" i="15"/>
  <c r="I63" i="14"/>
  <c r="I68" i="14"/>
  <c r="G66" i="1"/>
  <c r="H59" i="1"/>
  <c r="I63" i="1"/>
  <c r="J56" i="1"/>
  <c r="I64" i="1"/>
  <c r="J57" i="1"/>
  <c r="F68" i="1"/>
  <c r="F70" i="1"/>
  <c r="H65" i="1"/>
  <c r="I58" i="1"/>
  <c r="G55" i="1"/>
  <c r="D50" i="11"/>
  <c r="E43" i="11"/>
  <c r="D53" i="11"/>
  <c r="E46" i="11"/>
  <c r="D51" i="11"/>
  <c r="E44" i="11"/>
  <c r="E52" i="11"/>
  <c r="F45" i="11"/>
  <c r="C56" i="11"/>
  <c r="D47" i="11"/>
  <c r="G11" i="4"/>
  <c r="G72" i="15"/>
  <c r="H64" i="15"/>
  <c r="H70" i="15"/>
  <c r="I65" i="15"/>
  <c r="J58" i="15"/>
  <c r="K67" i="15"/>
  <c r="L60" i="15"/>
  <c r="L64" i="14"/>
  <c r="M57" i="14"/>
  <c r="N65" i="14"/>
  <c r="O58" i="14"/>
  <c r="I68" i="15"/>
  <c r="J61" i="15"/>
  <c r="J66" i="15"/>
  <c r="K59" i="15"/>
  <c r="G70" i="15"/>
  <c r="G69" i="15"/>
  <c r="I70" i="14"/>
  <c r="M62" i="14"/>
  <c r="M66" i="14"/>
  <c r="N59" i="14"/>
  <c r="J56" i="14"/>
  <c r="E50" i="11"/>
  <c r="F43" i="11"/>
  <c r="F50" i="11"/>
  <c r="J63" i="1"/>
  <c r="K56" i="1"/>
  <c r="G62" i="1"/>
  <c r="H55" i="1"/>
  <c r="I65" i="1"/>
  <c r="J58" i="1"/>
  <c r="J64" i="1"/>
  <c r="K57" i="1"/>
  <c r="H66" i="1"/>
  <c r="I59" i="1"/>
  <c r="F67" i="1"/>
  <c r="F52" i="11"/>
  <c r="G45" i="11"/>
  <c r="E51" i="11"/>
  <c r="F44" i="11"/>
  <c r="D54" i="11"/>
  <c r="E47" i="11"/>
  <c r="C55" i="11"/>
  <c r="E53" i="11"/>
  <c r="F46" i="11"/>
  <c r="G4" i="5"/>
  <c r="H72" i="15"/>
  <c r="H69" i="15"/>
  <c r="D58" i="11"/>
  <c r="E58" i="11"/>
  <c r="L67" i="15"/>
  <c r="M60" i="15"/>
  <c r="O65" i="14"/>
  <c r="P58" i="14"/>
  <c r="J65" i="15"/>
  <c r="K58" i="15"/>
  <c r="K66" i="15"/>
  <c r="L59" i="15"/>
  <c r="J68" i="15"/>
  <c r="K61" i="15"/>
  <c r="M64" i="14"/>
  <c r="N57" i="14"/>
  <c r="I67" i="14"/>
  <c r="J63" i="14"/>
  <c r="J68" i="14"/>
  <c r="N66" i="14"/>
  <c r="O59" i="14"/>
  <c r="I57" i="15"/>
  <c r="N55" i="14"/>
  <c r="G70" i="1"/>
  <c r="G67" i="1"/>
  <c r="H62" i="1"/>
  <c r="H68" i="1"/>
  <c r="K64" i="1"/>
  <c r="L57" i="1"/>
  <c r="G68" i="1"/>
  <c r="I66" i="1"/>
  <c r="J59" i="1"/>
  <c r="K63" i="1"/>
  <c r="L56" i="1"/>
  <c r="J65" i="1"/>
  <c r="K58" i="1"/>
  <c r="D56" i="11"/>
  <c r="F51" i="11"/>
  <c r="G44" i="11"/>
  <c r="G52" i="11"/>
  <c r="H45" i="11"/>
  <c r="E54" i="11"/>
  <c r="F47" i="11"/>
  <c r="F53" i="11"/>
  <c r="G46" i="11"/>
  <c r="F9" i="4"/>
  <c r="H8" i="4"/>
  <c r="H5" i="4"/>
  <c r="H6" i="4"/>
  <c r="H7" i="4"/>
  <c r="G7" i="4"/>
  <c r="G8" i="4"/>
  <c r="F11" i="4"/>
  <c r="L66" i="15"/>
  <c r="M59" i="15"/>
  <c r="P65" i="14"/>
  <c r="Q58" i="14"/>
  <c r="K56" i="14"/>
  <c r="I64" i="15"/>
  <c r="J57" i="15"/>
  <c r="N64" i="14"/>
  <c r="O57" i="14"/>
  <c r="O66" i="14"/>
  <c r="P59" i="14"/>
  <c r="K68" i="15"/>
  <c r="L61" i="15"/>
  <c r="K65" i="15"/>
  <c r="L58" i="15"/>
  <c r="M67" i="15"/>
  <c r="N60" i="15"/>
  <c r="N62" i="14"/>
  <c r="O55" i="14"/>
  <c r="J70" i="14"/>
  <c r="D55" i="11"/>
  <c r="H70" i="1"/>
  <c r="H67" i="1"/>
  <c r="J66" i="1"/>
  <c r="K59" i="1"/>
  <c r="K65" i="1"/>
  <c r="L58" i="1"/>
  <c r="I55" i="1"/>
  <c r="F54" i="11"/>
  <c r="G47" i="11"/>
  <c r="H52" i="11"/>
  <c r="I45" i="11"/>
  <c r="G53" i="11"/>
  <c r="H46" i="11"/>
  <c r="E56" i="11"/>
  <c r="G51" i="11"/>
  <c r="H44" i="11"/>
  <c r="G43" i="11"/>
  <c r="H9" i="4"/>
  <c r="H11" i="4"/>
  <c r="G9" i="4"/>
  <c r="F58" i="11"/>
  <c r="L68" i="15"/>
  <c r="M61" i="15"/>
  <c r="P66" i="14"/>
  <c r="Q59" i="14"/>
  <c r="Q65" i="14"/>
  <c r="R58" i="14"/>
  <c r="N67" i="15"/>
  <c r="O60" i="15"/>
  <c r="O64" i="14"/>
  <c r="P57" i="14"/>
  <c r="M66" i="15"/>
  <c r="N59" i="15"/>
  <c r="L65" i="15"/>
  <c r="M58" i="15"/>
  <c r="J64" i="15"/>
  <c r="J70" i="15"/>
  <c r="J67" i="14"/>
  <c r="I70" i="15"/>
  <c r="I72" i="15"/>
  <c r="O62" i="14"/>
  <c r="K63" i="14"/>
  <c r="K68" i="14"/>
  <c r="K66" i="1"/>
  <c r="L59" i="1"/>
  <c r="I62" i="1"/>
  <c r="F56" i="11"/>
  <c r="I52" i="11"/>
  <c r="J45" i="11"/>
  <c r="G54" i="11"/>
  <c r="H47" i="11"/>
  <c r="E55" i="11"/>
  <c r="H53" i="11"/>
  <c r="I46" i="11"/>
  <c r="H51" i="11"/>
  <c r="I44" i="11"/>
  <c r="G50" i="11"/>
  <c r="H43" i="11"/>
  <c r="D9" i="5"/>
  <c r="C9" i="5"/>
  <c r="I21" i="5"/>
  <c r="F55" i="11"/>
  <c r="G58" i="11"/>
  <c r="R65" i="14"/>
  <c r="S58" i="14"/>
  <c r="Q66" i="14"/>
  <c r="R59" i="14"/>
  <c r="N66" i="15"/>
  <c r="O59" i="15"/>
  <c r="O67" i="15"/>
  <c r="P60" i="15"/>
  <c r="K57" i="15"/>
  <c r="P55" i="14"/>
  <c r="M65" i="15"/>
  <c r="N58" i="15"/>
  <c r="P64" i="14"/>
  <c r="Q57" i="14"/>
  <c r="M68" i="15"/>
  <c r="N61" i="15"/>
  <c r="L56" i="14"/>
  <c r="J72" i="15"/>
  <c r="I69" i="15"/>
  <c r="K70" i="14"/>
  <c r="I68" i="1"/>
  <c r="I70" i="1"/>
  <c r="J55" i="1"/>
  <c r="H54" i="11"/>
  <c r="I47" i="11"/>
  <c r="I53" i="11"/>
  <c r="J46" i="11"/>
  <c r="J53" i="11"/>
  <c r="H50" i="11"/>
  <c r="G56" i="11"/>
  <c r="I51" i="11"/>
  <c r="J44" i="11"/>
  <c r="J52" i="11"/>
  <c r="K45" i="11"/>
  <c r="B9" i="4"/>
  <c r="H58" i="11"/>
  <c r="G55" i="11"/>
  <c r="O66" i="15"/>
  <c r="P59" i="15"/>
  <c r="R66" i="14"/>
  <c r="S59" i="14"/>
  <c r="N68" i="15"/>
  <c r="O61" i="15"/>
  <c r="N65" i="15"/>
  <c r="O58" i="15"/>
  <c r="P67" i="15"/>
  <c r="Q60" i="15"/>
  <c r="J69" i="15"/>
  <c r="Q64" i="14"/>
  <c r="R57" i="14"/>
  <c r="P62" i="14"/>
  <c r="L63" i="14"/>
  <c r="L68" i="14"/>
  <c r="K64" i="15"/>
  <c r="K70" i="15"/>
  <c r="S65" i="14"/>
  <c r="T58" i="14"/>
  <c r="K67" i="14"/>
  <c r="J62" i="1"/>
  <c r="J68" i="1"/>
  <c r="I67" i="1"/>
  <c r="H56" i="11"/>
  <c r="K46" i="11"/>
  <c r="K52" i="11"/>
  <c r="L45" i="11"/>
  <c r="L52" i="11"/>
  <c r="I54" i="11"/>
  <c r="J47" i="11"/>
  <c r="J51" i="11"/>
  <c r="K44" i="11"/>
  <c r="I43" i="11"/>
  <c r="G5" i="5"/>
  <c r="G6" i="5"/>
  <c r="G7" i="5"/>
  <c r="G8" i="5"/>
  <c r="H55" i="11"/>
  <c r="L57" i="15"/>
  <c r="L70" i="14"/>
  <c r="M56" i="14"/>
  <c r="S66" i="14"/>
  <c r="T59" i="14"/>
  <c r="O65" i="15"/>
  <c r="P58" i="15"/>
  <c r="R64" i="14"/>
  <c r="S57" i="14"/>
  <c r="L64" i="15"/>
  <c r="L70" i="15"/>
  <c r="K72" i="15"/>
  <c r="Q55" i="14"/>
  <c r="L67" i="14"/>
  <c r="T65" i="14"/>
  <c r="U58" i="14"/>
  <c r="M63" i="14"/>
  <c r="M68" i="14"/>
  <c r="Q67" i="15"/>
  <c r="R60" i="15"/>
  <c r="O68" i="15"/>
  <c r="P61" i="15"/>
  <c r="P66" i="15"/>
  <c r="Q59" i="15"/>
  <c r="K55" i="1"/>
  <c r="J70" i="1"/>
  <c r="K51" i="11"/>
  <c r="L44" i="11"/>
  <c r="L51" i="11"/>
  <c r="K53" i="11"/>
  <c r="J54" i="11"/>
  <c r="K47" i="11"/>
  <c r="I50" i="11"/>
  <c r="I56" i="11"/>
  <c r="I4" i="4"/>
  <c r="F31" i="5"/>
  <c r="F21" i="5"/>
  <c r="F14" i="4"/>
  <c r="G12" i="4"/>
  <c r="G13" i="4"/>
  <c r="G15" i="4"/>
  <c r="H12" i="4"/>
  <c r="I5" i="4"/>
  <c r="I12" i="4"/>
  <c r="H14" i="4"/>
  <c r="I7" i="4"/>
  <c r="I14" i="4"/>
  <c r="G14" i="4"/>
  <c r="I58" i="11"/>
  <c r="M57" i="15"/>
  <c r="M64" i="15"/>
  <c r="M70" i="15"/>
  <c r="Q66" i="15"/>
  <c r="R59" i="15"/>
  <c r="P68" i="15"/>
  <c r="Q61" i="15"/>
  <c r="P65" i="15"/>
  <c r="Q58" i="15"/>
  <c r="U65" i="14"/>
  <c r="V58" i="14"/>
  <c r="T66" i="14"/>
  <c r="U59" i="14"/>
  <c r="R67" i="15"/>
  <c r="S60" i="15"/>
  <c r="Q62" i="14"/>
  <c r="L72" i="15"/>
  <c r="K69" i="15"/>
  <c r="S64" i="14"/>
  <c r="T57" i="14"/>
  <c r="N56" i="14"/>
  <c r="M70" i="14"/>
  <c r="L46" i="11"/>
  <c r="L53" i="11"/>
  <c r="J67" i="1"/>
  <c r="K62" i="1"/>
  <c r="J43" i="11"/>
  <c r="K54" i="11"/>
  <c r="L47" i="11"/>
  <c r="L54" i="11"/>
  <c r="I11" i="4"/>
  <c r="C4" i="4"/>
  <c r="F15" i="4"/>
  <c r="F12" i="4"/>
  <c r="C5" i="4"/>
  <c r="F13" i="4"/>
  <c r="C7" i="4"/>
  <c r="I8" i="4"/>
  <c r="I15" i="4"/>
  <c r="H15" i="4"/>
  <c r="I6" i="4"/>
  <c r="I13" i="4"/>
  <c r="H13" i="4"/>
  <c r="I55" i="11"/>
  <c r="L55" i="1"/>
  <c r="Q68" i="15"/>
  <c r="R61" i="15"/>
  <c r="V65" i="14"/>
  <c r="W58" i="14"/>
  <c r="S67" i="15"/>
  <c r="T60" i="15"/>
  <c r="T64" i="14"/>
  <c r="U57" i="14"/>
  <c r="N57" i="15"/>
  <c r="M67" i="14"/>
  <c r="U66" i="14"/>
  <c r="V59" i="14"/>
  <c r="Q65" i="15"/>
  <c r="R58" i="15"/>
  <c r="R66" i="15"/>
  <c r="S59" i="15"/>
  <c r="N63" i="14"/>
  <c r="N68" i="14"/>
  <c r="L69" i="15"/>
  <c r="M72" i="15"/>
  <c r="R55" i="14"/>
  <c r="J50" i="11"/>
  <c r="K70" i="1"/>
  <c r="I9" i="4"/>
  <c r="C6" i="4"/>
  <c r="C8" i="4"/>
  <c r="O56" i="14"/>
  <c r="J56" i="11"/>
  <c r="J58" i="11"/>
  <c r="T67" i="15"/>
  <c r="U60" i="15"/>
  <c r="W65" i="14"/>
  <c r="X58" i="14"/>
  <c r="R65" i="15"/>
  <c r="S58" i="15"/>
  <c r="V57" i="14"/>
  <c r="U64" i="14"/>
  <c r="O63" i="14"/>
  <c r="O68" i="14"/>
  <c r="P56" i="14"/>
  <c r="M69" i="15"/>
  <c r="V66" i="14"/>
  <c r="W59" i="14"/>
  <c r="N70" i="14"/>
  <c r="R68" i="15"/>
  <c r="S61" i="15"/>
  <c r="R62" i="14"/>
  <c r="S55" i="14"/>
  <c r="S66" i="15"/>
  <c r="T59" i="15"/>
  <c r="N64" i="15"/>
  <c r="N70" i="15"/>
  <c r="K43" i="11"/>
  <c r="K50" i="11"/>
  <c r="K56" i="11"/>
  <c r="C9" i="4"/>
  <c r="C10" i="4"/>
  <c r="K58" i="11"/>
  <c r="J55" i="11"/>
  <c r="O57" i="15"/>
  <c r="O64" i="15"/>
  <c r="O70" i="15"/>
  <c r="N72" i="15"/>
  <c r="N69" i="15"/>
  <c r="S68" i="15"/>
  <c r="T61" i="15"/>
  <c r="X65" i="14"/>
  <c r="Y58" i="14"/>
  <c r="T66" i="15"/>
  <c r="U59" i="15"/>
  <c r="V64" i="14"/>
  <c r="W57" i="14"/>
  <c r="O70" i="14"/>
  <c r="N67" i="14"/>
  <c r="W66" i="14"/>
  <c r="X59" i="14"/>
  <c r="P63" i="14"/>
  <c r="P68" i="14"/>
  <c r="Q56" i="14"/>
  <c r="S65" i="15"/>
  <c r="T58" i="15"/>
  <c r="U67" i="15"/>
  <c r="V60" i="15"/>
  <c r="S62" i="14"/>
  <c r="K55" i="11"/>
  <c r="L43" i="11"/>
  <c r="L50" i="11"/>
  <c r="D17" i="5"/>
  <c r="D16" i="5"/>
  <c r="F16" i="5"/>
  <c r="L58" i="11"/>
  <c r="W64" i="14"/>
  <c r="X57" i="14"/>
  <c r="T65" i="15"/>
  <c r="U58" i="15"/>
  <c r="Y65" i="14"/>
  <c r="Z58" i="14"/>
  <c r="Y59" i="14"/>
  <c r="X66" i="14"/>
  <c r="P57" i="15"/>
  <c r="Q63" i="14"/>
  <c r="Q68" i="14"/>
  <c r="O72" i="15"/>
  <c r="U66" i="15"/>
  <c r="V59" i="15"/>
  <c r="T68" i="15"/>
  <c r="U61" i="15"/>
  <c r="V67" i="15"/>
  <c r="W60" i="15"/>
  <c r="T55" i="14"/>
  <c r="P70" i="14"/>
  <c r="O67" i="14"/>
  <c r="L56" i="11"/>
  <c r="D18" i="5"/>
  <c r="F18" i="5"/>
  <c r="F17" i="5"/>
  <c r="L55" i="11"/>
  <c r="R56" i="14"/>
  <c r="U68" i="15"/>
  <c r="V61" i="15"/>
  <c r="Z65" i="14"/>
  <c r="AA58" i="14"/>
  <c r="U65" i="15"/>
  <c r="V58" i="15"/>
  <c r="X64" i="14"/>
  <c r="Y57" i="14"/>
  <c r="R63" i="14"/>
  <c r="R68" i="14"/>
  <c r="Y66" i="14"/>
  <c r="Z59" i="14"/>
  <c r="W67" i="15"/>
  <c r="X60" i="15"/>
  <c r="T62" i="14"/>
  <c r="P64" i="15"/>
  <c r="P70" i="15"/>
  <c r="V66" i="15"/>
  <c r="W59" i="15"/>
  <c r="P67" i="14"/>
  <c r="Q70" i="14"/>
  <c r="O69" i="15"/>
  <c r="D20" i="5"/>
  <c r="F20" i="5"/>
  <c r="Q57" i="15"/>
  <c r="P72" i="15"/>
  <c r="P69" i="15"/>
  <c r="V65" i="15"/>
  <c r="W58" i="15"/>
  <c r="AA65" i="14"/>
  <c r="AB58" i="14"/>
  <c r="Z66" i="14"/>
  <c r="AA59" i="14"/>
  <c r="Y64" i="14"/>
  <c r="Z57" i="14"/>
  <c r="W66" i="15"/>
  <c r="X59" i="15"/>
  <c r="U55" i="14"/>
  <c r="Q64" i="15"/>
  <c r="Q70" i="15"/>
  <c r="X67" i="15"/>
  <c r="Y60" i="15"/>
  <c r="V68" i="15"/>
  <c r="W61" i="15"/>
  <c r="R70" i="14"/>
  <c r="Q67" i="14"/>
  <c r="S56" i="14"/>
  <c r="D19" i="5"/>
  <c r="F19" i="5"/>
  <c r="Z64" i="14"/>
  <c r="AA57" i="14"/>
  <c r="AB65" i="14"/>
  <c r="AC58" i="14"/>
  <c r="W68" i="15"/>
  <c r="X61" i="15"/>
  <c r="R57" i="15"/>
  <c r="Y67" i="15"/>
  <c r="Z60" i="15"/>
  <c r="U62" i="14"/>
  <c r="X66" i="15"/>
  <c r="Y59" i="15"/>
  <c r="AA66" i="14"/>
  <c r="AB59" i="14"/>
  <c r="W65" i="15"/>
  <c r="X58" i="15"/>
  <c r="S63" i="14"/>
  <c r="S68" i="14"/>
  <c r="T56" i="14"/>
  <c r="R67" i="14"/>
  <c r="Q72" i="15"/>
  <c r="L64" i="1"/>
  <c r="M57" i="1"/>
  <c r="L63" i="1"/>
  <c r="M56" i="1"/>
  <c r="S70" i="14"/>
  <c r="X65" i="15"/>
  <c r="Y58" i="15"/>
  <c r="AB66" i="14"/>
  <c r="AC59" i="14"/>
  <c r="Z67" i="15"/>
  <c r="AA60" i="15"/>
  <c r="AC65" i="14"/>
  <c r="AD58" i="14"/>
  <c r="S67" i="14"/>
  <c r="Y66" i="15"/>
  <c r="Z59" i="15"/>
  <c r="R64" i="15"/>
  <c r="R70" i="15"/>
  <c r="T63" i="14"/>
  <c r="T68" i="14"/>
  <c r="V55" i="14"/>
  <c r="X68" i="15"/>
  <c r="Y61" i="15"/>
  <c r="AA64" i="14"/>
  <c r="AB57" i="14"/>
  <c r="Q69" i="15"/>
  <c r="M63" i="1"/>
  <c r="N56" i="1"/>
  <c r="N63" i="1"/>
  <c r="F5" i="1"/>
  <c r="G5" i="1"/>
  <c r="M64" i="1"/>
  <c r="N57" i="1"/>
  <c r="N64" i="1"/>
  <c r="F6" i="1"/>
  <c r="G6" i="1"/>
  <c r="L65" i="1"/>
  <c r="M58" i="1"/>
  <c r="M45" i="11"/>
  <c r="M52" i="11"/>
  <c r="R72" i="15"/>
  <c r="AC66" i="14"/>
  <c r="AD59" i="14"/>
  <c r="Z66" i="15"/>
  <c r="AA59" i="15"/>
  <c r="AD65" i="14"/>
  <c r="AE58" i="14"/>
  <c r="Y68" i="15"/>
  <c r="Z61" i="15"/>
  <c r="AB64" i="14"/>
  <c r="AC57" i="14"/>
  <c r="V62" i="14"/>
  <c r="W55" i="14"/>
  <c r="S57" i="15"/>
  <c r="AA67" i="15"/>
  <c r="AB60" i="15"/>
  <c r="Y65" i="15"/>
  <c r="Z58" i="15"/>
  <c r="R69" i="15"/>
  <c r="U56" i="14"/>
  <c r="T70" i="14"/>
  <c r="L66" i="1"/>
  <c r="M59" i="1"/>
  <c r="M65" i="1"/>
  <c r="N58" i="1"/>
  <c r="N65" i="1"/>
  <c r="F7" i="1"/>
  <c r="G7" i="1"/>
  <c r="M46" i="11"/>
  <c r="M53" i="11"/>
  <c r="M44" i="11"/>
  <c r="M51" i="11"/>
  <c r="AA66" i="15"/>
  <c r="AB59" i="15"/>
  <c r="Z65" i="15"/>
  <c r="AA58" i="15"/>
  <c r="W62" i="14"/>
  <c r="X55" i="14"/>
  <c r="Z68" i="15"/>
  <c r="AA61" i="15"/>
  <c r="AB67" i="15"/>
  <c r="AC60" i="15"/>
  <c r="U63" i="14"/>
  <c r="U68" i="14"/>
  <c r="AC64" i="14"/>
  <c r="AD57" i="14"/>
  <c r="AE65" i="14"/>
  <c r="AF58" i="14"/>
  <c r="AD66" i="14"/>
  <c r="AE59" i="14"/>
  <c r="T67" i="14"/>
  <c r="S64" i="15"/>
  <c r="T57" i="15"/>
  <c r="M66" i="1"/>
  <c r="N59" i="1"/>
  <c r="N66" i="1"/>
  <c r="F8" i="1"/>
  <c r="G8" i="1"/>
  <c r="N44" i="11"/>
  <c r="N45" i="11"/>
  <c r="N46" i="11"/>
  <c r="N53" i="11"/>
  <c r="M47" i="11"/>
  <c r="M54" i="11"/>
  <c r="AF65" i="14"/>
  <c r="AG58" i="14"/>
  <c r="AA65" i="15"/>
  <c r="AB58" i="15"/>
  <c r="AA68" i="15"/>
  <c r="AB61" i="15"/>
  <c r="AD64" i="14"/>
  <c r="AE57" i="14"/>
  <c r="AE66" i="14"/>
  <c r="AF59" i="14"/>
  <c r="S70" i="15"/>
  <c r="S72" i="15"/>
  <c r="AC67" i="15"/>
  <c r="AD60" i="15"/>
  <c r="X62" i="14"/>
  <c r="Y55" i="14"/>
  <c r="AB66" i="15"/>
  <c r="AC59" i="15"/>
  <c r="T64" i="15"/>
  <c r="T70" i="15"/>
  <c r="U70" i="14"/>
  <c r="V56" i="14"/>
  <c r="N52" i="11"/>
  <c r="E6" i="11"/>
  <c r="F6" i="11"/>
  <c r="N51" i="11"/>
  <c r="E5" i="11"/>
  <c r="F5" i="11"/>
  <c r="N47" i="11"/>
  <c r="E7" i="11"/>
  <c r="F7" i="11"/>
  <c r="U57" i="15"/>
  <c r="AF66" i="14"/>
  <c r="AG59" i="14"/>
  <c r="AB65" i="15"/>
  <c r="AC58" i="15"/>
  <c r="AC66" i="15"/>
  <c r="AD59" i="15"/>
  <c r="AE64" i="14"/>
  <c r="AF57" i="14"/>
  <c r="AG65" i="14"/>
  <c r="AH58" i="14"/>
  <c r="Y62" i="14"/>
  <c r="T72" i="15"/>
  <c r="S69" i="15"/>
  <c r="U64" i="15"/>
  <c r="U70" i="15"/>
  <c r="V63" i="14"/>
  <c r="V68" i="14"/>
  <c r="AD67" i="15"/>
  <c r="AE60" i="15"/>
  <c r="AB68" i="15"/>
  <c r="AC61" i="15"/>
  <c r="V70" i="14"/>
  <c r="U67" i="14"/>
  <c r="N54" i="11"/>
  <c r="E8" i="11"/>
  <c r="F8" i="11"/>
  <c r="AC65" i="15"/>
  <c r="AD58" i="15"/>
  <c r="AF64" i="14"/>
  <c r="AG57" i="14"/>
  <c r="AE67" i="15"/>
  <c r="AF60" i="15"/>
  <c r="V67" i="14"/>
  <c r="Z55" i="14"/>
  <c r="W56" i="14"/>
  <c r="AH65" i="14"/>
  <c r="AI58" i="14"/>
  <c r="AD66" i="15"/>
  <c r="AE59" i="15"/>
  <c r="AG66" i="14"/>
  <c r="AH59" i="14"/>
  <c r="AC68" i="15"/>
  <c r="AD61" i="15"/>
  <c r="V57" i="15"/>
  <c r="T69" i="15"/>
  <c r="U72" i="15"/>
  <c r="AH66" i="14"/>
  <c r="AI59" i="14"/>
  <c r="AG64" i="14"/>
  <c r="AH57" i="14"/>
  <c r="AI65" i="14"/>
  <c r="AJ58" i="14"/>
  <c r="V64" i="15"/>
  <c r="V70" i="15"/>
  <c r="AD68" i="15"/>
  <c r="AE61" i="15"/>
  <c r="W63" i="14"/>
  <c r="AE66" i="15"/>
  <c r="AF59" i="15"/>
  <c r="Z62" i="14"/>
  <c r="AF67" i="15"/>
  <c r="AG60" i="15"/>
  <c r="AD65" i="15"/>
  <c r="AE58" i="15"/>
  <c r="U69" i="15"/>
  <c r="W57" i="15"/>
  <c r="W64" i="15"/>
  <c r="W70" i="15"/>
  <c r="V72" i="15"/>
  <c r="V69" i="15"/>
  <c r="AH64" i="14"/>
  <c r="AI57" i="14"/>
  <c r="AE65" i="15"/>
  <c r="AF58" i="15"/>
  <c r="W68" i="14"/>
  <c r="W70" i="14"/>
  <c r="AF66" i="15"/>
  <c r="AG59" i="15"/>
  <c r="AJ65" i="14"/>
  <c r="AK58" i="14"/>
  <c r="AI66" i="14"/>
  <c r="AG67" i="15"/>
  <c r="AH60" i="15"/>
  <c r="AE68" i="15"/>
  <c r="AF61" i="15"/>
  <c r="AA55" i="14"/>
  <c r="X56" i="14"/>
  <c r="M43" i="11"/>
  <c r="M50" i="11"/>
  <c r="M58" i="11"/>
  <c r="W72" i="15"/>
  <c r="W69" i="15"/>
  <c r="AF65" i="15"/>
  <c r="AG58" i="15"/>
  <c r="AK65" i="14"/>
  <c r="AL58" i="14"/>
  <c r="AG66" i="15"/>
  <c r="AH59" i="15"/>
  <c r="W67" i="14"/>
  <c r="AJ59" i="14"/>
  <c r="AH67" i="15"/>
  <c r="AI60" i="15"/>
  <c r="AI64" i="14"/>
  <c r="AJ57" i="14"/>
  <c r="AF68" i="15"/>
  <c r="AG61" i="15"/>
  <c r="X63" i="14"/>
  <c r="X68" i="14"/>
  <c r="AA62" i="14"/>
  <c r="AB55" i="14"/>
  <c r="X57" i="15"/>
  <c r="M56" i="11"/>
  <c r="AH66" i="15"/>
  <c r="AI59" i="15"/>
  <c r="AG65" i="15"/>
  <c r="AH58" i="15"/>
  <c r="AL65" i="14"/>
  <c r="AM58" i="14"/>
  <c r="AI67" i="15"/>
  <c r="AJ60" i="15"/>
  <c r="AJ64" i="14"/>
  <c r="AK57" i="14"/>
  <c r="AB62" i="14"/>
  <c r="Y56" i="14"/>
  <c r="X64" i="15"/>
  <c r="AJ66" i="14"/>
  <c r="AK59" i="14"/>
  <c r="AG68" i="15"/>
  <c r="AH61" i="15"/>
  <c r="X70" i="14"/>
  <c r="N43" i="11"/>
  <c r="M55" i="11"/>
  <c r="AK64" i="14"/>
  <c r="AL57" i="14"/>
  <c r="AH65" i="15"/>
  <c r="AI58" i="15"/>
  <c r="AH68" i="15"/>
  <c r="AI61" i="15"/>
  <c r="X70" i="15"/>
  <c r="X72" i="15"/>
  <c r="AJ67" i="15"/>
  <c r="AK60" i="15"/>
  <c r="Y57" i="15"/>
  <c r="Y63" i="14"/>
  <c r="Y68" i="14"/>
  <c r="Z56" i="14"/>
  <c r="AM65" i="14"/>
  <c r="AN58" i="14"/>
  <c r="AI66" i="15"/>
  <c r="X67" i="14"/>
  <c r="Y70" i="14"/>
  <c r="AK66" i="14"/>
  <c r="AC55" i="14"/>
  <c r="N50" i="11"/>
  <c r="N58" i="11"/>
  <c r="AJ59" i="15"/>
  <c r="AJ66" i="15"/>
  <c r="AK59" i="15"/>
  <c r="AL59" i="14"/>
  <c r="AK67" i="15"/>
  <c r="AL60" i="15"/>
  <c r="AN65" i="14"/>
  <c r="AO58" i="14"/>
  <c r="AI65" i="15"/>
  <c r="AI68" i="15"/>
  <c r="AL64" i="14"/>
  <c r="AM57" i="14"/>
  <c r="Y64" i="15"/>
  <c r="Y70" i="15"/>
  <c r="AL66" i="14"/>
  <c r="AM59" i="14"/>
  <c r="Z63" i="14"/>
  <c r="Z68" i="14"/>
  <c r="X69" i="15"/>
  <c r="AC62" i="14"/>
  <c r="AD55" i="14"/>
  <c r="Y67" i="14"/>
  <c r="L62" i="1"/>
  <c r="N56" i="11"/>
  <c r="N55" i="11"/>
  <c r="E4" i="11"/>
  <c r="Y72" i="15"/>
  <c r="Z57" i="15"/>
  <c r="Z64" i="15"/>
  <c r="Z70" i="15"/>
  <c r="L68" i="1"/>
  <c r="L70" i="1"/>
  <c r="L67" i="1"/>
  <c r="M55" i="1"/>
  <c r="M62" i="1"/>
  <c r="M68" i="1"/>
  <c r="AJ58" i="15"/>
  <c r="AJ65" i="15"/>
  <c r="AK58" i="15"/>
  <c r="AM64" i="14"/>
  <c r="AO65" i="14"/>
  <c r="AP58" i="14"/>
  <c r="AD62" i="14"/>
  <c r="AE55" i="14"/>
  <c r="Y69" i="15"/>
  <c r="AK66" i="15"/>
  <c r="AL59" i="15"/>
  <c r="AM66" i="14"/>
  <c r="AN59" i="14"/>
  <c r="AJ61" i="15"/>
  <c r="AL67" i="15"/>
  <c r="Z70" i="14"/>
  <c r="AA56" i="14"/>
  <c r="E9" i="11"/>
  <c r="E10" i="11"/>
  <c r="F4" i="11"/>
  <c r="AM60" i="15"/>
  <c r="AN57" i="14"/>
  <c r="AN64" i="14"/>
  <c r="AO57" i="14"/>
  <c r="AA57" i="15"/>
  <c r="AA64" i="15"/>
  <c r="AA70" i="15"/>
  <c r="AP65" i="14"/>
  <c r="AQ58" i="14"/>
  <c r="AN66" i="14"/>
  <c r="AO59" i="14"/>
  <c r="AK65" i="15"/>
  <c r="AL58" i="15"/>
  <c r="AE62" i="14"/>
  <c r="AF55" i="14"/>
  <c r="AA63" i="14"/>
  <c r="AA68" i="14"/>
  <c r="AB56" i="14"/>
  <c r="AL66" i="15"/>
  <c r="AM59" i="15"/>
  <c r="AJ68" i="15"/>
  <c r="AK61" i="15"/>
  <c r="AA70" i="14"/>
  <c r="Z67" i="14"/>
  <c r="AM67" i="15"/>
  <c r="Z72" i="15"/>
  <c r="M70" i="1"/>
  <c r="N55" i="1"/>
  <c r="F9" i="11"/>
  <c r="AN60" i="15"/>
  <c r="AL65" i="15"/>
  <c r="AM58" i="15"/>
  <c r="AO66" i="14"/>
  <c r="AP59" i="14"/>
  <c r="AK68" i="15"/>
  <c r="AL61" i="15"/>
  <c r="AM66" i="15"/>
  <c r="Z69" i="15"/>
  <c r="AA72" i="15"/>
  <c r="AA67" i="14"/>
  <c r="AB57" i="15"/>
  <c r="AO64" i="14"/>
  <c r="AP57" i="14"/>
  <c r="AF62" i="14"/>
  <c r="AQ65" i="14"/>
  <c r="AR58" i="14"/>
  <c r="AN67" i="15"/>
  <c r="AO60" i="15"/>
  <c r="AB63" i="14"/>
  <c r="AB68" i="14"/>
  <c r="F4" i="1"/>
  <c r="F9" i="1"/>
  <c r="N70" i="1"/>
  <c r="N67" i="1"/>
  <c r="M67" i="1"/>
  <c r="AN59" i="15"/>
  <c r="AN66" i="15"/>
  <c r="AR65" i="14"/>
  <c r="AS58" i="14"/>
  <c r="AP66" i="14"/>
  <c r="AQ59" i="14"/>
  <c r="AP64" i="14"/>
  <c r="AQ57" i="14"/>
  <c r="AB70" i="14"/>
  <c r="AO67" i="15"/>
  <c r="AP60" i="15"/>
  <c r="AA69" i="15"/>
  <c r="AL68" i="15"/>
  <c r="AM65" i="15"/>
  <c r="AC56" i="14"/>
  <c r="AG55" i="14"/>
  <c r="AB64" i="15"/>
  <c r="AB70" i="15"/>
  <c r="F10" i="1"/>
  <c r="G4" i="1"/>
  <c r="AC57" i="15"/>
  <c r="AC64" i="15"/>
  <c r="AC70" i="15"/>
  <c r="AO59" i="15"/>
  <c r="AO66" i="15"/>
  <c r="AP59" i="15"/>
  <c r="AM61" i="15"/>
  <c r="AM68" i="15"/>
  <c r="AN58" i="15"/>
  <c r="AN65" i="15"/>
  <c r="AO58" i="15"/>
  <c r="AQ64" i="14"/>
  <c r="AR57" i="14"/>
  <c r="AS65" i="14"/>
  <c r="AT58" i="14"/>
  <c r="AG62" i="14"/>
  <c r="AC63" i="14"/>
  <c r="AC68" i="14"/>
  <c r="AP67" i="15"/>
  <c r="AQ60" i="15"/>
  <c r="AQ66" i="14"/>
  <c r="AR59" i="14"/>
  <c r="AB72" i="15"/>
  <c r="AB67" i="14"/>
  <c r="AC70" i="14"/>
  <c r="G9" i="1"/>
  <c r="AN61" i="15"/>
  <c r="AN68" i="15"/>
  <c r="AO61" i="15"/>
  <c r="AR66" i="14"/>
  <c r="AS59" i="14"/>
  <c r="AO65" i="15"/>
  <c r="AP58" i="15"/>
  <c r="AP66" i="15"/>
  <c r="AQ59" i="15"/>
  <c r="AT65" i="14"/>
  <c r="AU58" i="14"/>
  <c r="AD57" i="15"/>
  <c r="AD56" i="14"/>
  <c r="AQ67" i="15"/>
  <c r="AR60" i="15"/>
  <c r="AR64" i="14"/>
  <c r="AS57" i="14"/>
  <c r="AC67" i="14"/>
  <c r="AB69" i="15"/>
  <c r="AC72" i="15"/>
  <c r="AH55" i="14"/>
  <c r="AU65" i="14"/>
  <c r="AV58" i="14"/>
  <c r="AV65" i="14"/>
  <c r="AW58" i="14"/>
  <c r="AW65" i="14"/>
  <c r="AX58" i="14"/>
  <c r="AX65" i="14"/>
  <c r="AO68" i="15"/>
  <c r="AP65" i="15"/>
  <c r="AQ58" i="15"/>
  <c r="AR67" i="15"/>
  <c r="AS60" i="15"/>
  <c r="AS64" i="14"/>
  <c r="AT57" i="14"/>
  <c r="AD63" i="14"/>
  <c r="AQ66" i="15"/>
  <c r="AR59" i="15"/>
  <c r="AS66" i="14"/>
  <c r="AT59" i="14"/>
  <c r="AH62" i="14"/>
  <c r="AI55" i="14"/>
  <c r="AC69" i="15"/>
  <c r="AD64" i="15"/>
  <c r="AD70" i="15"/>
  <c r="AE57" i="15"/>
  <c r="AE64" i="15"/>
  <c r="AE70" i="15"/>
  <c r="F7" i="14"/>
  <c r="G7" i="14"/>
  <c r="C29" i="5"/>
  <c r="AP61" i="15"/>
  <c r="AP68" i="15"/>
  <c r="AQ61" i="15"/>
  <c r="AT64" i="14"/>
  <c r="AU57" i="14"/>
  <c r="AQ65" i="15"/>
  <c r="AR58" i="15"/>
  <c r="AR66" i="15"/>
  <c r="AS59" i="15"/>
  <c r="AT66" i="14"/>
  <c r="AU59" i="14"/>
  <c r="AD68" i="14"/>
  <c r="AD70" i="14"/>
  <c r="AS67" i="15"/>
  <c r="AT60" i="15"/>
  <c r="AI62" i="14"/>
  <c r="AJ55" i="14"/>
  <c r="AD72" i="15"/>
  <c r="AE56" i="14"/>
  <c r="J7" i="5"/>
  <c r="M7" i="5"/>
  <c r="D18" i="13"/>
  <c r="D29" i="13"/>
  <c r="AU66" i="14"/>
  <c r="AV59" i="14"/>
  <c r="AV66" i="14"/>
  <c r="AW59" i="14"/>
  <c r="AW66" i="14"/>
  <c r="AX59" i="14"/>
  <c r="AX66" i="14"/>
  <c r="AU64" i="14"/>
  <c r="AV57" i="14"/>
  <c r="AV64" i="14"/>
  <c r="AW57" i="14"/>
  <c r="AW64" i="14"/>
  <c r="AX57" i="14"/>
  <c r="AX64" i="14"/>
  <c r="AF57" i="15"/>
  <c r="AF64" i="15"/>
  <c r="AF70" i="15"/>
  <c r="AR65" i="15"/>
  <c r="AS58" i="15"/>
  <c r="AQ68" i="15"/>
  <c r="AR61" i="15"/>
  <c r="AJ62" i="14"/>
  <c r="AS66" i="15"/>
  <c r="AT59" i="15"/>
  <c r="AT67" i="15"/>
  <c r="AU60" i="15"/>
  <c r="AU67" i="15"/>
  <c r="AE63" i="14"/>
  <c r="AE68" i="14"/>
  <c r="AD69" i="15"/>
  <c r="AE72" i="15"/>
  <c r="AE70" i="14"/>
  <c r="AD67" i="14"/>
  <c r="AV60" i="15"/>
  <c r="AV67" i="15"/>
  <c r="AW60" i="15"/>
  <c r="AW67" i="15"/>
  <c r="AX60" i="15"/>
  <c r="AX67" i="15"/>
  <c r="AF56" i="14"/>
  <c r="F6" i="14"/>
  <c r="G6" i="14"/>
  <c r="C28" i="5"/>
  <c r="F8" i="14"/>
  <c r="G8" i="14"/>
  <c r="C30" i="5"/>
  <c r="AR68" i="15"/>
  <c r="AS61" i="15"/>
  <c r="AE67" i="14"/>
  <c r="AF63" i="14"/>
  <c r="AF68" i="14"/>
  <c r="AT66" i="15"/>
  <c r="AU59" i="15"/>
  <c r="AU66" i="15"/>
  <c r="AF72" i="15"/>
  <c r="AE69" i="15"/>
  <c r="AG57" i="15"/>
  <c r="AS65" i="15"/>
  <c r="AT58" i="15"/>
  <c r="AK55" i="14"/>
  <c r="AV59" i="15"/>
  <c r="AV66" i="15"/>
  <c r="AW59" i="15"/>
  <c r="AW66" i="15"/>
  <c r="AX59" i="15"/>
  <c r="AX66" i="15"/>
  <c r="F7" i="15"/>
  <c r="G7" i="15"/>
  <c r="D29" i="5"/>
  <c r="J6" i="5"/>
  <c r="M6" i="5"/>
  <c r="D17" i="13"/>
  <c r="D28" i="13"/>
  <c r="J8" i="5"/>
  <c r="M8" i="5"/>
  <c r="D19" i="13"/>
  <c r="D30" i="13"/>
  <c r="AT65" i="15"/>
  <c r="AU58" i="15"/>
  <c r="AU65" i="15"/>
  <c r="AG56" i="14"/>
  <c r="AF70" i="14"/>
  <c r="AS68" i="15"/>
  <c r="AT61" i="15"/>
  <c r="AF69" i="15"/>
  <c r="AK62" i="14"/>
  <c r="AG64" i="15"/>
  <c r="AG70" i="15"/>
  <c r="F29" i="5"/>
  <c r="D7" i="5"/>
  <c r="K7" i="5"/>
  <c r="N7" i="5"/>
  <c r="E18" i="13"/>
  <c r="E29" i="13"/>
  <c r="H29" i="13"/>
  <c r="AV58" i="15"/>
  <c r="AV65" i="15"/>
  <c r="AW58" i="15"/>
  <c r="AW65" i="15"/>
  <c r="AX58" i="15"/>
  <c r="AX65" i="15"/>
  <c r="F6" i="15"/>
  <c r="G6" i="15"/>
  <c r="D28" i="5"/>
  <c r="AH57" i="15"/>
  <c r="AH64" i="15"/>
  <c r="AH70" i="15"/>
  <c r="AF67" i="14"/>
  <c r="AT68" i="15"/>
  <c r="AU61" i="15"/>
  <c r="AU68" i="15"/>
  <c r="AG63" i="14"/>
  <c r="AG68" i="14"/>
  <c r="AH56" i="14"/>
  <c r="AL55" i="14"/>
  <c r="AG72" i="15"/>
  <c r="F5" i="15"/>
  <c r="G5" i="15"/>
  <c r="D27" i="5"/>
  <c r="K5" i="5"/>
  <c r="N5" i="5"/>
  <c r="O7" i="5"/>
  <c r="AV61" i="15"/>
  <c r="AV68" i="15"/>
  <c r="AW61" i="15"/>
  <c r="AW68" i="15"/>
  <c r="AX61" i="15"/>
  <c r="AX68" i="15"/>
  <c r="K6" i="5"/>
  <c r="N6" i="5"/>
  <c r="E17" i="13"/>
  <c r="E28" i="13"/>
  <c r="H28" i="13"/>
  <c r="F28" i="5"/>
  <c r="D6" i="5"/>
  <c r="H7" i="5"/>
  <c r="L7" i="5"/>
  <c r="AH63" i="14"/>
  <c r="AH68" i="14"/>
  <c r="AI57" i="15"/>
  <c r="AH72" i="15"/>
  <c r="AG69" i="15"/>
  <c r="AG70" i="14"/>
  <c r="AL62" i="14"/>
  <c r="D5" i="5"/>
  <c r="O6" i="5"/>
  <c r="H6" i="5"/>
  <c r="L6" i="5"/>
  <c r="F8" i="15"/>
  <c r="G8" i="15"/>
  <c r="D30" i="5"/>
  <c r="E16" i="13"/>
  <c r="E27" i="13"/>
  <c r="AM55" i="14"/>
  <c r="AM62" i="14"/>
  <c r="AH69" i="15"/>
  <c r="AI64" i="15"/>
  <c r="AI70" i="15"/>
  <c r="AH70" i="14"/>
  <c r="AG67" i="14"/>
  <c r="AI56" i="14"/>
  <c r="F30" i="5"/>
  <c r="D8" i="5"/>
  <c r="K8" i="5"/>
  <c r="N8" i="5"/>
  <c r="O8" i="5"/>
  <c r="AN55" i="14"/>
  <c r="AN62" i="14"/>
  <c r="AH67" i="14"/>
  <c r="AJ57" i="15"/>
  <c r="AI63" i="14"/>
  <c r="AI68" i="14"/>
  <c r="AI72" i="15"/>
  <c r="E19" i="13"/>
  <c r="E30" i="13"/>
  <c r="H30" i="13"/>
  <c r="H8" i="5"/>
  <c r="L8" i="5"/>
  <c r="AJ64" i="15"/>
  <c r="AJ70" i="15"/>
  <c r="AJ56" i="14"/>
  <c r="AI69" i="15"/>
  <c r="AO55" i="14"/>
  <c r="AI70" i="14"/>
  <c r="AJ72" i="15"/>
  <c r="AK57" i="15"/>
  <c r="AK64" i="15"/>
  <c r="AK70" i="15"/>
  <c r="AJ69" i="15"/>
  <c r="AJ63" i="14"/>
  <c r="AJ68" i="14"/>
  <c r="AO62" i="14"/>
  <c r="AI67" i="14"/>
  <c r="AK56" i="14"/>
  <c r="AJ70" i="14"/>
  <c r="AJ67" i="14"/>
  <c r="AL57" i="15"/>
  <c r="AL64" i="15"/>
  <c r="AL70" i="15"/>
  <c r="AP55" i="14"/>
  <c r="AK63" i="14"/>
  <c r="AK72" i="15"/>
  <c r="AK70" i="14"/>
  <c r="AL56" i="14"/>
  <c r="AL63" i="14"/>
  <c r="AL70" i="14"/>
  <c r="AK68" i="14"/>
  <c r="AP62" i="14"/>
  <c r="AK67" i="14"/>
  <c r="AL72" i="15"/>
  <c r="AK69" i="15"/>
  <c r="AM57" i="15"/>
  <c r="AM56" i="14"/>
  <c r="AL68" i="14"/>
  <c r="AQ55" i="14"/>
  <c r="AQ62" i="14"/>
  <c r="AM63" i="14"/>
  <c r="AM68" i="14"/>
  <c r="AM64" i="15"/>
  <c r="AM70" i="14"/>
  <c r="AL67" i="14"/>
  <c r="AL69" i="15"/>
  <c r="AN56" i="14"/>
  <c r="AM70" i="15"/>
  <c r="AM72" i="15"/>
  <c r="AM69" i="15"/>
  <c r="AN57" i="15"/>
  <c r="AN64" i="15"/>
  <c r="AR55" i="14"/>
  <c r="AN63" i="14"/>
  <c r="AN70" i="14"/>
  <c r="AM67" i="14"/>
  <c r="AN70" i="15"/>
  <c r="AO56" i="14"/>
  <c r="AO63" i="14"/>
  <c r="AO70" i="14"/>
  <c r="AN68" i="14"/>
  <c r="AO57" i="15"/>
  <c r="AO64" i="15"/>
  <c r="AO70" i="15"/>
  <c r="AN67" i="14"/>
  <c r="AR62" i="14"/>
  <c r="AN72" i="15"/>
  <c r="AP57" i="15"/>
  <c r="AP64" i="15"/>
  <c r="AP70" i="15"/>
  <c r="AP56" i="14"/>
  <c r="AP63" i="14"/>
  <c r="AO68" i="14"/>
  <c r="AO67" i="14"/>
  <c r="AS55" i="14"/>
  <c r="AN69" i="15"/>
  <c r="AO72" i="15"/>
  <c r="AQ56" i="14"/>
  <c r="AP68" i="14"/>
  <c r="AP70" i="14"/>
  <c r="AQ63" i="14"/>
  <c r="AQ57" i="15"/>
  <c r="AP72" i="15"/>
  <c r="AO69" i="15"/>
  <c r="AS62" i="14"/>
  <c r="AQ70" i="14"/>
  <c r="AQ68" i="14"/>
  <c r="AP67" i="14"/>
  <c r="AR56" i="14"/>
  <c r="AT55" i="14"/>
  <c r="AT62" i="14"/>
  <c r="AP69" i="15"/>
  <c r="AQ64" i="15"/>
  <c r="AR63" i="14"/>
  <c r="AR70" i="14"/>
  <c r="AQ67" i="14"/>
  <c r="AQ70" i="15"/>
  <c r="AS56" i="14"/>
  <c r="AR68" i="14"/>
  <c r="AU55" i="14"/>
  <c r="AR57" i="15"/>
  <c r="AR67" i="14"/>
  <c r="AS63" i="14"/>
  <c r="AS70" i="14"/>
  <c r="AQ72" i="15"/>
  <c r="AU62" i="14"/>
  <c r="AT56" i="14"/>
  <c r="AT63" i="14"/>
  <c r="AS68" i="14"/>
  <c r="AS67" i="14"/>
  <c r="AQ69" i="15"/>
  <c r="AR64" i="15"/>
  <c r="AR70" i="15"/>
  <c r="AU56" i="14"/>
  <c r="AT68" i="14"/>
  <c r="AT70" i="14"/>
  <c r="AT67" i="14"/>
  <c r="AS57" i="15"/>
  <c r="AR72" i="15"/>
  <c r="AU63" i="14"/>
  <c r="AU68" i="14"/>
  <c r="AU70" i="14"/>
  <c r="AU67" i="14"/>
  <c r="AR69" i="15"/>
  <c r="AS64" i="15"/>
  <c r="AS70" i="15"/>
  <c r="AV56" i="14"/>
  <c r="AV63" i="14"/>
  <c r="J4" i="5"/>
  <c r="M4" i="5"/>
  <c r="D15" i="13"/>
  <c r="D26" i="13"/>
  <c r="AV70" i="14"/>
  <c r="AV67" i="14"/>
  <c r="AT57" i="15"/>
  <c r="AS72" i="15"/>
  <c r="AW56" i="14"/>
  <c r="AW63" i="14"/>
  <c r="AX56" i="14"/>
  <c r="AX63" i="14"/>
  <c r="AX68" i="14"/>
  <c r="AV68" i="14"/>
  <c r="AT64" i="15"/>
  <c r="AU57" i="15"/>
  <c r="AU64" i="15"/>
  <c r="AU70" i="15"/>
  <c r="AW68" i="14"/>
  <c r="AS69" i="15"/>
  <c r="AW70" i="14"/>
  <c r="AW67" i="14"/>
  <c r="F5" i="14"/>
  <c r="G5" i="14"/>
  <c r="AT70" i="15"/>
  <c r="AT72" i="15"/>
  <c r="AU72" i="15"/>
  <c r="AU69" i="15"/>
  <c r="F9" i="14"/>
  <c r="F10" i="14"/>
  <c r="AX70" i="14"/>
  <c r="AX67" i="14"/>
  <c r="G9" i="14"/>
  <c r="C27" i="5"/>
  <c r="AT69" i="15"/>
  <c r="J5" i="5"/>
  <c r="M5" i="5"/>
  <c r="F27" i="5"/>
  <c r="AV70" i="15"/>
  <c r="AV72" i="15"/>
  <c r="AV69" i="15"/>
  <c r="D16" i="13"/>
  <c r="D27" i="13"/>
  <c r="H27" i="13"/>
  <c r="O5" i="5"/>
  <c r="H5" i="5"/>
  <c r="L5" i="5"/>
  <c r="AX70" i="15"/>
  <c r="AW70" i="15"/>
  <c r="AW72" i="15"/>
  <c r="AW69" i="15"/>
  <c r="AX72" i="15"/>
  <c r="AX69" i="15"/>
  <c r="F9" i="15"/>
  <c r="F10" i="15"/>
  <c r="G9" i="15"/>
  <c r="K4" i="5"/>
  <c r="N4" i="5"/>
  <c r="H4" i="5"/>
  <c r="L4" i="5"/>
  <c r="O4" i="5"/>
  <c r="E15" i="13"/>
  <c r="E26" i="13"/>
  <c r="H26" i="13"/>
</calcChain>
</file>

<file path=xl/comments1.xml><?xml version="1.0" encoding="utf-8"?>
<comments xmlns="http://schemas.openxmlformats.org/spreadsheetml/2006/main">
  <authors>
    <author>Logan, Raysene</author>
  </authors>
  <commentList>
    <comment ref="AV39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see PCR.2 tab in support file for % calculation, for low income exemption 
(RES only)</t>
        </r>
      </text>
    </comment>
  </commentList>
</comments>
</file>

<file path=xl/comments2.xml><?xml version="1.0" encoding="utf-8"?>
<comments xmlns="http://schemas.openxmlformats.org/spreadsheetml/2006/main">
  <authors>
    <author>Logan, Raysene</author>
  </authors>
  <commentList>
    <comment ref="AV22" authorId="0">
      <text>
        <r>
          <rPr>
            <b/>
            <sz val="9"/>
            <color indexed="81"/>
            <rFont val="Tahoma"/>
            <family val="2"/>
          </rPr>
          <t>Logan, Raysene:</t>
        </r>
        <r>
          <rPr>
            <sz val="9"/>
            <color indexed="81"/>
            <rFont val="Tahoma"/>
            <family val="2"/>
          </rPr>
          <t xml:space="preserve">
see PCR.2 tab in support file for % calculation, for low income exemption 
(RES only)</t>
        </r>
      </text>
    </comment>
  </commentList>
</comments>
</file>

<file path=xl/sharedStrings.xml><?xml version="1.0" encoding="utf-8"?>
<sst xmlns="http://schemas.openxmlformats.org/spreadsheetml/2006/main" count="502" uniqueCount="147">
  <si>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</si>
  <si>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</si>
  <si>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</si>
  <si>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</si>
  <si>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</si>
  <si>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</si>
  <si>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</si>
  <si>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</si>
  <si>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Allocations</t>
  </si>
  <si>
    <t>Total</t>
  </si>
  <si>
    <t>PPC</t>
  </si>
  <si>
    <t>Program Cost Calculation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</si>
  <si>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</si>
  <si>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</si>
  <si>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</si>
  <si>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</si>
  <si>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</si>
  <si>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</si>
  <si>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</si>
  <si>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</si>
  <si>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</si>
  <si>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</si>
  <si>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</si>
  <si>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</si>
  <si>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</si>
  <si>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</si>
  <si>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CHECK</t>
  </si>
  <si>
    <t>INPUTS</t>
  </si>
  <si>
    <t>2. Forecasted program costs by allocation bucket (RES, BUS, Low Income, Common/General)</t>
  </si>
  <si>
    <t>For CSS</t>
  </si>
  <si>
    <t>Program Cost Rate</t>
  </si>
  <si>
    <t>Effective Period kWh</t>
  </si>
  <si>
    <t>1. RES</t>
  </si>
  <si>
    <t>RA ($)</t>
  </si>
  <si>
    <t>NPC</t>
  </si>
  <si>
    <t>NTD</t>
  </si>
  <si>
    <t>NOA</t>
  </si>
  <si>
    <t>Forecasted Program Costs</t>
  </si>
  <si>
    <t>RES excluding low income</t>
  </si>
  <si>
    <t>2. Total</t>
  </si>
  <si>
    <t>3. Low income exemption</t>
  </si>
  <si>
    <t>3. Low income exemption %</t>
  </si>
  <si>
    <t>Rounded</t>
  </si>
  <si>
    <t>EOR ($)</t>
  </si>
  <si>
    <t>EO ($)</t>
  </si>
  <si>
    <t>NEO</t>
  </si>
  <si>
    <t>TD Rate</t>
  </si>
  <si>
    <t>1. Forecasted kWh by Rate Class (Reduced for Opt-Out, Includes Low Income)</t>
  </si>
  <si>
    <t>NPC/PE</t>
  </si>
  <si>
    <t>($/kWh)</t>
  </si>
  <si>
    <t>NTD/PE</t>
  </si>
  <si>
    <t>NPI/PE</t>
  </si>
  <si>
    <t>NOA/PE</t>
  </si>
  <si>
    <t>1(M)-Residential Service</t>
  </si>
  <si>
    <t>2(M)-Small General Service</t>
  </si>
  <si>
    <t>3(M)-Large General Service</t>
  </si>
  <si>
    <t>4(M)-Small Primary Service</t>
  </si>
  <si>
    <t>11(M)-Large Primary Service</t>
  </si>
  <si>
    <t>12(M)-Large Transmission Service</t>
  </si>
  <si>
    <t>MEEIA 2013-15 EEIR Components (Applicable to MEEIA Cycle 1 Plan)</t>
  </si>
  <si>
    <t>MEEIA 2016-18 EEIR Components (Applicable to MEEIA Cycle 2 Plan)</t>
  </si>
  <si>
    <t>(NEO+NPI)</t>
  </si>
  <si>
    <t>EEIR</t>
  </si>
  <si>
    <t>Summary EEIR Components and Total EEIR</t>
  </si>
  <si>
    <t>Throughput Disincentive Calculation</t>
  </si>
  <si>
    <t>1. TD to be included in rates (includes low income)</t>
  </si>
  <si>
    <t>1. PTD</t>
  </si>
  <si>
    <t>NEO/PE</t>
  </si>
  <si>
    <t>Revenues</t>
  </si>
  <si>
    <t>Interest</t>
  </si>
  <si>
    <t>TDR</t>
  </si>
  <si>
    <t>FORECASTED</t>
  </si>
  <si>
    <t>SOURCE: GL</t>
  </si>
  <si>
    <t>Over/Under</t>
  </si>
  <si>
    <t>Cumulative Over/Under</t>
  </si>
  <si>
    <t>cumulative check</t>
  </si>
  <si>
    <t>monthly interest check</t>
  </si>
  <si>
    <t>Regulatory Asset/(Liability)</t>
  </si>
  <si>
    <t>Starting Balance</t>
  </si>
  <si>
    <t>1. Actual TD</t>
  </si>
  <si>
    <t>2. Actual Revenues - TD</t>
  </si>
  <si>
    <t>Actual TD</t>
  </si>
  <si>
    <t>Program Cost Reconciliation Calculation</t>
  </si>
  <si>
    <t>Billed kWh</t>
  </si>
  <si>
    <t>PCR</t>
  </si>
  <si>
    <t>1. Actual monthly program costs by allocation bucket (RES, BUS, Low Income, Common/General)</t>
  </si>
  <si>
    <t>3. Actual monthly billed revenues by rate class (program cost revenues only)</t>
  </si>
  <si>
    <t>4. Total monthly interest booked</t>
  </si>
  <si>
    <t>5. Actual program cost rate component of the tariff rate</t>
  </si>
  <si>
    <t>1. Actual Program Costs</t>
  </si>
  <si>
    <t>Allocated Actual Program Costs</t>
  </si>
  <si>
    <t>2. Actual KWh - Reduced for Opt-Out</t>
  </si>
  <si>
    <t>SOURCE: CSS DATA WAREHOUSE</t>
  </si>
  <si>
    <t>3. Actual Revenues - Program Costs Only</t>
  </si>
  <si>
    <t>5. Current Tariff Rate</t>
  </si>
  <si>
    <t>4. Total Interest</t>
  </si>
  <si>
    <t>3. Current Tariff Rate</t>
  </si>
  <si>
    <t>SOURCE: MEEIA 2 Over/Under Calculation file</t>
  </si>
  <si>
    <t>1. Actual monthly TD</t>
  </si>
  <si>
    <t>(Over)/Under</t>
  </si>
  <si>
    <t>Cumulative MWh Savings (deemed)</t>
  </si>
  <si>
    <t>Allocated TD-NSB</t>
  </si>
  <si>
    <t>1. Actual monthly TD-NSB</t>
  </si>
  <si>
    <t>2. Actual monthly billed revenues by rate class TD-NSB revenues only)</t>
  </si>
  <si>
    <t>3. Deemed MWh savings by rate class</t>
  </si>
  <si>
    <t>4. Actual TD-NSB rate component of the tariff rate</t>
  </si>
  <si>
    <t>5. Total monthly interest booked</t>
  </si>
  <si>
    <t>SOURCE: NSB Monthly Calculation file</t>
  </si>
  <si>
    <t>1. Actual TD-NSB</t>
  </si>
  <si>
    <t>2. Actual Revenues - TD-NSB Only</t>
  </si>
  <si>
    <t>4. Current Tariff Rate</t>
  </si>
  <si>
    <t>3. Deemed Savings</t>
  </si>
  <si>
    <t>SOURCE: Energy Efficiency Team</t>
  </si>
  <si>
    <t>MWh (3-Year Cum.)</t>
  </si>
  <si>
    <t>5. Total Interest</t>
  </si>
  <si>
    <t>PCR (M1)</t>
  </si>
  <si>
    <t>TDR (M1)</t>
  </si>
  <si>
    <t>Projections for 2017 EEIC</t>
  </si>
  <si>
    <t>Performance Incentive Calculation</t>
  </si>
  <si>
    <t>1. PI</t>
  </si>
  <si>
    <t>Nov 2016 filing</t>
  </si>
  <si>
    <t>Nov 2017 filing</t>
  </si>
  <si>
    <t>PI</t>
  </si>
  <si>
    <t>PIR ($)</t>
  </si>
  <si>
    <t>PI ($)</t>
  </si>
  <si>
    <t>NPI</t>
  </si>
  <si>
    <t>PI Rate</t>
  </si>
  <si>
    <t>1. Total PI awarded &amp; split between 2016 and 2017 filings</t>
  </si>
  <si>
    <t>2. Cumulative 3-yr MWh savings</t>
  </si>
  <si>
    <t>2. MWh savings</t>
  </si>
  <si>
    <t>PI Totals</t>
  </si>
  <si>
    <t>2. Actual monthly kWh billed sales by rate class (reduced for opt-out)</t>
  </si>
  <si>
    <t>1F. Forecasted program costs by allocation bucket (RES, BUS, Low Income, Common/General)</t>
  </si>
  <si>
    <t>2F. Forecasted kWh billed sales by rate class (reduced for opt-out)</t>
  </si>
  <si>
    <t>4F. Forecasted interest for accrued over/under</t>
  </si>
  <si>
    <t>Program Costs</t>
  </si>
  <si>
    <t>1F. Forecasted TD</t>
  </si>
  <si>
    <t>2. Actual monthly billed revenues by rate class (TD revenues only)</t>
  </si>
  <si>
    <t>3. Actual TD rate component of the tariff rate</t>
  </si>
  <si>
    <t>Program Cost Reconciliation Calculation - MEEIA 1</t>
  </si>
  <si>
    <t>TD-NSB Reconciliation Calculation - MEEIA 1</t>
  </si>
  <si>
    <t>TD Reconciliation Calculation</t>
  </si>
  <si>
    <t>3. SGS</t>
  </si>
  <si>
    <t>3. Business MWh savings split by rate class</t>
  </si>
  <si>
    <t>1F. Forecasted TD-NSB</t>
  </si>
  <si>
    <t>3F. Forecasted MWh savings by rate class</t>
  </si>
  <si>
    <t>Total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</si>
</sst>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0.000%"/>
    <numFmt numFmtId="171" formatCode="_(&quot;$&quot;* #,##0.000000_);_(&quot;$&quot;* \(#,##0.000000\);_(&quot;$&quot;* &quot;-&quot;??_);_(@_)"/>
    <numFmt numFmtId="172" formatCode="&quot;$&quot;#,##0.000000_);[Red]\(&quot;$&quot;#,##0.000000\)"/>
    <numFmt numFmtId="173" formatCode="_(&quot;$&quot;* #,##0.000_);_(&quot;$&quot;* \(#,##0.000\);_(&quot;$&quot;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ourier New"/>
      <family val="3"/>
    </font>
    <font>
      <b/>
      <sz val="9"/>
      <color rgb="FF000000"/>
      <name val="Courier New"/>
      <family val="3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u/>
      <sz val="9"/>
      <color theme="1"/>
      <name val="Courier New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5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medium">
        <color auto="1"/>
      </right>
      <top/>
      <bottom style="medium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medium">
        <color auto="1"/>
      </left>
      <right/>
      <top/>
      <bottom style="thin">
        <color rgb="FF7F7F7F"/>
      </bottom>
      <diagonal/>
    </border>
    <border>
      <left/>
      <right style="medium">
        <color auto="1"/>
      </right>
      <top/>
      <bottom style="thin">
        <color rgb="FF7F7F7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/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/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5" applyNumberFormat="0" applyAlignment="0" applyProtection="0"/>
    <xf numFmtId="0" fontId="14" fillId="8" borderId="1" applyNumberFormat="0" applyAlignment="0" applyProtection="0"/>
    <xf numFmtId="0" fontId="1" fillId="9" borderId="16" applyNumberFormat="0" applyFont="0" applyAlignment="0" applyProtection="0"/>
    <xf numFmtId="0" fontId="15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5" applyNumberFormat="0" applyFill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28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300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7" xfId="0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3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9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5" xfId="12" applyNumberFormat="1"/>
    <xf numFmtId="165" fontId="5" fillId="5" borderId="14" xfId="6" applyNumberFormat="1" applyBorder="1" applyAlignment="1">
      <alignment horizontal="center"/>
    </xf>
    <xf numFmtId="0" fontId="0" fillId="0" borderId="0" xfId="0" quotePrefix="1"/>
    <xf numFmtId="10" fontId="1" fillId="9" borderId="16" xfId="14" applyNumberFormat="1" applyFont="1" applyBorder="1" applyAlignment="1">
      <alignment horizontal="center"/>
    </xf>
    <xf numFmtId="165" fontId="5" fillId="5" borderId="1" xfId="11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0" fontId="0" fillId="0" borderId="0" xfId="0" applyFill="1"/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3" fontId="0" fillId="0" borderId="0" xfId="0" applyNumberFormat="1"/>
    <xf numFmtId="172" fontId="10" fillId="7" borderId="6" xfId="0" applyNumberFormat="1" applyFont="1" applyFill="1" applyBorder="1" applyAlignment="1">
      <alignment vertical="center" wrapText="1"/>
    </xf>
    <xf numFmtId="0" fontId="0" fillId="0" borderId="0" xfId="0"/>
    <xf numFmtId="166" fontId="0" fillId="0" borderId="0" xfId="0" applyNumberFormat="1"/>
    <xf numFmtId="8" fontId="0" fillId="0" borderId="0" xfId="0" applyNumberFormat="1"/>
    <xf numFmtId="0" fontId="8" fillId="0" borderId="0" xfId="0" applyFont="1" applyFill="1"/>
    <xf numFmtId="44" fontId="0" fillId="0" borderId="0" xfId="11" applyFont="1"/>
    <xf numFmtId="0" fontId="8" fillId="0" borderId="0" xfId="0" applyFont="1" applyFill="1" applyAlignment="1">
      <alignment horizontal="right"/>
    </xf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3" fontId="10" fillId="0" borderId="6" xfId="0" applyNumberFormat="1" applyFont="1" applyFill="1" applyBorder="1" applyAlignment="1">
      <alignment vertical="center" wrapText="1"/>
    </xf>
    <xf numFmtId="10" fontId="5" fillId="5" borderId="1" xfId="2" applyNumberFormat="1" applyFont="1" applyFill="1" applyBorder="1"/>
    <xf numFmtId="173" fontId="0" fillId="0" borderId="0" xfId="11" applyNumberFormat="1" applyFont="1"/>
    <xf numFmtId="173" fontId="0" fillId="0" borderId="0" xfId="0" applyNumberFormat="1"/>
    <xf numFmtId="168" fontId="0" fillId="0" borderId="0" xfId="2" applyNumberFormat="1" applyFont="1"/>
    <xf numFmtId="0" fontId="10" fillId="0" borderId="0" xfId="0" applyFont="1" applyFill="1" applyBorder="1" applyAlignment="1">
      <alignment vertical="center" wrapText="1"/>
    </xf>
    <xf numFmtId="172" fontId="0" fillId="0" borderId="0" xfId="0" applyNumberFormat="1"/>
    <xf numFmtId="165" fontId="5" fillId="5" borderId="19" xfId="6" applyNumberFormat="1" applyBorder="1" applyAlignment="1">
      <alignment horizontal="center"/>
    </xf>
    <xf numFmtId="165" fontId="6" fillId="6" borderId="2" xfId="1" applyNumberFormat="1" applyFont="1" applyFill="1" applyBorder="1"/>
    <xf numFmtId="172" fontId="10" fillId="7" borderId="3" xfId="0" applyNumberFormat="1" applyFont="1" applyFill="1" applyBorder="1" applyAlignment="1">
      <alignment vertical="center" wrapText="1"/>
    </xf>
    <xf numFmtId="43" fontId="0" fillId="0" borderId="0" xfId="0" applyNumberFormat="1"/>
    <xf numFmtId="172" fontId="10" fillId="7" borderId="5" xfId="0" applyNumberFormat="1" applyFont="1" applyFill="1" applyBorder="1" applyAlignment="1">
      <alignment vertical="center" wrapText="1"/>
    </xf>
    <xf numFmtId="172" fontId="10" fillId="7" borderId="4" xfId="0" applyNumberFormat="1" applyFont="1" applyFill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right"/>
    </xf>
    <xf numFmtId="172" fontId="10" fillId="7" borderId="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1" fillId="0" borderId="8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172" fontId="33" fillId="0" borderId="6" xfId="0" applyNumberFormat="1" applyFont="1" applyBorder="1" applyAlignment="1">
      <alignment horizontal="center" vertical="center" wrapText="1"/>
    </xf>
    <xf numFmtId="172" fontId="31" fillId="0" borderId="8" xfId="0" applyNumberFormat="1" applyFont="1" applyBorder="1" applyAlignment="1">
      <alignment horizontal="center" vertical="center" wrapText="1"/>
    </xf>
    <xf numFmtId="172" fontId="31" fillId="0" borderId="10" xfId="0" applyNumberFormat="1" applyFont="1" applyBorder="1" applyAlignment="1">
      <alignment horizontal="center" vertical="center" wrapText="1"/>
    </xf>
    <xf numFmtId="172" fontId="0" fillId="0" borderId="6" xfId="0" applyNumberFormat="1" applyBorder="1" applyAlignment="1">
      <alignment vertical="center" wrapText="1"/>
    </xf>
    <xf numFmtId="172" fontId="31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14" fillId="8" borderId="1" xfId="13" applyNumberFormat="1"/>
    <xf numFmtId="165" fontId="6" fillId="6" borderId="2" xfId="7" applyNumberFormat="1"/>
    <xf numFmtId="0" fontId="0" fillId="0" borderId="17" xfId="0" applyBorder="1"/>
    <xf numFmtId="0" fontId="0" fillId="0" borderId="18" xfId="0" applyBorder="1"/>
    <xf numFmtId="0" fontId="7" fillId="0" borderId="18" xfId="8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8" xfId="0" applyNumberFormat="1" applyBorder="1"/>
    <xf numFmtId="165" fontId="5" fillId="5" borderId="31" xfId="6" applyNumberFormat="1" applyBorder="1"/>
    <xf numFmtId="165" fontId="5" fillId="5" borderId="1" xfId="6" applyNumberFormat="1" applyBorder="1"/>
    <xf numFmtId="165" fontId="5" fillId="5" borderId="32" xfId="11" applyNumberFormat="1" applyFont="1" applyFill="1" applyBorder="1"/>
    <xf numFmtId="165" fontId="4" fillId="4" borderId="9" xfId="5" applyNumberFormat="1" applyBorder="1"/>
    <xf numFmtId="165" fontId="4" fillId="4" borderId="0" xfId="5" applyNumberFormat="1" applyBorder="1"/>
    <xf numFmtId="165" fontId="4" fillId="4" borderId="10" xfId="5" applyNumberFormat="1" applyBorder="1"/>
    <xf numFmtId="0" fontId="0" fillId="0" borderId="9" xfId="0" applyBorder="1"/>
    <xf numFmtId="0" fontId="0" fillId="0" borderId="0" xfId="0" applyBorder="1"/>
    <xf numFmtId="165" fontId="0" fillId="0" borderId="9" xfId="0" applyNumberFormat="1" applyBorder="1"/>
    <xf numFmtId="165" fontId="0" fillId="0" borderId="0" xfId="0" applyNumberFormat="1" applyBorder="1"/>
    <xf numFmtId="0" fontId="0" fillId="0" borderId="10" xfId="0" applyBorder="1"/>
    <xf numFmtId="0" fontId="7" fillId="0" borderId="0" xfId="8" applyBorder="1"/>
    <xf numFmtId="165" fontId="5" fillId="5" borderId="32" xfId="6" applyNumberFormat="1" applyBorder="1"/>
    <xf numFmtId="171" fontId="5" fillId="5" borderId="33" xfId="6" applyNumberFormat="1" applyBorder="1"/>
    <xf numFmtId="44" fontId="0" fillId="0" borderId="0" xfId="0" applyNumberFormat="1" applyFill="1"/>
    <xf numFmtId="44" fontId="0" fillId="0" borderId="9" xfId="0" applyNumberFormat="1" applyBorder="1"/>
    <xf numFmtId="44" fontId="0" fillId="0" borderId="0" xfId="0" applyNumberFormat="1" applyBorder="1"/>
    <xf numFmtId="3" fontId="5" fillId="5" borderId="1" xfId="6" applyNumberFormat="1" applyBorder="1"/>
    <xf numFmtId="3" fontId="5" fillId="5" borderId="32" xfId="6" applyNumberFormat="1" applyBorder="1"/>
    <xf numFmtId="165" fontId="14" fillId="8" borderId="31" xfId="13" applyNumberFormat="1" applyBorder="1"/>
    <xf numFmtId="165" fontId="14" fillId="8" borderId="32" xfId="13" applyNumberFormat="1" applyBorder="1"/>
    <xf numFmtId="44" fontId="8" fillId="0" borderId="10" xfId="0" applyNumberFormat="1" applyFont="1" applyBorder="1"/>
    <xf numFmtId="44" fontId="14" fillId="8" borderId="1" xfId="13" applyNumberFormat="1"/>
    <xf numFmtId="165" fontId="14" fillId="8" borderId="1" xfId="13" applyNumberFormat="1" applyBorder="1"/>
    <xf numFmtId="165" fontId="14" fillId="8" borderId="13" xfId="13" applyNumberFormat="1" applyBorder="1"/>
    <xf numFmtId="0" fontId="0" fillId="0" borderId="0" xfId="0" applyFont="1"/>
    <xf numFmtId="165" fontId="5" fillId="5" borderId="34" xfId="11" applyNumberFormat="1" applyFont="1" applyFill="1" applyBorder="1"/>
    <xf numFmtId="165" fontId="5" fillId="5" borderId="14" xfId="11" applyNumberFormat="1" applyFont="1" applyFill="1" applyBorder="1"/>
    <xf numFmtId="165" fontId="5" fillId="5" borderId="35" xfId="11" applyNumberFormat="1" applyFont="1" applyFill="1" applyBorder="1"/>
    <xf numFmtId="0" fontId="0" fillId="0" borderId="12" xfId="0" applyBorder="1"/>
    <xf numFmtId="0" fontId="0" fillId="0" borderId="8" xfId="0" applyBorder="1"/>
    <xf numFmtId="10" fontId="5" fillId="0" borderId="9" xfId="2" applyNumberFormat="1" applyFont="1" applyFill="1" applyBorder="1"/>
    <xf numFmtId="169" fontId="0" fillId="0" borderId="9" xfId="2" applyNumberFormat="1" applyFont="1" applyBorder="1"/>
    <xf numFmtId="169" fontId="0" fillId="0" borderId="0" xfId="2" applyNumberFormat="1" applyFont="1" applyBorder="1"/>
    <xf numFmtId="169" fontId="0" fillId="0" borderId="38" xfId="2" applyNumberFormat="1" applyFont="1" applyBorder="1"/>
    <xf numFmtId="0" fontId="7" fillId="0" borderId="0" xfId="8" applyBorder="1" applyAlignment="1">
      <alignment horizontal="right"/>
    </xf>
    <xf numFmtId="44" fontId="6" fillId="6" borderId="41" xfId="7" applyNumberFormat="1" applyBorder="1"/>
    <xf numFmtId="44" fontId="6" fillId="6" borderId="2" xfId="7" applyNumberFormat="1" applyBorder="1"/>
    <xf numFmtId="44" fontId="6" fillId="6" borderId="20" xfId="7" applyNumberFormat="1" applyBorder="1"/>
    <xf numFmtId="165" fontId="6" fillId="6" borderId="41" xfId="7" applyNumberFormat="1" applyBorder="1"/>
    <xf numFmtId="165" fontId="6" fillId="6" borderId="2" xfId="7" applyNumberFormat="1" applyBorder="1"/>
    <xf numFmtId="165" fontId="6" fillId="6" borderId="20" xfId="7" applyNumberFormat="1" applyBorder="1"/>
    <xf numFmtId="0" fontId="0" fillId="0" borderId="11" xfId="0" applyBorder="1"/>
    <xf numFmtId="0" fontId="0" fillId="0" borderId="42" xfId="0" applyBorder="1"/>
    <xf numFmtId="0" fontId="0" fillId="0" borderId="6" xfId="0" applyBorder="1"/>
    <xf numFmtId="43" fontId="5" fillId="5" borderId="1" xfId="1" applyFont="1" applyFill="1" applyBorder="1"/>
    <xf numFmtId="44" fontId="14" fillId="8" borderId="1" xfId="13" applyNumberFormat="1" applyBorder="1"/>
    <xf numFmtId="0" fontId="7" fillId="0" borderId="12" xfId="8" applyBorder="1"/>
    <xf numFmtId="165" fontId="4" fillId="4" borderId="9" xfId="11" applyNumberFormat="1" applyFont="1" applyFill="1" applyBorder="1"/>
    <xf numFmtId="165" fontId="4" fillId="4" borderId="0" xfId="11" applyNumberFormat="1" applyFont="1" applyFill="1" applyBorder="1"/>
    <xf numFmtId="165" fontId="4" fillId="4" borderId="10" xfId="11" applyNumberFormat="1" applyFont="1" applyFill="1" applyBorder="1"/>
    <xf numFmtId="167" fontId="5" fillId="5" borderId="31" xfId="6" applyNumberFormat="1" applyBorder="1"/>
    <xf numFmtId="3" fontId="4" fillId="4" borderId="9" xfId="5" applyNumberFormat="1" applyBorder="1"/>
    <xf numFmtId="3" fontId="4" fillId="4" borderId="0" xfId="5" applyNumberFormat="1" applyBorder="1"/>
    <xf numFmtId="3" fontId="4" fillId="4" borderId="10" xfId="5" applyNumberFormat="1" applyBorder="1"/>
    <xf numFmtId="3" fontId="0" fillId="0" borderId="0" xfId="0" applyNumberFormat="1" applyFill="1"/>
    <xf numFmtId="165" fontId="5" fillId="0" borderId="7" xfId="11" applyNumberFormat="1" applyFont="1" applyFill="1" applyBorder="1"/>
    <xf numFmtId="165" fontId="5" fillId="0" borderId="12" xfId="11" applyNumberFormat="1" applyFont="1" applyFill="1" applyBorder="1"/>
    <xf numFmtId="44" fontId="4" fillId="0" borderId="7" xfId="5" applyNumberFormat="1" applyFill="1" applyBorder="1"/>
    <xf numFmtId="165" fontId="4" fillId="0" borderId="12" xfId="11" applyNumberFormat="1" applyFont="1" applyFill="1" applyBorder="1"/>
    <xf numFmtId="165" fontId="4" fillId="0" borderId="8" xfId="11" applyNumberFormat="1" applyFont="1" applyFill="1" applyBorder="1"/>
    <xf numFmtId="44" fontId="14" fillId="8" borderId="13" xfId="13" applyNumberFormat="1" applyBorder="1"/>
    <xf numFmtId="170" fontId="0" fillId="0" borderId="0" xfId="2" applyNumberFormat="1" applyFont="1" applyBorder="1"/>
    <xf numFmtId="170" fontId="0" fillId="0" borderId="10" xfId="2" applyNumberFormat="1" applyFont="1" applyBorder="1"/>
    <xf numFmtId="170" fontId="0" fillId="0" borderId="9" xfId="2" applyNumberFormat="1" applyFont="1" applyBorder="1"/>
    <xf numFmtId="165" fontId="0" fillId="0" borderId="11" xfId="0" applyNumberFormat="1" applyBorder="1"/>
    <xf numFmtId="165" fontId="0" fillId="0" borderId="42" xfId="0" applyNumberForma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36" xfId="0" applyBorder="1"/>
    <xf numFmtId="0" fontId="14" fillId="8" borderId="32" xfId="13" applyNumberFormat="1" applyBorder="1"/>
    <xf numFmtId="44" fontId="14" fillId="8" borderId="32" xfId="13" applyNumberFormat="1" applyBorder="1"/>
    <xf numFmtId="44" fontId="14" fillId="8" borderId="31" xfId="13" applyNumberFormat="1" applyBorder="1"/>
    <xf numFmtId="165" fontId="5" fillId="0" borderId="8" xfId="11" applyNumberFormat="1" applyFont="1" applyFill="1" applyBorder="1"/>
    <xf numFmtId="0" fontId="0" fillId="0" borderId="43" xfId="0" applyBorder="1"/>
    <xf numFmtId="169" fontId="0" fillId="0" borderId="39" xfId="2" applyNumberFormat="1" applyFont="1" applyBorder="1"/>
    <xf numFmtId="170" fontId="0" fillId="0" borderId="43" xfId="2" applyNumberFormat="1" applyFont="1" applyBorder="1"/>
    <xf numFmtId="44" fontId="6" fillId="6" borderId="44" xfId="7" applyNumberFormat="1" applyBorder="1"/>
    <xf numFmtId="165" fontId="0" fillId="0" borderId="0" xfId="1" applyNumberFormat="1" applyFont="1" applyFill="1"/>
    <xf numFmtId="43" fontId="0" fillId="0" borderId="0" xfId="1" applyFont="1" applyFill="1"/>
    <xf numFmtId="8" fontId="0" fillId="0" borderId="0" xfId="1" applyNumberFormat="1" applyFont="1" applyFill="1"/>
    <xf numFmtId="166" fontId="0" fillId="0" borderId="0" xfId="0" applyNumberFormat="1" applyFill="1"/>
    <xf numFmtId="44" fontId="7" fillId="0" borderId="0" xfId="8" applyNumberFormat="1" applyBorder="1"/>
    <xf numFmtId="167" fontId="0" fillId="0" borderId="0" xfId="1" applyNumberFormat="1" applyFont="1" applyBorder="1"/>
    <xf numFmtId="167" fontId="0" fillId="0" borderId="9" xfId="1" applyNumberFormat="1" applyFont="1" applyBorder="1"/>
    <xf numFmtId="167" fontId="0" fillId="0" borderId="10" xfId="1" applyNumberFormat="1" applyFont="1" applyBorder="1"/>
    <xf numFmtId="44" fontId="8" fillId="0" borderId="0" xfId="0" applyNumberFormat="1" applyFont="1"/>
    <xf numFmtId="3" fontId="14" fillId="8" borderId="33" xfId="13" applyNumberFormat="1" applyBorder="1" applyAlignment="1">
      <alignment horizontal="right"/>
    </xf>
    <xf numFmtId="168" fontId="14" fillId="8" borderId="1" xfId="13" applyNumberFormat="1" applyBorder="1" applyAlignment="1">
      <alignment horizontal="center"/>
    </xf>
    <xf numFmtId="165" fontId="5" fillId="0" borderId="9" xfId="6" applyNumberFormat="1" applyFill="1" applyBorder="1"/>
    <xf numFmtId="165" fontId="5" fillId="0" borderId="0" xfId="6" applyNumberFormat="1" applyFill="1" applyBorder="1"/>
    <xf numFmtId="37" fontId="5" fillId="0" borderId="0" xfId="6" applyNumberFormat="1" applyFill="1" applyBorder="1"/>
    <xf numFmtId="3" fontId="37" fillId="0" borderId="0" xfId="13" applyNumberFormat="1" applyFont="1" applyFill="1" applyBorder="1" applyAlignment="1">
      <alignment horizontal="left"/>
    </xf>
    <xf numFmtId="168" fontId="14" fillId="0" borderId="0" xfId="13" applyNumberFormat="1" applyFill="1" applyBorder="1" applyAlignment="1">
      <alignment horizontal="center"/>
    </xf>
    <xf numFmtId="165" fontId="14" fillId="8" borderId="45" xfId="13" applyNumberFormat="1" applyBorder="1"/>
    <xf numFmtId="3" fontId="15" fillId="0" borderId="24" xfId="15" applyNumberFormat="1" applyFill="1" applyAlignment="1">
      <alignment horizontal="right"/>
    </xf>
    <xf numFmtId="168" fontId="14" fillId="8" borderId="1" xfId="13" applyNumberFormat="1" applyAlignment="1">
      <alignment horizontal="center"/>
    </xf>
    <xf numFmtId="44" fontId="0" fillId="0" borderId="36" xfId="0" applyNumberFormat="1" applyBorder="1"/>
    <xf numFmtId="43" fontId="38" fillId="0" borderId="31" xfId="1" applyFont="1" applyFill="1" applyBorder="1"/>
    <xf numFmtId="165" fontId="38" fillId="0" borderId="1" xfId="13" applyNumberFormat="1" applyFont="1" applyFill="1"/>
    <xf numFmtId="165" fontId="38" fillId="0" borderId="32" xfId="13" applyNumberFormat="1" applyFont="1" applyFill="1" applyBorder="1"/>
    <xf numFmtId="165" fontId="38" fillId="0" borderId="31" xfId="13" applyNumberFormat="1" applyFont="1" applyFill="1" applyBorder="1"/>
    <xf numFmtId="165" fontId="38" fillId="0" borderId="1" xfId="13" applyNumberFormat="1" applyFont="1" applyFill="1" applyBorder="1"/>
    <xf numFmtId="165" fontId="38" fillId="0" borderId="13" xfId="13" applyNumberFormat="1" applyFont="1" applyFill="1" applyBorder="1"/>
    <xf numFmtId="44" fontId="0" fillId="0" borderId="46" xfId="0" applyNumberFormat="1" applyBorder="1"/>
    <xf numFmtId="165" fontId="4" fillId="4" borderId="6" xfId="5" applyNumberFormat="1" applyBorder="1"/>
    <xf numFmtId="165" fontId="4" fillId="0" borderId="0" xfId="5" applyNumberFormat="1" applyFill="1" applyBorder="1"/>
    <xf numFmtId="165" fontId="4" fillId="0" borderId="0" xfId="11" applyNumberFormat="1" applyFont="1" applyFill="1" applyBorder="1"/>
    <xf numFmtId="165" fontId="14" fillId="8" borderId="47" xfId="13" applyNumberFormat="1" applyBorder="1"/>
    <xf numFmtId="44" fontId="6" fillId="6" borderId="48" xfId="7" applyNumberFormat="1" applyBorder="1"/>
    <xf numFmtId="165" fontId="6" fillId="6" borderId="44" xfId="7" applyNumberFormat="1" applyBorder="1"/>
    <xf numFmtId="165" fontId="6" fillId="6" borderId="48" xfId="7" applyNumberFormat="1" applyBorder="1"/>
    <xf numFmtId="165" fontId="14" fillId="8" borderId="49" xfId="13" applyNumberFormat="1" applyBorder="1"/>
    <xf numFmtId="4" fontId="0" fillId="0" borderId="0" xfId="0" applyNumberFormat="1" applyFill="1"/>
    <xf numFmtId="8" fontId="0" fillId="0" borderId="0" xfId="0" applyNumberFormat="1" applyFill="1"/>
    <xf numFmtId="44" fontId="5" fillId="5" borderId="1" xfId="11" applyNumberFormat="1" applyFont="1" applyFill="1" applyBorder="1"/>
    <xf numFmtId="41" fontId="4" fillId="4" borderId="9" xfId="5" applyNumberFormat="1" applyBorder="1"/>
    <xf numFmtId="41" fontId="4" fillId="4" borderId="0" xfId="5" applyNumberFormat="1" applyBorder="1"/>
    <xf numFmtId="41" fontId="4" fillId="4" borderId="10" xfId="5" applyNumberFormat="1" applyBorder="1"/>
    <xf numFmtId="167" fontId="6" fillId="6" borderId="51" xfId="1" applyNumberFormat="1" applyFont="1" applyFill="1" applyBorder="1"/>
    <xf numFmtId="172" fontId="33" fillId="0" borderId="6" xfId="0" applyNumberFormat="1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165" fontId="6" fillId="6" borderId="53" xfId="11" applyNumberFormat="1" applyFont="1" applyFill="1" applyBorder="1"/>
    <xf numFmtId="10" fontId="6" fillId="0" borderId="48" xfId="1" applyNumberFormat="1" applyFont="1" applyFill="1" applyBorder="1"/>
    <xf numFmtId="165" fontId="14" fillId="8" borderId="37" xfId="13" applyNumberFormat="1" applyBorder="1" applyAlignment="1">
      <alignment horizontal="center"/>
    </xf>
    <xf numFmtId="167" fontId="6" fillId="0" borderId="48" xfId="1" applyNumberFormat="1" applyFont="1" applyFill="1" applyBorder="1"/>
    <xf numFmtId="167" fontId="5" fillId="5" borderId="13" xfId="1" applyNumberFormat="1" applyFont="1" applyFill="1" applyBorder="1" applyAlignment="1">
      <alignment horizontal="center"/>
    </xf>
    <xf numFmtId="10" fontId="6" fillId="0" borderId="50" xfId="1" applyNumberFormat="1" applyFont="1" applyFill="1" applyBorder="1"/>
    <xf numFmtId="165" fontId="6" fillId="6" borderId="52" xfId="11" applyNumberFormat="1" applyFont="1" applyFill="1" applyBorder="1"/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43" fontId="0" fillId="0" borderId="0" xfId="1" applyFont="1"/>
    <xf numFmtId="0" fontId="10" fillId="0" borderId="0" xfId="0" applyFont="1" applyFill="1" applyBorder="1" applyAlignment="1">
      <alignment horizontal="center" vertical="center" wrapText="1"/>
    </xf>
    <xf numFmtId="172" fontId="0" fillId="0" borderId="0" xfId="0" applyNumberFormat="1"/>
    <xf numFmtId="0" fontId="0" fillId="0" borderId="0" xfId="0"/>
    <xf numFmtId="5" fontId="11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3" fontId="5" fillId="5" borderId="32" xfId="6" applyNumberFormat="1" applyBorder="1"/>
    <xf numFmtId="167" fontId="6" fillId="6" borderId="2" xfId="1" applyNumberFormat="1" applyFont="1" applyFill="1" applyBorder="1"/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Fill="1" applyAlignment="1">
      <alignment horizontal="center"/>
    </xf>
    <xf numFmtId="167" fontId="5" fillId="5" borderId="31" xfId="1" applyNumberFormat="1" applyFont="1" applyFill="1" applyBorder="1"/>
    <xf numFmtId="167" fontId="5" fillId="5" borderId="1" xfId="1" applyNumberFormat="1" applyFont="1" applyFill="1" applyBorder="1"/>
    <xf numFmtId="167" fontId="5" fillId="5" borderId="32" xfId="1" applyNumberFormat="1" applyFont="1" applyFill="1" applyBorder="1"/>
    <xf numFmtId="10" fontId="14" fillId="0" borderId="54" xfId="13" applyNumberFormat="1" applyFill="1" applyBorder="1" applyAlignment="1">
      <alignment horizontal="center"/>
    </xf>
    <xf numFmtId="10" fontId="14" fillId="0" borderId="55" xfId="13" applyNumberFormat="1" applyFill="1" applyBorder="1" applyAlignment="1">
      <alignment horizontal="center"/>
    </xf>
    <xf numFmtId="10" fontId="14" fillId="0" borderId="36" xfId="13" applyNumberFormat="1" applyFill="1" applyBorder="1" applyAlignment="1">
      <alignment horizontal="center"/>
    </xf>
    <xf numFmtId="10" fontId="14" fillId="0" borderId="40" xfId="13" applyNumberFormat="1" applyFill="1" applyBorder="1" applyAlignment="1">
      <alignment horizontal="center"/>
    </xf>
    <xf numFmtId="10" fontId="14" fillId="0" borderId="0" xfId="13" applyNumberFormat="1" applyFill="1" applyBorder="1" applyAlignment="1">
      <alignment horizontal="center"/>
    </xf>
    <xf numFmtId="10" fontId="14" fillId="0" borderId="10" xfId="13" applyNumberFormat="1" applyFill="1" applyBorder="1" applyAlignment="1">
      <alignment horizontal="center"/>
    </xf>
    <xf numFmtId="168" fontId="5" fillId="5" borderId="1" xfId="2" applyNumberFormat="1" applyFont="1" applyFill="1" applyBorder="1" applyAlignment="1">
      <alignment horizontal="center"/>
    </xf>
    <xf numFmtId="41" fontId="14" fillId="8" borderId="1" xfId="11" applyNumberFormat="1" applyFont="1" applyFill="1" applyBorder="1" applyAlignment="1">
      <alignment horizontal="center"/>
    </xf>
    <xf numFmtId="170" fontId="0" fillId="0" borderId="43" xfId="2" applyNumberFormat="1" applyFont="1" applyFill="1" applyBorder="1"/>
    <xf numFmtId="169" fontId="0" fillId="0" borderId="0" xfId="2" applyNumberFormat="1" applyFont="1" applyFill="1" applyBorder="1"/>
    <xf numFmtId="169" fontId="0" fillId="0" borderId="10" xfId="2" applyNumberFormat="1" applyFont="1" applyBorder="1"/>
    <xf numFmtId="169" fontId="0" fillId="0" borderId="39" xfId="0" applyNumberFormat="1" applyBorder="1"/>
    <xf numFmtId="169" fontId="0" fillId="0" borderId="36" xfId="0" applyNumberFormat="1" applyBorder="1"/>
    <xf numFmtId="169" fontId="0" fillId="0" borderId="40" xfId="0" applyNumberFormat="1" applyBorder="1"/>
    <xf numFmtId="169" fontId="0" fillId="0" borderId="0" xfId="0" applyNumberFormat="1" applyBorder="1"/>
    <xf numFmtId="44" fontId="4" fillId="4" borderId="0" xfId="5" applyNumberFormat="1" applyBorder="1"/>
    <xf numFmtId="44" fontId="4" fillId="4" borderId="9" xfId="5" applyNumberFormat="1" applyBorder="1"/>
    <xf numFmtId="44" fontId="4" fillId="4" borderId="10" xfId="5" applyNumberFormat="1" applyBorder="1"/>
    <xf numFmtId="44" fontId="5" fillId="5" borderId="1" xfId="6" applyNumberFormat="1" applyBorder="1"/>
    <xf numFmtId="44" fontId="5" fillId="5" borderId="14" xfId="11" applyNumberFormat="1" applyFont="1" applyFill="1" applyBorder="1"/>
    <xf numFmtId="44" fontId="0" fillId="0" borderId="12" xfId="0" applyNumberFormat="1" applyBorder="1"/>
    <xf numFmtId="44" fontId="5" fillId="0" borderId="0" xfId="2" applyNumberFormat="1" applyFont="1" applyFill="1" applyBorder="1"/>
    <xf numFmtId="44" fontId="0" fillId="0" borderId="0" xfId="2" applyNumberFormat="1" applyFont="1" applyBorder="1"/>
    <xf numFmtId="6" fontId="8" fillId="0" borderId="0" xfId="0" applyNumberFormat="1" applyFont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3" borderId="17" xfId="4" applyBorder="1" applyAlignment="1">
      <alignment horizontal="center"/>
    </xf>
    <xf numFmtId="0" fontId="3" fillId="3" borderId="18" xfId="4" applyBorder="1" applyAlignment="1">
      <alignment horizontal="center"/>
    </xf>
    <xf numFmtId="0" fontId="3" fillId="3" borderId="4" xfId="4" applyBorder="1" applyAlignment="1">
      <alignment horizontal="center"/>
    </xf>
    <xf numFmtId="0" fontId="8" fillId="0" borderId="0" xfId="0" applyFont="1" applyAlignment="1">
      <alignment horizontal="center"/>
    </xf>
    <xf numFmtId="0" fontId="30" fillId="0" borderId="29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EIA1%20Rider%20Calcs%20November%202016%20-%20Rate%20prel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C"/>
      <sheetName val="PCR"/>
      <sheetName val="PTD"/>
      <sheetName val="TDR"/>
      <sheetName val="PI"/>
      <sheetName val="PIR"/>
      <sheetName val="OA"/>
      <sheetName val="tariff tables"/>
    </sheetNames>
    <sheetDataSet>
      <sheetData sheetId="0">
        <row r="14">
          <cell r="B14">
            <v>2.9499999999999998E-2</v>
          </cell>
        </row>
      </sheetData>
      <sheetData sheetId="1"/>
      <sheetData sheetId="2">
        <row r="1">
          <cell r="F1">
            <v>599118</v>
          </cell>
          <cell r="G1">
            <v>488212</v>
          </cell>
          <cell r="H1">
            <v>18883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tabSelected="1" workbookViewId="0">
      <selection activeCell="A16" sqref="A16"/>
    </sheetView>
  </sheetViews>
  <sheetFormatPr defaultRowHeight="15" x14ac:dyDescent="0.25"/>
  <cols>
    <col min="1" max="1" width="23.5703125" customWidth="1"/>
    <col min="2" max="2" width="20.42578125" customWidth="1"/>
    <col min="3" max="3" width="15.140625" customWidth="1"/>
    <col min="4" max="4" width="16.140625" customWidth="1"/>
    <col min="5" max="5" width="12.7109375" customWidth="1"/>
    <col min="6" max="9" width="17.7109375" customWidth="1"/>
  </cols>
  <sheetData>
    <row r="1" spans="1:19" ht="15.75" thickBot="1" x14ac:dyDescent="0.3">
      <c r="A1" s="8" t="s">
        <v>117</v>
      </c>
    </row>
    <row r="2" spans="1:19" ht="15.75" thickBot="1" x14ac:dyDescent="0.3">
      <c r="B2" s="292" t="s">
        <v>11</v>
      </c>
      <c r="C2" s="292"/>
      <c r="E2" s="289" t="s">
        <v>8</v>
      </c>
      <c r="F2" s="290"/>
      <c r="G2" s="290"/>
      <c r="H2" s="290"/>
      <c r="I2" s="291"/>
    </row>
    <row r="3" spans="1:19" x14ac:dyDescent="0.25">
      <c r="B3" s="48" t="s">
        <v>31</v>
      </c>
      <c r="C3" s="6" t="s">
        <v>10</v>
      </c>
      <c r="E3" s="19"/>
      <c r="F3" s="33" t="s">
        <v>0</v>
      </c>
      <c r="G3" s="33" t="s">
        <v>1</v>
      </c>
      <c r="H3" s="33" t="s">
        <v>2</v>
      </c>
      <c r="I3" s="34" t="s">
        <v>3</v>
      </c>
      <c r="L3" s="50"/>
      <c r="M3" s="50"/>
      <c r="N3" s="50"/>
      <c r="O3" s="50"/>
      <c r="P3" s="50"/>
      <c r="Q3" s="50"/>
      <c r="R3" s="50"/>
      <c r="S3" s="50"/>
    </row>
    <row r="4" spans="1:19" x14ac:dyDescent="0.25">
      <c r="A4" s="60" t="s">
        <v>32</v>
      </c>
      <c r="B4" s="40">
        <v>12938393246</v>
      </c>
      <c r="C4" s="42">
        <f>SUM(F11:I11)</f>
        <v>23375790.081565257</v>
      </c>
      <c r="D4" s="49"/>
      <c r="E4" s="25"/>
      <c r="F4" s="45">
        <v>1</v>
      </c>
      <c r="G4" s="45">
        <v>0</v>
      </c>
      <c r="H4" s="27">
        <f>IFERROR(B4/SUM($B$4:$B$8),0)</f>
        <v>0.4427748582164901</v>
      </c>
      <c r="I4" s="28">
        <f>H4</f>
        <v>0.4427748582164901</v>
      </c>
      <c r="L4" s="50"/>
      <c r="M4" s="50"/>
      <c r="N4" s="50"/>
      <c r="O4" s="50"/>
      <c r="P4" s="50"/>
      <c r="Q4" s="50"/>
      <c r="R4" s="50"/>
      <c r="S4" s="50"/>
    </row>
    <row r="5" spans="1:19" x14ac:dyDescent="0.25">
      <c r="A5" s="22" t="s">
        <v>4</v>
      </c>
      <c r="B5" s="40">
        <v>3378329624</v>
      </c>
      <c r="C5" s="42">
        <f>SUM(F12:I12)</f>
        <v>5217517.8006556276</v>
      </c>
      <c r="D5" s="49"/>
      <c r="E5" s="25"/>
      <c r="F5" s="45">
        <v>0</v>
      </c>
      <c r="G5" s="27">
        <f>IFERROR(B5/SUM($B$5:$B$8),0)</f>
        <v>0.20747889383050475</v>
      </c>
      <c r="H5" s="27">
        <f t="shared" ref="H5:H7" si="0">IFERROR(B5/SUM($B$4:$B$8),0)</f>
        <v>0.11561245603178881</v>
      </c>
      <c r="I5" s="28">
        <f t="shared" ref="I5:I8" si="1">H5</f>
        <v>0.11561245603178881</v>
      </c>
    </row>
    <row r="6" spans="1:19" x14ac:dyDescent="0.25">
      <c r="A6" s="22" t="s">
        <v>5</v>
      </c>
      <c r="B6" s="40">
        <v>7837186937</v>
      </c>
      <c r="C6" s="42">
        <f>SUM(F13:I13)</f>
        <v>12103810.72953089</v>
      </c>
      <c r="D6" s="49"/>
      <c r="E6" s="25"/>
      <c r="F6" s="45">
        <v>0</v>
      </c>
      <c r="G6" s="27">
        <f>IFERROR(B6/SUM($B$5:$B$8),0)</f>
        <v>0.48131800546637293</v>
      </c>
      <c r="H6" s="27">
        <f t="shared" si="0"/>
        <v>0.26820249383895584</v>
      </c>
      <c r="I6" s="28">
        <f t="shared" si="1"/>
        <v>0.26820249383895584</v>
      </c>
    </row>
    <row r="7" spans="1:19" x14ac:dyDescent="0.25">
      <c r="A7" s="22" t="s">
        <v>6</v>
      </c>
      <c r="B7" s="40">
        <v>3314581865</v>
      </c>
      <c r="C7" s="42">
        <f>SUM(F14:I14)</f>
        <v>5119065.2799271755</v>
      </c>
      <c r="D7" s="49"/>
      <c r="E7" s="25"/>
      <c r="F7" s="45">
        <v>0</v>
      </c>
      <c r="G7" s="27">
        <f t="shared" ref="G7:G8" si="2">IFERROR(B7/SUM($B$5:$B$8),0)</f>
        <v>0.20356384823296075</v>
      </c>
      <c r="H7" s="27">
        <f t="shared" si="0"/>
        <v>0.11343089419360845</v>
      </c>
      <c r="I7" s="28">
        <f t="shared" si="1"/>
        <v>0.11343089419360845</v>
      </c>
    </row>
    <row r="8" spans="1:19" ht="15.75" thickBot="1" x14ac:dyDescent="0.3">
      <c r="A8" s="22" t="s">
        <v>7</v>
      </c>
      <c r="B8" s="40">
        <v>1752664421</v>
      </c>
      <c r="C8" s="42">
        <f>SUM(F15:I15)</f>
        <v>2706828.1763210474</v>
      </c>
      <c r="D8" s="49"/>
      <c r="E8" s="25"/>
      <c r="F8" s="45">
        <v>0</v>
      </c>
      <c r="G8" s="27">
        <f t="shared" si="2"/>
        <v>0.10763925247016158</v>
      </c>
      <c r="H8" s="27">
        <f>IFERROR(B8/SUM($B$4:$B$8),0)</f>
        <v>5.9979297719156811E-2</v>
      </c>
      <c r="I8" s="28">
        <f t="shared" si="1"/>
        <v>5.9979297719156811E-2</v>
      </c>
    </row>
    <row r="9" spans="1:19" ht="16.5" thickTop="1" thickBot="1" x14ac:dyDescent="0.3">
      <c r="A9" s="22" t="s">
        <v>9</v>
      </c>
      <c r="B9" s="41">
        <f>SUM(B4:B8)</f>
        <v>29221156093</v>
      </c>
      <c r="C9" s="24">
        <f>SUM(C4:C8)</f>
        <v>48523012.068000004</v>
      </c>
      <c r="D9" s="4"/>
      <c r="E9" s="35" t="s">
        <v>26</v>
      </c>
      <c r="F9" s="61">
        <f>1-SUM(F4:F8)</f>
        <v>0</v>
      </c>
      <c r="G9" s="61">
        <f>(1-SUM(G4:G8))</f>
        <v>0</v>
      </c>
      <c r="H9" s="61">
        <f>1-SUM(H4:H8)</f>
        <v>0</v>
      </c>
      <c r="I9" s="62">
        <f>1-SUM(I4:I8)</f>
        <v>0</v>
      </c>
    </row>
    <row r="10" spans="1:19" ht="16.5" thickTop="1" thickBot="1" x14ac:dyDescent="0.3">
      <c r="B10" s="39" t="s">
        <v>26</v>
      </c>
      <c r="C10" s="21">
        <f>SUM(F10:I10)-C9</f>
        <v>0</v>
      </c>
      <c r="D10" s="4"/>
      <c r="E10" s="38" t="s">
        <v>39</v>
      </c>
      <c r="F10" s="43">
        <v>18849492.829999998</v>
      </c>
      <c r="G10" s="43">
        <v>19450948.629999999</v>
      </c>
      <c r="H10" s="43">
        <v>3180956</v>
      </c>
      <c r="I10" s="70">
        <v>7041614.608</v>
      </c>
      <c r="J10" s="2" t="s">
        <v>37</v>
      </c>
    </row>
    <row r="11" spans="1:19" ht="15.75" thickTop="1" x14ac:dyDescent="0.25">
      <c r="D11" s="4"/>
      <c r="E11" s="25" t="s">
        <v>0</v>
      </c>
      <c r="F11" s="36">
        <f>F4*F$10</f>
        <v>18849492.829999998</v>
      </c>
      <c r="G11" s="36">
        <f>G4*G$10</f>
        <v>0</v>
      </c>
      <c r="H11" s="36">
        <f>H4*H$10</f>
        <v>1408447.3418928934</v>
      </c>
      <c r="I11" s="37">
        <f t="shared" ref="F11:I15" si="3">I4*I$10</f>
        <v>3117849.9096723655</v>
      </c>
    </row>
    <row r="12" spans="1:19" x14ac:dyDescent="0.25">
      <c r="D12" s="4"/>
      <c r="E12" s="25" t="s">
        <v>4</v>
      </c>
      <c r="F12" s="29">
        <f t="shared" si="3"/>
        <v>0</v>
      </c>
      <c r="G12" s="29">
        <f t="shared" si="3"/>
        <v>4035661.3057063716</v>
      </c>
      <c r="H12" s="29">
        <f t="shared" si="3"/>
        <v>367758.13568905479</v>
      </c>
      <c r="I12" s="30">
        <f t="shared" si="3"/>
        <v>814098.3592602018</v>
      </c>
    </row>
    <row r="13" spans="1:19" x14ac:dyDescent="0.25">
      <c r="B13" s="53"/>
      <c r="C13" s="53"/>
      <c r="D13" s="4"/>
      <c r="E13" s="25" t="s">
        <v>5</v>
      </c>
      <c r="F13" s="29">
        <f t="shared" si="3"/>
        <v>0</v>
      </c>
      <c r="G13" s="29">
        <f t="shared" si="3"/>
        <v>9362091.7990204785</v>
      </c>
      <c r="H13" s="29">
        <f t="shared" si="3"/>
        <v>853140.33199198963</v>
      </c>
      <c r="I13" s="30">
        <f t="shared" si="3"/>
        <v>1888578.5985184214</v>
      </c>
    </row>
    <row r="14" spans="1:19" x14ac:dyDescent="0.25">
      <c r="A14" s="60" t="s">
        <v>40</v>
      </c>
      <c r="B14" s="64">
        <v>3.3700000000000001E-2</v>
      </c>
      <c r="C14" s="76"/>
      <c r="D14" s="4"/>
      <c r="E14" s="25" t="s">
        <v>6</v>
      </c>
      <c r="F14" s="29">
        <f t="shared" si="3"/>
        <v>0</v>
      </c>
      <c r="G14" s="29">
        <f t="shared" si="3"/>
        <v>3959509.9549044357</v>
      </c>
      <c r="H14" s="29">
        <f t="shared" si="3"/>
        <v>360818.68347052397</v>
      </c>
      <c r="I14" s="30">
        <f t="shared" si="3"/>
        <v>798736.64155221567</v>
      </c>
    </row>
    <row r="15" spans="1:19" ht="15.75" thickBot="1" x14ac:dyDescent="0.3">
      <c r="A15" s="22" t="s">
        <v>38</v>
      </c>
      <c r="B15" s="41">
        <f>B4*(1-B14)</f>
        <v>12502369393.6098</v>
      </c>
      <c r="C15" s="76"/>
      <c r="D15" s="4"/>
      <c r="E15" s="26" t="s">
        <v>7</v>
      </c>
      <c r="F15" s="31">
        <f t="shared" si="3"/>
        <v>0</v>
      </c>
      <c r="G15" s="31">
        <f t="shared" si="3"/>
        <v>2093685.5703687135</v>
      </c>
      <c r="H15" s="31">
        <f t="shared" si="3"/>
        <v>190791.50695553818</v>
      </c>
      <c r="I15" s="32">
        <f t="shared" si="3"/>
        <v>422351.09899679566</v>
      </c>
    </row>
    <row r="16" spans="1:19" x14ac:dyDescent="0.25">
      <c r="C16" s="5"/>
    </row>
    <row r="17" spans="1:32" x14ac:dyDescent="0.25">
      <c r="B17" s="73"/>
    </row>
    <row r="18" spans="1:32" x14ac:dyDescent="0.25">
      <c r="E18" s="3" t="s">
        <v>27</v>
      </c>
      <c r="H18" s="4"/>
      <c r="I18" s="4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5">
      <c r="E19" s="58" t="s">
        <v>47</v>
      </c>
    </row>
    <row r="20" spans="1:32" x14ac:dyDescent="0.25">
      <c r="A20" s="44"/>
      <c r="E20" s="58" t="s">
        <v>28</v>
      </c>
    </row>
    <row r="21" spans="1:32" x14ac:dyDescent="0.25">
      <c r="E21" s="58" t="s">
        <v>41</v>
      </c>
    </row>
    <row r="31" spans="1:32" x14ac:dyDescent="0.25">
      <c r="C31" s="2"/>
    </row>
    <row r="45" spans="2:4" x14ac:dyDescent="0.25">
      <c r="B45" s="7"/>
      <c r="C45" s="7"/>
      <c r="D45" s="7"/>
    </row>
    <row r="49" spans="2:4" x14ac:dyDescent="0.25">
      <c r="B49" s="7"/>
      <c r="C49" s="7"/>
      <c r="D49" s="7"/>
    </row>
  </sheetData>
  <mergeCells count="2">
    <mergeCell ref="E2:I2"/>
    <mergeCell ref="B2:C2"/>
  </mergeCells>
  <pageMargins left="0.7" right="0.7" top="0.75" bottom="0.75" header="0.3" footer="0.3"/>
  <pageSetup paperSize="5" scale="86" fitToHeight="0" orientation="landscape" r:id="rId1"/>
  <headerFooter scaleWithDoc="0">
    <oddFooter>&amp;R&amp;"Arial,Bold"&amp;12Schedule WRD-2, 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>
      <selection activeCell="A16" sqref="A16"/>
    </sheetView>
  </sheetViews>
  <sheetFormatPr defaultRowHeight="15" x14ac:dyDescent="0.25"/>
  <sheetData/>
  <pageMargins left="0.7" right="0.7" top="0.75" bottom="0.75" header="0.3" footer="0.3"/>
  <pageSetup paperSize="5" fitToHeight="0" orientation="landscape" r:id="rId1"/>
  <headerFooter scaleWithDoc="0">
    <oddFooter>&amp;R&amp;"Arial,Bold"&amp;12Schedule WRD-2, 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>
      <selection activeCell="A16" sqref="A16"/>
    </sheetView>
  </sheetViews>
  <sheetFormatPr defaultRowHeight="15" x14ac:dyDescent="0.25"/>
  <sheetData/>
  <pageMargins left="0.7" right="0.7" top="0.75" bottom="0.75" header="0.3" footer="0.3"/>
  <pageSetup paperSize="5" fitToHeight="0" orientation="landscape" r:id="rId1"/>
  <headerFooter scaleWithDoc="0">
    <oddFooter>&amp;R&amp;"Arial,Bold"&amp;12Schedule WRD-2, 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36"/>
  <sheetViews>
    <sheetView tabSelected="1" workbookViewId="0">
      <selection activeCell="A16" sqref="A16"/>
    </sheetView>
  </sheetViews>
  <sheetFormatPr defaultRowHeight="15" x14ac:dyDescent="0.25"/>
  <cols>
    <col min="3" max="3" width="16.5703125" customWidth="1"/>
    <col min="4" max="4" width="15.5703125" customWidth="1"/>
    <col min="6" max="6" width="17.28515625" bestFit="1" customWidth="1"/>
    <col min="7" max="7" width="17.140625" customWidth="1"/>
    <col min="8" max="8" width="13.7109375" bestFit="1" customWidth="1"/>
    <col min="9" max="9" width="13.28515625" customWidth="1"/>
    <col min="10" max="11" width="13.42578125" customWidth="1"/>
    <col min="13" max="13" width="11" bestFit="1" customWidth="1"/>
    <col min="14" max="14" width="15.28515625" bestFit="1" customWidth="1"/>
    <col min="15" max="15" width="11" bestFit="1" customWidth="1"/>
  </cols>
  <sheetData>
    <row r="2" spans="2:22" ht="15.75" thickBot="1" x14ac:dyDescent="0.3">
      <c r="J2" s="296" t="s">
        <v>29</v>
      </c>
      <c r="K2" s="296"/>
      <c r="M2" t="s">
        <v>42</v>
      </c>
    </row>
    <row r="3" spans="2:22" ht="27.75" thickBot="1" x14ac:dyDescent="0.3">
      <c r="B3" s="9" t="s">
        <v>12</v>
      </c>
      <c r="C3" s="10" t="s">
        <v>34</v>
      </c>
      <c r="D3" s="10" t="s">
        <v>35</v>
      </c>
      <c r="E3" s="10" t="s">
        <v>45</v>
      </c>
      <c r="F3" s="10" t="s">
        <v>36</v>
      </c>
      <c r="G3" s="10" t="s">
        <v>14</v>
      </c>
      <c r="H3" s="11" t="s">
        <v>15</v>
      </c>
      <c r="J3" s="47" t="s">
        <v>30</v>
      </c>
      <c r="K3" s="47" t="s">
        <v>46</v>
      </c>
      <c r="M3" t="s">
        <v>34</v>
      </c>
      <c r="N3" t="s">
        <v>35</v>
      </c>
      <c r="O3" t="s">
        <v>9</v>
      </c>
    </row>
    <row r="4" spans="2:22" ht="15.75" thickBot="1" x14ac:dyDescent="0.3">
      <c r="B4" s="12" t="s">
        <v>16</v>
      </c>
      <c r="C4" s="13">
        <f>C16+C26</f>
        <v>24893110.41601846</v>
      </c>
      <c r="D4" s="14">
        <f>D16+D26</f>
        <v>15878062.776546916</v>
      </c>
      <c r="E4" s="15">
        <v>0</v>
      </c>
      <c r="F4" s="15"/>
      <c r="G4" s="63">
        <f>PPC!B15</f>
        <v>12502369393.6098</v>
      </c>
      <c r="H4" s="54">
        <f>SUM(C4:E4)/G4</f>
        <v>3.2610757136486705E-3</v>
      </c>
      <c r="J4" s="72">
        <f>(C16+C26)/G4</f>
        <v>1.9910714227290233E-3</v>
      </c>
      <c r="K4" s="75">
        <f>(D16+D26)/G4</f>
        <v>1.2700042909196475E-3</v>
      </c>
      <c r="L4" s="20">
        <f>J4+K4-H4</f>
        <v>0</v>
      </c>
      <c r="M4" s="69">
        <f>ROUND(J4,6)</f>
        <v>1.9910000000000001E-3</v>
      </c>
      <c r="N4" s="69">
        <f>ROUND(K4,6)</f>
        <v>1.2700000000000001E-3</v>
      </c>
      <c r="O4" s="69">
        <f>SUM(M4:N4)</f>
        <v>3.261E-3</v>
      </c>
      <c r="Q4" s="65"/>
      <c r="T4" s="66"/>
      <c r="V4" s="67"/>
    </row>
    <row r="5" spans="2:22" ht="15.75" thickBot="1" x14ac:dyDescent="0.3">
      <c r="B5" s="12" t="s">
        <v>17</v>
      </c>
      <c r="C5" s="13">
        <f t="shared" ref="C5:D9" si="0">C17+C27</f>
        <v>3580878.3861245131</v>
      </c>
      <c r="D5" s="14">
        <f>D17+D27</f>
        <v>1781003.5417474953</v>
      </c>
      <c r="E5" s="15">
        <v>0</v>
      </c>
      <c r="F5" s="15"/>
      <c r="G5" s="16">
        <f>PPC!B5</f>
        <v>3378329624</v>
      </c>
      <c r="H5" s="54">
        <f>SUM(C5:E5)/G5</f>
        <v>1.5871399551366007E-3</v>
      </c>
      <c r="J5" s="74">
        <f>(C17+C27)/G5</f>
        <v>1.0599552988215198E-3</v>
      </c>
      <c r="K5" s="78">
        <f>(D17+D27)/G5</f>
        <v>5.271846563150805E-4</v>
      </c>
      <c r="L5" s="20">
        <f t="shared" ref="L5:L8" si="1">J5+K5-H5</f>
        <v>0</v>
      </c>
      <c r="M5" s="69">
        <f t="shared" ref="M5:N8" si="2">ROUND(J5,6)</f>
        <v>1.06E-3</v>
      </c>
      <c r="N5" s="69">
        <f t="shared" si="2"/>
        <v>5.2700000000000002E-4</v>
      </c>
      <c r="O5" s="69">
        <f>SUM(M5:N5)</f>
        <v>1.5869999999999999E-3</v>
      </c>
      <c r="Q5" s="65"/>
      <c r="S5" s="55"/>
      <c r="T5" s="66"/>
    </row>
    <row r="6" spans="2:22" ht="15.75" thickBot="1" x14ac:dyDescent="0.3">
      <c r="B6" s="12" t="s">
        <v>18</v>
      </c>
      <c r="C6" s="13">
        <f t="shared" si="0"/>
        <v>8467709.4031198155</v>
      </c>
      <c r="D6" s="14">
        <f t="shared" si="0"/>
        <v>4270611.7427155524</v>
      </c>
      <c r="E6" s="15">
        <v>0</v>
      </c>
      <c r="F6" s="15"/>
      <c r="G6" s="16">
        <f>PPC!B6</f>
        <v>7837186937</v>
      </c>
      <c r="H6" s="54">
        <f>SUM(C6:E6)/G6</f>
        <v>1.625369057575584E-3</v>
      </c>
      <c r="J6" s="74">
        <f>(C18+C28)/G6</f>
        <v>1.0804526510836518E-3</v>
      </c>
      <c r="K6" s="78">
        <f>(D18+D28)/G6</f>
        <v>5.4491640649193213E-4</v>
      </c>
      <c r="L6" s="20">
        <f t="shared" si="1"/>
        <v>0</v>
      </c>
      <c r="M6" s="69">
        <f t="shared" si="2"/>
        <v>1.08E-3</v>
      </c>
      <c r="N6" s="69">
        <f t="shared" si="2"/>
        <v>5.4500000000000002E-4</v>
      </c>
      <c r="O6" s="69">
        <f>SUM(M6:N6)</f>
        <v>1.6250000000000001E-3</v>
      </c>
    </row>
    <row r="7" spans="2:22" ht="15.75" thickBot="1" x14ac:dyDescent="0.3">
      <c r="B7" s="12" t="s">
        <v>19</v>
      </c>
      <c r="C7" s="13">
        <f t="shared" si="0"/>
        <v>3574732.7510614274</v>
      </c>
      <c r="D7" s="14">
        <f t="shared" si="0"/>
        <v>3632661.9206610424</v>
      </c>
      <c r="E7" s="15">
        <v>0</v>
      </c>
      <c r="F7" s="15"/>
      <c r="G7" s="16">
        <f>PPC!B7</f>
        <v>3314581865</v>
      </c>
      <c r="H7" s="54">
        <f>SUM(C7:E7)/G7</f>
        <v>2.1744506442360778E-3</v>
      </c>
      <c r="J7" s="74">
        <f>(C19+C29)/G7</f>
        <v>1.0784867885776075E-3</v>
      </c>
      <c r="K7" s="78">
        <f>(D19+D29)/G7</f>
        <v>1.09596385565847E-3</v>
      </c>
      <c r="L7" s="20">
        <f t="shared" si="1"/>
        <v>0</v>
      </c>
      <c r="M7" s="69">
        <f t="shared" si="2"/>
        <v>1.078E-3</v>
      </c>
      <c r="N7" s="69">
        <f t="shared" si="2"/>
        <v>1.096E-3</v>
      </c>
      <c r="O7" s="69">
        <f>SUM(M7:N7)</f>
        <v>2.1739999999999997E-3</v>
      </c>
    </row>
    <row r="8" spans="2:22" ht="15.75" thickBot="1" x14ac:dyDescent="0.3">
      <c r="B8" s="12" t="s">
        <v>20</v>
      </c>
      <c r="C8" s="13">
        <f t="shared" si="0"/>
        <v>1817255.5880336692</v>
      </c>
      <c r="D8" s="14">
        <f t="shared" si="0"/>
        <v>2489677.6571513396</v>
      </c>
      <c r="E8" s="15">
        <v>0</v>
      </c>
      <c r="F8" s="15"/>
      <c r="G8" s="16">
        <f>PPC!B8</f>
        <v>1752664421</v>
      </c>
      <c r="H8" s="54">
        <f>SUM(C8:E8)/G8</f>
        <v>2.4573633112992873E-3</v>
      </c>
      <c r="J8" s="74">
        <f>(C20+C30)/G8</f>
        <v>1.0368531284481806E-3</v>
      </c>
      <c r="K8" s="78">
        <f>(D20+D30)/G8</f>
        <v>1.4205101828511069E-3</v>
      </c>
      <c r="L8" s="20">
        <f t="shared" si="1"/>
        <v>0</v>
      </c>
      <c r="M8" s="69">
        <f t="shared" si="2"/>
        <v>1.0369999999999999E-3</v>
      </c>
      <c r="N8" s="69">
        <f t="shared" si="2"/>
        <v>1.421E-3</v>
      </c>
      <c r="O8" s="69">
        <f>SUM(M8:N8)</f>
        <v>2.4580000000000001E-3</v>
      </c>
    </row>
    <row r="9" spans="2:22" ht="15.75" thickBot="1" x14ac:dyDescent="0.3">
      <c r="B9" s="12" t="s">
        <v>21</v>
      </c>
      <c r="C9" s="13">
        <f t="shared" si="0"/>
        <v>0</v>
      </c>
      <c r="D9" s="14">
        <f t="shared" si="0"/>
        <v>0</v>
      </c>
      <c r="E9" s="15">
        <v>0</v>
      </c>
      <c r="F9" s="15"/>
      <c r="G9" s="16">
        <v>0</v>
      </c>
      <c r="H9" s="54">
        <v>0</v>
      </c>
    </row>
    <row r="14" spans="2:22" ht="15.75" thickBot="1" x14ac:dyDescent="0.3"/>
    <row r="15" spans="2:22" ht="27.75" thickBot="1" x14ac:dyDescent="0.3">
      <c r="B15" s="9" t="s">
        <v>12</v>
      </c>
      <c r="C15" s="10" t="s">
        <v>22</v>
      </c>
      <c r="D15" s="10" t="s">
        <v>23</v>
      </c>
      <c r="E15" s="10" t="s">
        <v>44</v>
      </c>
      <c r="F15" s="10" t="s">
        <v>13</v>
      </c>
      <c r="H15" s="239"/>
      <c r="I15" s="68" t="s">
        <v>146</v>
      </c>
    </row>
    <row r="16" spans="2:22" ht="15.75" thickBot="1" x14ac:dyDescent="0.3">
      <c r="B16" s="12" t="s">
        <v>16</v>
      </c>
      <c r="C16" s="15">
        <f>PPC!C4</f>
        <v>23375790.081565257</v>
      </c>
      <c r="D16" s="15">
        <f>PTD!B4</f>
        <v>7626247.7400000002</v>
      </c>
      <c r="E16" s="15">
        <v>0</v>
      </c>
      <c r="F16" s="13">
        <f>SUM(C16:E16)</f>
        <v>31002037.821565256</v>
      </c>
      <c r="H16" s="242" t="s">
        <v>16</v>
      </c>
      <c r="I16" s="23">
        <f>SUM(C4:F4)</f>
        <v>40771173.192565374</v>
      </c>
    </row>
    <row r="17" spans="2:9" ht="15.75" thickBot="1" x14ac:dyDescent="0.3">
      <c r="B17" s="12" t="s">
        <v>17</v>
      </c>
      <c r="C17" s="15">
        <f>PPC!C5</f>
        <v>5217517.8006556276</v>
      </c>
      <c r="D17" s="15">
        <f>PTD!B5</f>
        <v>1071820.81</v>
      </c>
      <c r="E17" s="15">
        <v>0</v>
      </c>
      <c r="F17" s="13">
        <f t="shared" ref="F17:F21" si="3">SUM(C17:E17)</f>
        <v>6289338.6106556281</v>
      </c>
      <c r="H17" s="242" t="s">
        <v>17</v>
      </c>
      <c r="I17" s="23">
        <f t="shared" ref="I17:I21" si="4">SUM(C5:F5)</f>
        <v>5361881.9278720086</v>
      </c>
    </row>
    <row r="18" spans="2:9" ht="15.75" thickBot="1" x14ac:dyDescent="0.3">
      <c r="B18" s="12" t="s">
        <v>18</v>
      </c>
      <c r="C18" s="15">
        <f>PPC!C6</f>
        <v>12103810.72953089</v>
      </c>
      <c r="D18" s="15">
        <f>PTD!B6</f>
        <v>3354804.41</v>
      </c>
      <c r="E18" s="15">
        <v>0</v>
      </c>
      <c r="F18" s="13">
        <f t="shared" si="3"/>
        <v>15458615.13953089</v>
      </c>
      <c r="H18" s="242" t="s">
        <v>18</v>
      </c>
      <c r="I18" s="23">
        <f t="shared" si="4"/>
        <v>12738321.145835368</v>
      </c>
    </row>
    <row r="19" spans="2:9" ht="15.75" thickBot="1" x14ac:dyDescent="0.3">
      <c r="B19" s="12" t="s">
        <v>19</v>
      </c>
      <c r="C19" s="15">
        <f>PPC!C7</f>
        <v>5119065.2799271755</v>
      </c>
      <c r="D19" s="15">
        <f>PTD!B7</f>
        <v>1217761.8</v>
      </c>
      <c r="E19" s="15">
        <v>0</v>
      </c>
      <c r="F19" s="13">
        <f t="shared" si="3"/>
        <v>6336827.0799271753</v>
      </c>
      <c r="H19" s="242" t="s">
        <v>19</v>
      </c>
      <c r="I19" s="23">
        <f t="shared" si="4"/>
        <v>7207394.6717224699</v>
      </c>
    </row>
    <row r="20" spans="2:9" ht="15.75" thickBot="1" x14ac:dyDescent="0.3">
      <c r="B20" s="12" t="s">
        <v>20</v>
      </c>
      <c r="C20" s="15">
        <f>PPC!C8</f>
        <v>2706828.1763210474</v>
      </c>
      <c r="D20" s="15">
        <f>PTD!B8</f>
        <v>672332.54</v>
      </c>
      <c r="E20" s="15">
        <v>0</v>
      </c>
      <c r="F20" s="13">
        <f t="shared" si="3"/>
        <v>3379160.7163210474</v>
      </c>
      <c r="H20" s="242" t="s">
        <v>20</v>
      </c>
      <c r="I20" s="23">
        <f t="shared" si="4"/>
        <v>4306933.2451850083</v>
      </c>
    </row>
    <row r="21" spans="2:9" ht="15.75" thickBot="1" x14ac:dyDescent="0.3">
      <c r="B21" s="12" t="s">
        <v>21</v>
      </c>
      <c r="C21" s="17">
        <v>0</v>
      </c>
      <c r="D21" s="15">
        <v>0</v>
      </c>
      <c r="E21" s="15">
        <v>0</v>
      </c>
      <c r="F21" s="13">
        <f t="shared" si="3"/>
        <v>0</v>
      </c>
      <c r="H21" s="242" t="s">
        <v>21</v>
      </c>
      <c r="I21" s="23">
        <f t="shared" si="4"/>
        <v>0</v>
      </c>
    </row>
    <row r="22" spans="2:9" x14ac:dyDescent="0.25">
      <c r="H22" s="242" t="s">
        <v>9</v>
      </c>
      <c r="I22" s="288">
        <f>SUM(I16:I21)</f>
        <v>70385704.183180228</v>
      </c>
    </row>
    <row r="24" spans="2:9" ht="15.75" thickBot="1" x14ac:dyDescent="0.3"/>
    <row r="25" spans="2:9" ht="27.75" thickBot="1" x14ac:dyDescent="0.3">
      <c r="B25" s="9" t="s">
        <v>12</v>
      </c>
      <c r="C25" s="10" t="s">
        <v>24</v>
      </c>
      <c r="D25" s="10" t="s">
        <v>25</v>
      </c>
      <c r="E25" s="10" t="s">
        <v>43</v>
      </c>
      <c r="F25" s="10" t="s">
        <v>33</v>
      </c>
    </row>
    <row r="26" spans="2:9" ht="15.75" thickBot="1" x14ac:dyDescent="0.3">
      <c r="B26" s="12" t="s">
        <v>16</v>
      </c>
      <c r="C26" s="14">
        <f>PCR!G4+'PCR (M1)'!G4</f>
        <v>1517320.3344532021</v>
      </c>
      <c r="D26" s="14">
        <f>TDR!F4+'TDR (M1)'!G4</f>
        <v>8251815.0365469158</v>
      </c>
      <c r="E26" s="15">
        <v>0</v>
      </c>
      <c r="F26" s="18">
        <f>SUM(C26:E26)</f>
        <v>9769135.3710001186</v>
      </c>
    </row>
    <row r="27" spans="2:9" ht="15.75" thickBot="1" x14ac:dyDescent="0.3">
      <c r="B27" s="12" t="s">
        <v>17</v>
      </c>
      <c r="C27" s="240">
        <f>PCR!G5+'PCR (M1)'!G5</f>
        <v>-1636639.4145311143</v>
      </c>
      <c r="D27" s="240">
        <f>TDR!F5+'TDR (M1)'!G5</f>
        <v>709182.73174749524</v>
      </c>
      <c r="E27" s="15">
        <v>0</v>
      </c>
      <c r="F27" s="18">
        <f t="shared" ref="F27:F31" si="5">SUM(C27:E27)</f>
        <v>-927456.68278361904</v>
      </c>
    </row>
    <row r="28" spans="2:9" ht="15.75" thickBot="1" x14ac:dyDescent="0.3">
      <c r="B28" s="12" t="s">
        <v>18</v>
      </c>
      <c r="C28" s="240">
        <f>PCR!G6+'PCR (M1)'!G6</f>
        <v>-3636101.326411074</v>
      </c>
      <c r="D28" s="240">
        <f>TDR!F6+'TDR (M1)'!G6</f>
        <v>915807.33271555277</v>
      </c>
      <c r="E28" s="15">
        <v>0</v>
      </c>
      <c r="F28" s="18">
        <f t="shared" si="5"/>
        <v>-2720293.9936955213</v>
      </c>
    </row>
    <row r="29" spans="2:9" ht="15.75" thickBot="1" x14ac:dyDescent="0.3">
      <c r="B29" s="12" t="s">
        <v>19</v>
      </c>
      <c r="C29" s="240">
        <f>PCR!G7+'PCR (M1)'!G7</f>
        <v>-1544332.5288657479</v>
      </c>
      <c r="D29" s="240">
        <f>TDR!F7+'TDR (M1)'!G7</f>
        <v>2414900.1206610426</v>
      </c>
      <c r="E29" s="15">
        <v>0</v>
      </c>
      <c r="F29" s="18">
        <f t="shared" si="5"/>
        <v>870567.59179529478</v>
      </c>
    </row>
    <row r="30" spans="2:9" ht="15.75" thickBot="1" x14ac:dyDescent="0.3">
      <c r="B30" s="12" t="s">
        <v>20</v>
      </c>
      <c r="C30" s="240">
        <f>PCR!G8+'PCR (M1)'!G8</f>
        <v>-889572.5882873782</v>
      </c>
      <c r="D30" s="240">
        <f>TDR!F8+'TDR (M1)'!G8</f>
        <v>1817345.1171513398</v>
      </c>
      <c r="E30" s="15">
        <v>0</v>
      </c>
      <c r="F30" s="18">
        <f t="shared" si="5"/>
        <v>927772.52886396158</v>
      </c>
    </row>
    <row r="31" spans="2:9" ht="15.75" thickBot="1" x14ac:dyDescent="0.3">
      <c r="B31" s="12" t="s">
        <v>21</v>
      </c>
      <c r="C31" s="14">
        <v>0</v>
      </c>
      <c r="D31" s="14">
        <v>0</v>
      </c>
      <c r="E31" s="15">
        <v>0</v>
      </c>
      <c r="F31" s="18">
        <f t="shared" si="5"/>
        <v>0</v>
      </c>
    </row>
    <row r="35" spans="6:7" x14ac:dyDescent="0.25">
      <c r="F35" s="23"/>
      <c r="G35" s="57"/>
    </row>
    <row r="36" spans="6:7" x14ac:dyDescent="0.25">
      <c r="G36" s="57"/>
    </row>
  </sheetData>
  <mergeCells count="1">
    <mergeCell ref="J2:K2"/>
  </mergeCells>
  <pageMargins left="0.7" right="0.7" top="0.75" bottom="0.75" header="0.3" footer="0.3"/>
  <pageSetup paperSize="5" scale="82" fitToHeight="0" orientation="landscape" r:id="rId1"/>
  <headerFooter scaleWithDoc="0">
    <oddFooter>&amp;R&amp;"Arial,Bold"&amp;12Schedule WRD-2, 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6"/>
  <sheetViews>
    <sheetView tabSelected="1" workbookViewId="0">
      <selection activeCell="A16" sqref="A16"/>
    </sheetView>
  </sheetViews>
  <sheetFormatPr defaultRowHeight="15" x14ac:dyDescent="0.25"/>
  <cols>
    <col min="1" max="2" width="9.140625" style="76"/>
    <col min="3" max="3" width="16.5703125" style="76" customWidth="1"/>
    <col min="4" max="4" width="15.5703125" style="76" customWidth="1"/>
    <col min="5" max="5" width="16.28515625" style="76" customWidth="1"/>
    <col min="6" max="6" width="17" style="76" customWidth="1"/>
    <col min="7" max="7" width="17.140625" style="76" customWidth="1"/>
    <col min="8" max="8" width="13.7109375" style="76" bestFit="1" customWidth="1"/>
    <col min="9" max="9" width="12.28515625" style="76" customWidth="1"/>
    <col min="10" max="11" width="13.42578125" style="76" customWidth="1"/>
    <col min="12" max="12" width="13.42578125" style="231" customWidth="1"/>
    <col min="13" max="13" width="7.28515625" style="76" customWidth="1"/>
    <col min="14" max="14" width="11" style="76" bestFit="1" customWidth="1"/>
    <col min="15" max="15" width="12.28515625" style="76" customWidth="1"/>
    <col min="16" max="16" width="12.28515625" style="231" customWidth="1"/>
    <col min="17" max="17" width="11" style="76" bestFit="1" customWidth="1"/>
    <col min="18" max="16384" width="9.140625" style="76"/>
  </cols>
  <sheetData>
    <row r="2" spans="2:24" ht="15.75" thickBot="1" x14ac:dyDescent="0.3">
      <c r="I2" s="232"/>
      <c r="J2" s="296" t="s">
        <v>29</v>
      </c>
      <c r="K2" s="296"/>
      <c r="L2" s="296"/>
      <c r="N2" s="76" t="s">
        <v>42</v>
      </c>
    </row>
    <row r="3" spans="2:24" ht="27.75" thickBot="1" x14ac:dyDescent="0.3">
      <c r="B3" s="9" t="s">
        <v>12</v>
      </c>
      <c r="C3" s="233" t="s">
        <v>34</v>
      </c>
      <c r="D3" s="233" t="s">
        <v>35</v>
      </c>
      <c r="E3" s="233" t="s">
        <v>125</v>
      </c>
      <c r="F3" s="233" t="s">
        <v>36</v>
      </c>
      <c r="G3" s="233" t="s">
        <v>14</v>
      </c>
      <c r="H3" s="11" t="s">
        <v>15</v>
      </c>
      <c r="J3" s="47" t="s">
        <v>30</v>
      </c>
      <c r="K3" s="47" t="s">
        <v>46</v>
      </c>
      <c r="L3" s="237" t="s">
        <v>126</v>
      </c>
      <c r="N3" s="76" t="s">
        <v>34</v>
      </c>
      <c r="O3" s="76" t="s">
        <v>35</v>
      </c>
      <c r="P3" s="231" t="s">
        <v>125</v>
      </c>
      <c r="Q3" s="76" t="s">
        <v>9</v>
      </c>
    </row>
    <row r="4" spans="2:24" ht="15.75" thickBot="1" x14ac:dyDescent="0.3">
      <c r="B4" s="12" t="s">
        <v>16</v>
      </c>
      <c r="C4" s="13">
        <f>C16+C26</f>
        <v>0</v>
      </c>
      <c r="D4" s="14">
        <f>D16+D26</f>
        <v>0</v>
      </c>
      <c r="E4" s="234">
        <f>E16+E26</f>
        <v>7894375.2448816346</v>
      </c>
      <c r="F4" s="15"/>
      <c r="G4" s="63">
        <f>PPC!B15</f>
        <v>12502369393.6098</v>
      </c>
      <c r="H4" s="78">
        <f>SUM(C4:E4)/G4</f>
        <v>6.3143033103122044E-4</v>
      </c>
      <c r="J4" s="72">
        <f>(C16+C26)/G4</f>
        <v>0</v>
      </c>
      <c r="K4" s="75">
        <f>(D16+D26)/G4</f>
        <v>0</v>
      </c>
      <c r="L4" s="75">
        <f>(E16+E26)/G4</f>
        <v>6.3143033103122044E-4</v>
      </c>
      <c r="M4" s="236">
        <f>J4+K4+L4-H4</f>
        <v>0</v>
      </c>
      <c r="N4" s="69">
        <f>ROUND(J4,6)</f>
        <v>0</v>
      </c>
      <c r="O4" s="69">
        <f>ROUND(K4,6)</f>
        <v>0</v>
      </c>
      <c r="P4" s="238">
        <f>ROUND(L4,6)</f>
        <v>6.3100000000000005E-4</v>
      </c>
      <c r="Q4" s="69">
        <f>SUM(N4:O4)</f>
        <v>0</v>
      </c>
      <c r="S4" s="65"/>
      <c r="V4" s="66"/>
      <c r="X4" s="67"/>
    </row>
    <row r="5" spans="2:24" ht="15.75" thickBot="1" x14ac:dyDescent="0.3">
      <c r="B5" s="12" t="s">
        <v>17</v>
      </c>
      <c r="C5" s="13">
        <f t="shared" ref="C5:D9" si="0">C17+C27</f>
        <v>0</v>
      </c>
      <c r="D5" s="14">
        <f>D17+D27</f>
        <v>0</v>
      </c>
      <c r="E5" s="234">
        <f t="shared" ref="E5:E9" si="1">E17+E27</f>
        <v>814313.45202908549</v>
      </c>
      <c r="F5" s="15"/>
      <c r="G5" s="16">
        <f>PPC!B5</f>
        <v>3378329624</v>
      </c>
      <c r="H5" s="78">
        <f>SUM(C5:E5)/G5</f>
        <v>2.4104026032395394E-4</v>
      </c>
      <c r="J5" s="74">
        <f>(C17+C27)/G5</f>
        <v>0</v>
      </c>
      <c r="K5" s="78">
        <f>(D17+D27)/G5</f>
        <v>0</v>
      </c>
      <c r="L5" s="75">
        <f t="shared" ref="L5:L8" si="2">(E17+E27)/G5</f>
        <v>2.4104026032395394E-4</v>
      </c>
      <c r="M5" s="236">
        <f t="shared" ref="M5:M8" si="3">J5+K5+L5-H5</f>
        <v>0</v>
      </c>
      <c r="N5" s="69">
        <f t="shared" ref="N5:O8" si="4">ROUND(J5,6)</f>
        <v>0</v>
      </c>
      <c r="O5" s="69">
        <f t="shared" si="4"/>
        <v>0</v>
      </c>
      <c r="P5" s="238">
        <f t="shared" ref="P5:P8" si="5">ROUND(L5,6)</f>
        <v>2.41E-4</v>
      </c>
      <c r="Q5" s="69">
        <f>SUM(N5:O5)</f>
        <v>0</v>
      </c>
      <c r="S5" s="65"/>
      <c r="V5" s="66"/>
    </row>
    <row r="6" spans="2:24" ht="15.75" thickBot="1" x14ac:dyDescent="0.3">
      <c r="B6" s="12" t="s">
        <v>18</v>
      </c>
      <c r="C6" s="13">
        <f t="shared" si="0"/>
        <v>0</v>
      </c>
      <c r="D6" s="14">
        <f t="shared" si="0"/>
        <v>0</v>
      </c>
      <c r="E6" s="234">
        <f t="shared" si="1"/>
        <v>3442014.0031145378</v>
      </c>
      <c r="F6" s="15"/>
      <c r="G6" s="16">
        <f>PPC!B6</f>
        <v>7837186937</v>
      </c>
      <c r="H6" s="78">
        <f>SUM(C6:E6)/G6</f>
        <v>4.3918998369995595E-4</v>
      </c>
      <c r="J6" s="74">
        <f>(C18+C28)/G6</f>
        <v>0</v>
      </c>
      <c r="K6" s="78">
        <f>(D18+D28)/G6</f>
        <v>0</v>
      </c>
      <c r="L6" s="75">
        <f t="shared" si="2"/>
        <v>4.3918998369995595E-4</v>
      </c>
      <c r="M6" s="236">
        <f t="shared" si="3"/>
        <v>0</v>
      </c>
      <c r="N6" s="69">
        <f t="shared" si="4"/>
        <v>0</v>
      </c>
      <c r="O6" s="69">
        <f t="shared" si="4"/>
        <v>0</v>
      </c>
      <c r="P6" s="238">
        <f t="shared" si="5"/>
        <v>4.3899999999999999E-4</v>
      </c>
      <c r="Q6" s="69">
        <f>SUM(N6:O6)</f>
        <v>0</v>
      </c>
    </row>
    <row r="7" spans="2:24" ht="15.75" thickBot="1" x14ac:dyDescent="0.3">
      <c r="B7" s="12" t="s">
        <v>19</v>
      </c>
      <c r="C7" s="13">
        <f t="shared" si="0"/>
        <v>0</v>
      </c>
      <c r="D7" s="14">
        <f t="shared" si="0"/>
        <v>0</v>
      </c>
      <c r="E7" s="234">
        <f t="shared" si="1"/>
        <v>1532825.3214665139</v>
      </c>
      <c r="F7" s="15"/>
      <c r="G7" s="16">
        <f>PPC!B7</f>
        <v>3314581865</v>
      </c>
      <c r="H7" s="78">
        <f>SUM(C7:E7)/G7</f>
        <v>4.6244907620241079E-4</v>
      </c>
      <c r="J7" s="74">
        <f>(C19+C29)/G7</f>
        <v>0</v>
      </c>
      <c r="K7" s="78">
        <f>(D19+D29)/G7</f>
        <v>0</v>
      </c>
      <c r="L7" s="75">
        <f t="shared" si="2"/>
        <v>4.6244907620241079E-4</v>
      </c>
      <c r="M7" s="236">
        <f t="shared" si="3"/>
        <v>0</v>
      </c>
      <c r="N7" s="69">
        <f t="shared" si="4"/>
        <v>0</v>
      </c>
      <c r="O7" s="69">
        <f t="shared" si="4"/>
        <v>0</v>
      </c>
      <c r="P7" s="238">
        <f t="shared" si="5"/>
        <v>4.6200000000000001E-4</v>
      </c>
      <c r="Q7" s="69">
        <f>SUM(N7:O7)</f>
        <v>0</v>
      </c>
    </row>
    <row r="8" spans="2:24" ht="15.75" thickBot="1" x14ac:dyDescent="0.3">
      <c r="B8" s="12" t="s">
        <v>20</v>
      </c>
      <c r="C8" s="13">
        <f t="shared" si="0"/>
        <v>0</v>
      </c>
      <c r="D8" s="14">
        <f t="shared" si="0"/>
        <v>0</v>
      </c>
      <c r="E8" s="234">
        <f t="shared" si="1"/>
        <v>1053817.4085082281</v>
      </c>
      <c r="F8" s="15"/>
      <c r="G8" s="16">
        <f>PPC!B8</f>
        <v>1752664421</v>
      </c>
      <c r="H8" s="78">
        <f>SUM(C8:E8)/G8</f>
        <v>6.0126593310256291E-4</v>
      </c>
      <c r="J8" s="74">
        <f>(C20+C30)/G8</f>
        <v>0</v>
      </c>
      <c r="K8" s="78">
        <f>(D20+D30)/G8</f>
        <v>0</v>
      </c>
      <c r="L8" s="75">
        <f t="shared" si="2"/>
        <v>6.0126593310256291E-4</v>
      </c>
      <c r="M8" s="236">
        <f t="shared" si="3"/>
        <v>0</v>
      </c>
      <c r="N8" s="69">
        <f t="shared" si="4"/>
        <v>0</v>
      </c>
      <c r="O8" s="69">
        <f t="shared" si="4"/>
        <v>0</v>
      </c>
      <c r="P8" s="238">
        <f t="shared" si="5"/>
        <v>6.0099999999999997E-4</v>
      </c>
      <c r="Q8" s="69">
        <f>SUM(N8:O8)</f>
        <v>0</v>
      </c>
    </row>
    <row r="9" spans="2:24" ht="15.75" thickBot="1" x14ac:dyDescent="0.3">
      <c r="B9" s="12" t="s">
        <v>21</v>
      </c>
      <c r="C9" s="13">
        <f t="shared" si="0"/>
        <v>0</v>
      </c>
      <c r="D9" s="14">
        <f t="shared" si="0"/>
        <v>0</v>
      </c>
      <c r="E9" s="234">
        <f t="shared" si="1"/>
        <v>0</v>
      </c>
      <c r="F9" s="15"/>
      <c r="G9" s="16">
        <v>0</v>
      </c>
      <c r="H9" s="78">
        <v>0</v>
      </c>
    </row>
    <row r="14" spans="2:24" ht="15.75" thickBot="1" x14ac:dyDescent="0.3"/>
    <row r="15" spans="2:24" ht="27.75" thickBot="1" x14ac:dyDescent="0.3">
      <c r="B15" s="9" t="s">
        <v>12</v>
      </c>
      <c r="C15" s="230" t="s">
        <v>22</v>
      </c>
      <c r="D15" s="230" t="s">
        <v>23</v>
      </c>
      <c r="E15" s="230" t="s">
        <v>124</v>
      </c>
      <c r="F15" s="230" t="s">
        <v>13</v>
      </c>
      <c r="I15" s="68" t="s">
        <v>146</v>
      </c>
    </row>
    <row r="16" spans="2:24" ht="15.75" thickBot="1" x14ac:dyDescent="0.3">
      <c r="B16" s="12" t="s">
        <v>16</v>
      </c>
      <c r="C16" s="15">
        <v>0</v>
      </c>
      <c r="D16" s="15">
        <v>0</v>
      </c>
      <c r="E16" s="235">
        <f>+'PI (M1)'!B11</f>
        <v>7894375.2448816346</v>
      </c>
      <c r="F16" s="13">
        <f>SUM(C16:E16)</f>
        <v>7894375.2448816346</v>
      </c>
      <c r="H16" s="242" t="s">
        <v>16</v>
      </c>
      <c r="I16" s="23">
        <f>SUM(C4:F4)</f>
        <v>7894375.2448816346</v>
      </c>
    </row>
    <row r="17" spans="2:9" ht="15.75" thickBot="1" x14ac:dyDescent="0.3">
      <c r="B17" s="12" t="s">
        <v>17</v>
      </c>
      <c r="C17" s="15">
        <v>0</v>
      </c>
      <c r="D17" s="15">
        <v>0</v>
      </c>
      <c r="E17" s="235">
        <f>+'PI (M1)'!B12</f>
        <v>814313.45202908549</v>
      </c>
      <c r="F17" s="13">
        <f t="shared" ref="F17:F21" si="6">SUM(C17:E17)</f>
        <v>814313.45202908549</v>
      </c>
      <c r="H17" s="242" t="s">
        <v>17</v>
      </c>
      <c r="I17" s="23">
        <f t="shared" ref="I17:I20" si="7">SUM(C5:F5)</f>
        <v>814313.45202908549</v>
      </c>
    </row>
    <row r="18" spans="2:9" ht="15.75" thickBot="1" x14ac:dyDescent="0.3">
      <c r="B18" s="12" t="s">
        <v>18</v>
      </c>
      <c r="C18" s="15">
        <v>0</v>
      </c>
      <c r="D18" s="15">
        <v>0</v>
      </c>
      <c r="E18" s="235">
        <f>+'PI (M1)'!B13</f>
        <v>3442014.0031145378</v>
      </c>
      <c r="F18" s="13">
        <f t="shared" si="6"/>
        <v>3442014.0031145378</v>
      </c>
      <c r="H18" s="242" t="s">
        <v>18</v>
      </c>
      <c r="I18" s="23">
        <f t="shared" si="7"/>
        <v>3442014.0031145378</v>
      </c>
    </row>
    <row r="19" spans="2:9" ht="15.75" thickBot="1" x14ac:dyDescent="0.3">
      <c r="B19" s="12" t="s">
        <v>19</v>
      </c>
      <c r="C19" s="15">
        <v>0</v>
      </c>
      <c r="D19" s="15">
        <v>0</v>
      </c>
      <c r="E19" s="235">
        <f>+'PI (M1)'!B14</f>
        <v>1532825.3214665139</v>
      </c>
      <c r="F19" s="13">
        <f t="shared" si="6"/>
        <v>1532825.3214665139</v>
      </c>
      <c r="H19" s="242" t="s">
        <v>19</v>
      </c>
      <c r="I19" s="23">
        <f t="shared" si="7"/>
        <v>1532825.3214665139</v>
      </c>
    </row>
    <row r="20" spans="2:9" ht="15.75" thickBot="1" x14ac:dyDescent="0.3">
      <c r="B20" s="12" t="s">
        <v>20</v>
      </c>
      <c r="C20" s="15">
        <v>0</v>
      </c>
      <c r="D20" s="15">
        <v>0</v>
      </c>
      <c r="E20" s="235">
        <f>+'PI (M1)'!B15</f>
        <v>1053817.4085082281</v>
      </c>
      <c r="F20" s="13">
        <f t="shared" si="6"/>
        <v>1053817.4085082281</v>
      </c>
      <c r="H20" s="242" t="s">
        <v>20</v>
      </c>
      <c r="I20" s="23">
        <f t="shared" si="7"/>
        <v>1053817.4085082281</v>
      </c>
    </row>
    <row r="21" spans="2:9" ht="15.75" thickBot="1" x14ac:dyDescent="0.3">
      <c r="B21" s="12" t="s">
        <v>21</v>
      </c>
      <c r="C21" s="17">
        <v>0</v>
      </c>
      <c r="D21" s="15">
        <v>0</v>
      </c>
      <c r="E21" s="15">
        <v>0</v>
      </c>
      <c r="F21" s="13">
        <f t="shared" si="6"/>
        <v>0</v>
      </c>
      <c r="H21" s="242" t="s">
        <v>21</v>
      </c>
      <c r="I21" s="23">
        <f>SUM(C9:F9)</f>
        <v>0</v>
      </c>
    </row>
    <row r="22" spans="2:9" x14ac:dyDescent="0.25">
      <c r="H22" s="242" t="s">
        <v>9</v>
      </c>
      <c r="I22" s="288">
        <f>SUM(I16:I21)</f>
        <v>14737345.430000002</v>
      </c>
    </row>
    <row r="24" spans="2:9" ht="15.75" thickBot="1" x14ac:dyDescent="0.3"/>
    <row r="25" spans="2:9" ht="27.75" thickBot="1" x14ac:dyDescent="0.3">
      <c r="B25" s="9" t="s">
        <v>12</v>
      </c>
      <c r="C25" s="229" t="s">
        <v>24</v>
      </c>
      <c r="D25" s="229" t="s">
        <v>25</v>
      </c>
      <c r="E25" s="229" t="s">
        <v>123</v>
      </c>
      <c r="F25" s="229" t="s">
        <v>33</v>
      </c>
    </row>
    <row r="26" spans="2:9" ht="15.75" thickBot="1" x14ac:dyDescent="0.3">
      <c r="B26" s="12" t="s">
        <v>16</v>
      </c>
      <c r="C26" s="14">
        <v>0</v>
      </c>
      <c r="D26" s="14">
        <v>0</v>
      </c>
      <c r="E26" s="15">
        <v>0</v>
      </c>
      <c r="F26" s="18">
        <f>SUM(C26:E26)</f>
        <v>0</v>
      </c>
    </row>
    <row r="27" spans="2:9" ht="15.75" thickBot="1" x14ac:dyDescent="0.3">
      <c r="B27" s="12" t="s">
        <v>17</v>
      </c>
      <c r="C27" s="14">
        <v>0</v>
      </c>
      <c r="D27" s="14">
        <v>0</v>
      </c>
      <c r="E27" s="235">
        <v>0</v>
      </c>
      <c r="F27" s="18">
        <f t="shared" ref="F27:F31" si="8">SUM(C27:E27)</f>
        <v>0</v>
      </c>
    </row>
    <row r="28" spans="2:9" ht="15.75" thickBot="1" x14ac:dyDescent="0.3">
      <c r="B28" s="12" t="s">
        <v>18</v>
      </c>
      <c r="C28" s="14">
        <v>0</v>
      </c>
      <c r="D28" s="14">
        <v>0</v>
      </c>
      <c r="E28" s="235">
        <v>0</v>
      </c>
      <c r="F28" s="18">
        <f t="shared" si="8"/>
        <v>0</v>
      </c>
    </row>
    <row r="29" spans="2:9" ht="15.75" thickBot="1" x14ac:dyDescent="0.3">
      <c r="B29" s="12" t="s">
        <v>19</v>
      </c>
      <c r="C29" s="14">
        <v>0</v>
      </c>
      <c r="D29" s="14">
        <v>0</v>
      </c>
      <c r="E29" s="235">
        <v>0</v>
      </c>
      <c r="F29" s="18">
        <f t="shared" si="8"/>
        <v>0</v>
      </c>
    </row>
    <row r="30" spans="2:9" ht="15.75" thickBot="1" x14ac:dyDescent="0.3">
      <c r="B30" s="12" t="s">
        <v>20</v>
      </c>
      <c r="C30" s="14">
        <v>0</v>
      </c>
      <c r="D30" s="14">
        <v>0</v>
      </c>
      <c r="E30" s="235">
        <v>0</v>
      </c>
      <c r="F30" s="18">
        <f t="shared" si="8"/>
        <v>0</v>
      </c>
    </row>
    <row r="31" spans="2:9" ht="15.75" thickBot="1" x14ac:dyDescent="0.3">
      <c r="B31" s="12" t="s">
        <v>21</v>
      </c>
      <c r="C31" s="14">
        <v>0</v>
      </c>
      <c r="D31" s="14">
        <v>0</v>
      </c>
      <c r="E31" s="235">
        <v>0</v>
      </c>
      <c r="F31" s="18">
        <f t="shared" si="8"/>
        <v>0</v>
      </c>
    </row>
    <row r="35" spans="6:7" x14ac:dyDescent="0.25">
      <c r="F35" s="23"/>
      <c r="G35" s="57"/>
    </row>
    <row r="36" spans="6:7" x14ac:dyDescent="0.25">
      <c r="G36" s="57"/>
    </row>
  </sheetData>
  <mergeCells count="1">
    <mergeCell ref="J2:L2"/>
  </mergeCells>
  <pageMargins left="0.7" right="0.7" top="0.75" bottom="0.75" header="0.3" footer="0.3"/>
  <pageSetup paperSize="5" scale="73" fitToHeight="0" orientation="landscape" r:id="rId1"/>
  <headerFooter scaleWithDoc="0">
    <oddFooter>&amp;R&amp;"Arial,Bold"&amp;12Schedule WRD-2, 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H31"/>
  <sheetViews>
    <sheetView tabSelected="1" workbookViewId="0">
      <selection activeCell="A16" sqref="A16"/>
    </sheetView>
  </sheetViews>
  <sheetFormatPr defaultRowHeight="15" x14ac:dyDescent="0.25"/>
  <cols>
    <col min="3" max="3" width="33.85546875" bestFit="1" customWidth="1"/>
    <col min="4" max="5" width="13.5703125" bestFit="1" customWidth="1"/>
    <col min="6" max="7" width="12.42578125" bestFit="1" customWidth="1"/>
    <col min="8" max="8" width="12" bestFit="1" customWidth="1"/>
  </cols>
  <sheetData>
    <row r="2" spans="3:8" ht="15.75" thickBot="1" x14ac:dyDescent="0.3">
      <c r="C2" s="83" t="s">
        <v>59</v>
      </c>
    </row>
    <row r="3" spans="3:8" x14ac:dyDescent="0.25">
      <c r="C3" s="297" t="s">
        <v>12</v>
      </c>
      <c r="D3" s="80" t="s">
        <v>48</v>
      </c>
      <c r="E3" s="80" t="s">
        <v>50</v>
      </c>
      <c r="F3" s="80" t="s">
        <v>51</v>
      </c>
      <c r="G3" s="80" t="s">
        <v>52</v>
      </c>
    </row>
    <row r="4" spans="3:8" ht="15.75" thickBot="1" x14ac:dyDescent="0.3">
      <c r="C4" s="298"/>
      <c r="D4" s="81" t="s">
        <v>49</v>
      </c>
      <c r="E4" s="81" t="s">
        <v>49</v>
      </c>
      <c r="F4" s="81" t="s">
        <v>49</v>
      </c>
      <c r="G4" s="81" t="s">
        <v>49</v>
      </c>
    </row>
    <row r="5" spans="3:8" ht="15.75" thickBot="1" x14ac:dyDescent="0.3">
      <c r="C5" s="82" t="s">
        <v>53</v>
      </c>
      <c r="D5" s="84">
        <v>0</v>
      </c>
      <c r="E5" s="84">
        <v>0</v>
      </c>
      <c r="F5" s="219">
        <f>+'tariff tables (M1)'!P4</f>
        <v>6.3100000000000005E-4</v>
      </c>
      <c r="G5" s="84">
        <v>0</v>
      </c>
    </row>
    <row r="6" spans="3:8" ht="15.75" thickBot="1" x14ac:dyDescent="0.3">
      <c r="C6" s="82" t="s">
        <v>54</v>
      </c>
      <c r="D6" s="84">
        <v>0</v>
      </c>
      <c r="E6" s="84">
        <v>0</v>
      </c>
      <c r="F6" s="219">
        <f>+'tariff tables (M1)'!P5</f>
        <v>2.41E-4</v>
      </c>
      <c r="G6" s="84">
        <v>0</v>
      </c>
    </row>
    <row r="7" spans="3:8" ht="15.75" thickBot="1" x14ac:dyDescent="0.3">
      <c r="C7" s="82" t="s">
        <v>55</v>
      </c>
      <c r="D7" s="84">
        <v>0</v>
      </c>
      <c r="E7" s="84">
        <v>0</v>
      </c>
      <c r="F7" s="219">
        <f>+'tariff tables (M1)'!P6</f>
        <v>4.3899999999999999E-4</v>
      </c>
      <c r="G7" s="84">
        <v>0</v>
      </c>
    </row>
    <row r="8" spans="3:8" ht="15.75" thickBot="1" x14ac:dyDescent="0.3">
      <c r="C8" s="82" t="s">
        <v>56</v>
      </c>
      <c r="D8" s="84">
        <v>0</v>
      </c>
      <c r="E8" s="84">
        <v>0</v>
      </c>
      <c r="F8" s="219">
        <f>+'tariff tables (M1)'!P7</f>
        <v>4.6200000000000001E-4</v>
      </c>
      <c r="G8" s="84">
        <v>0</v>
      </c>
    </row>
    <row r="9" spans="3:8" ht="15.75" thickBot="1" x14ac:dyDescent="0.3">
      <c r="C9" s="82" t="s">
        <v>57</v>
      </c>
      <c r="D9" s="84">
        <v>0</v>
      </c>
      <c r="E9" s="84">
        <v>0</v>
      </c>
      <c r="F9" s="219">
        <f>+'tariff tables (M1)'!P8</f>
        <v>6.0099999999999997E-4</v>
      </c>
      <c r="G9" s="84">
        <v>0</v>
      </c>
    </row>
    <row r="10" spans="3:8" ht="15.75" thickBot="1" x14ac:dyDescent="0.3">
      <c r="C10" s="82" t="s">
        <v>58</v>
      </c>
      <c r="D10" s="84">
        <v>0</v>
      </c>
      <c r="E10" s="84">
        <v>0</v>
      </c>
      <c r="F10" s="84">
        <v>0</v>
      </c>
      <c r="G10" s="84">
        <v>0</v>
      </c>
    </row>
    <row r="12" spans="3:8" ht="15.75" thickBot="1" x14ac:dyDescent="0.3">
      <c r="C12" s="83" t="s">
        <v>60</v>
      </c>
    </row>
    <row r="13" spans="3:8" x14ac:dyDescent="0.25">
      <c r="C13" s="297" t="s">
        <v>12</v>
      </c>
      <c r="D13" s="80" t="s">
        <v>48</v>
      </c>
      <c r="E13" s="80" t="s">
        <v>50</v>
      </c>
      <c r="F13" s="80" t="s">
        <v>67</v>
      </c>
      <c r="G13" s="80" t="s">
        <v>52</v>
      </c>
    </row>
    <row r="14" spans="3:8" ht="15.75" thickBot="1" x14ac:dyDescent="0.3">
      <c r="C14" s="298"/>
      <c r="D14" s="81" t="s">
        <v>49</v>
      </c>
      <c r="E14" s="81" t="s">
        <v>49</v>
      </c>
      <c r="F14" s="81" t="s">
        <v>49</v>
      </c>
      <c r="G14" s="81" t="s">
        <v>49</v>
      </c>
    </row>
    <row r="15" spans="3:8" ht="15.75" thickBot="1" x14ac:dyDescent="0.3">
      <c r="C15" s="82" t="s">
        <v>53</v>
      </c>
      <c r="D15" s="219">
        <f>'tariff tables'!M4</f>
        <v>1.9910000000000001E-3</v>
      </c>
      <c r="E15" s="219">
        <f>'tariff tables'!N4</f>
        <v>1.2700000000000001E-3</v>
      </c>
      <c r="F15" s="84">
        <v>0</v>
      </c>
      <c r="G15" s="84">
        <v>0</v>
      </c>
      <c r="H15" s="69"/>
    </row>
    <row r="16" spans="3:8" ht="15.75" thickBot="1" x14ac:dyDescent="0.3">
      <c r="C16" s="82" t="s">
        <v>54</v>
      </c>
      <c r="D16" s="219">
        <f>'tariff tables'!M5</f>
        <v>1.06E-3</v>
      </c>
      <c r="E16" s="219">
        <f>'tariff tables'!N5</f>
        <v>5.2700000000000002E-4</v>
      </c>
      <c r="F16" s="84">
        <v>0</v>
      </c>
      <c r="G16" s="84">
        <v>0</v>
      </c>
      <c r="H16" s="69"/>
    </row>
    <row r="17" spans="3:8" ht="15.75" thickBot="1" x14ac:dyDescent="0.3">
      <c r="C17" s="82" t="s">
        <v>55</v>
      </c>
      <c r="D17" s="219">
        <f>'tariff tables'!M6</f>
        <v>1.08E-3</v>
      </c>
      <c r="E17" s="219">
        <f>'tariff tables'!N6</f>
        <v>5.4500000000000002E-4</v>
      </c>
      <c r="F17" s="84">
        <v>0</v>
      </c>
      <c r="G17" s="84">
        <v>0</v>
      </c>
      <c r="H17" s="69"/>
    </row>
    <row r="18" spans="3:8" ht="15.75" thickBot="1" x14ac:dyDescent="0.3">
      <c r="C18" s="82" t="s">
        <v>56</v>
      </c>
      <c r="D18" s="219">
        <f>'tariff tables'!M7</f>
        <v>1.078E-3</v>
      </c>
      <c r="E18" s="219">
        <f>'tariff tables'!N7</f>
        <v>1.096E-3</v>
      </c>
      <c r="F18" s="84">
        <v>0</v>
      </c>
      <c r="G18" s="84">
        <v>0</v>
      </c>
      <c r="H18" s="69"/>
    </row>
    <row r="19" spans="3:8" ht="15.75" thickBot="1" x14ac:dyDescent="0.3">
      <c r="C19" s="82" t="s">
        <v>57</v>
      </c>
      <c r="D19" s="219">
        <f>'tariff tables'!M8</f>
        <v>1.0369999999999999E-3</v>
      </c>
      <c r="E19" s="219">
        <f>'tariff tables'!N8</f>
        <v>1.421E-3</v>
      </c>
      <c r="F19" s="84">
        <v>0</v>
      </c>
      <c r="G19" s="84">
        <v>0</v>
      </c>
      <c r="H19" s="69"/>
    </row>
    <row r="20" spans="3:8" ht="15.75" thickBot="1" x14ac:dyDescent="0.3">
      <c r="C20" s="82" t="s">
        <v>58</v>
      </c>
      <c r="D20" s="84">
        <v>0</v>
      </c>
      <c r="E20" s="84">
        <v>0</v>
      </c>
      <c r="F20" s="84">
        <v>0</v>
      </c>
      <c r="G20" s="84">
        <v>0</v>
      </c>
      <c r="H20" s="69"/>
    </row>
    <row r="21" spans="3:8" x14ac:dyDescent="0.25">
      <c r="D21" s="69"/>
      <c r="E21" s="69"/>
      <c r="F21" s="69"/>
      <c r="G21" s="69"/>
      <c r="H21" s="69"/>
    </row>
    <row r="22" spans="3:8" ht="15.75" thickBot="1" x14ac:dyDescent="0.3">
      <c r="C22" s="83" t="s">
        <v>63</v>
      </c>
      <c r="D22" s="69"/>
      <c r="E22" s="69"/>
      <c r="F22" s="69"/>
      <c r="G22" s="69"/>
      <c r="H22" s="69"/>
    </row>
    <row r="23" spans="3:8" x14ac:dyDescent="0.25">
      <c r="C23" s="297" t="s">
        <v>12</v>
      </c>
      <c r="D23" s="85" t="s">
        <v>34</v>
      </c>
      <c r="E23" s="85" t="s">
        <v>35</v>
      </c>
      <c r="F23" s="85" t="s">
        <v>61</v>
      </c>
      <c r="G23" s="85" t="s">
        <v>36</v>
      </c>
      <c r="H23" s="85" t="s">
        <v>9</v>
      </c>
    </row>
    <row r="24" spans="3:8" x14ac:dyDescent="0.25">
      <c r="C24" s="299"/>
      <c r="D24" s="86" t="s">
        <v>49</v>
      </c>
      <c r="E24" s="86" t="s">
        <v>49</v>
      </c>
      <c r="F24" s="86" t="s">
        <v>49</v>
      </c>
      <c r="G24" s="86" t="s">
        <v>49</v>
      </c>
      <c r="H24" s="86" t="s">
        <v>62</v>
      </c>
    </row>
    <row r="25" spans="3:8" ht="15.75" thickBot="1" x14ac:dyDescent="0.3">
      <c r="C25" s="298"/>
      <c r="D25" s="87"/>
      <c r="E25" s="87"/>
      <c r="F25" s="87"/>
      <c r="G25" s="87"/>
      <c r="H25" s="88" t="s">
        <v>49</v>
      </c>
    </row>
    <row r="26" spans="3:8" ht="15.75" thickBot="1" x14ac:dyDescent="0.3">
      <c r="C26" s="82" t="s">
        <v>53</v>
      </c>
      <c r="D26" s="219">
        <f>D15+D5</f>
        <v>1.9910000000000001E-3</v>
      </c>
      <c r="E26" s="219">
        <f>E15+E5</f>
        <v>1.2700000000000001E-3</v>
      </c>
      <c r="F26" s="219">
        <f>F15+F5</f>
        <v>6.3100000000000005E-4</v>
      </c>
      <c r="G26" s="84">
        <f t="shared" ref="G26" si="0">G15+G5</f>
        <v>0</v>
      </c>
      <c r="H26" s="88">
        <f>SUM(D26:G26)</f>
        <v>3.8920000000000001E-3</v>
      </c>
    </row>
    <row r="27" spans="3:8" ht="15.75" thickBot="1" x14ac:dyDescent="0.3">
      <c r="C27" s="82" t="s">
        <v>54</v>
      </c>
      <c r="D27" s="219">
        <f t="shared" ref="D27:G31" si="1">D16+D6</f>
        <v>1.06E-3</v>
      </c>
      <c r="E27" s="219">
        <f t="shared" si="1"/>
        <v>5.2700000000000002E-4</v>
      </c>
      <c r="F27" s="219">
        <f t="shared" si="1"/>
        <v>2.41E-4</v>
      </c>
      <c r="G27" s="84">
        <f t="shared" si="1"/>
        <v>0</v>
      </c>
      <c r="H27" s="88">
        <f t="shared" ref="H27:H31" si="2">SUM(D27:G27)</f>
        <v>1.8279999999999998E-3</v>
      </c>
    </row>
    <row r="28" spans="3:8" ht="15.75" thickBot="1" x14ac:dyDescent="0.3">
      <c r="C28" s="82" t="s">
        <v>55</v>
      </c>
      <c r="D28" s="219">
        <f t="shared" si="1"/>
        <v>1.08E-3</v>
      </c>
      <c r="E28" s="219">
        <f t="shared" si="1"/>
        <v>5.4500000000000002E-4</v>
      </c>
      <c r="F28" s="219">
        <f t="shared" si="1"/>
        <v>4.3899999999999999E-4</v>
      </c>
      <c r="G28" s="84">
        <f t="shared" si="1"/>
        <v>0</v>
      </c>
      <c r="H28" s="88">
        <f t="shared" si="2"/>
        <v>2.0640000000000003E-3</v>
      </c>
    </row>
    <row r="29" spans="3:8" ht="15.75" thickBot="1" x14ac:dyDescent="0.3">
      <c r="C29" s="82" t="s">
        <v>56</v>
      </c>
      <c r="D29" s="219">
        <f t="shared" si="1"/>
        <v>1.078E-3</v>
      </c>
      <c r="E29" s="219">
        <f t="shared" si="1"/>
        <v>1.096E-3</v>
      </c>
      <c r="F29" s="219">
        <f t="shared" si="1"/>
        <v>4.6200000000000001E-4</v>
      </c>
      <c r="G29" s="84">
        <f t="shared" si="1"/>
        <v>0</v>
      </c>
      <c r="H29" s="88">
        <f t="shared" si="2"/>
        <v>2.6359999999999999E-3</v>
      </c>
    </row>
    <row r="30" spans="3:8" ht="15.75" thickBot="1" x14ac:dyDescent="0.3">
      <c r="C30" s="82" t="s">
        <v>57</v>
      </c>
      <c r="D30" s="219">
        <f t="shared" si="1"/>
        <v>1.0369999999999999E-3</v>
      </c>
      <c r="E30" s="219">
        <f t="shared" si="1"/>
        <v>1.421E-3</v>
      </c>
      <c r="F30" s="219">
        <f t="shared" si="1"/>
        <v>6.0099999999999997E-4</v>
      </c>
      <c r="G30" s="84">
        <f t="shared" si="1"/>
        <v>0</v>
      </c>
      <c r="H30" s="88">
        <f t="shared" si="2"/>
        <v>3.0590000000000001E-3</v>
      </c>
    </row>
    <row r="31" spans="3:8" ht="15.75" thickBot="1" x14ac:dyDescent="0.3">
      <c r="C31" s="82" t="s">
        <v>58</v>
      </c>
      <c r="D31" s="84">
        <f t="shared" si="1"/>
        <v>0</v>
      </c>
      <c r="E31" s="84">
        <f t="shared" si="1"/>
        <v>0</v>
      </c>
      <c r="F31" s="84">
        <f t="shared" si="1"/>
        <v>0</v>
      </c>
      <c r="G31" s="84">
        <f t="shared" si="1"/>
        <v>0</v>
      </c>
      <c r="H31" s="88">
        <f t="shared" si="2"/>
        <v>0</v>
      </c>
    </row>
  </sheetData>
  <mergeCells count="3">
    <mergeCell ref="C3:C4"/>
    <mergeCell ref="C13:C14"/>
    <mergeCell ref="C23:C25"/>
  </mergeCells>
  <pageMargins left="0.7" right="0.7" top="0.75" bottom="0.75" header="0.3" footer="0.3"/>
  <pageSetup paperSize="5" fitToHeight="0" orientation="landscape" r:id="rId1"/>
  <headerFooter scaleWithDoc="0">
    <oddFooter>&amp;R&amp;"Arial,Bold"&amp;12Schedule WRD-2,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76"/>
  <sheetViews>
    <sheetView tabSelected="1" zoomScaleNormal="100" workbookViewId="0">
      <selection activeCell="A16" sqref="A16"/>
    </sheetView>
  </sheetViews>
  <sheetFormatPr defaultRowHeight="15" x14ac:dyDescent="0.25"/>
  <cols>
    <col min="1" max="1" width="17.5703125" style="76" customWidth="1"/>
    <col min="2" max="2" width="18" style="76" customWidth="1"/>
    <col min="3" max="3" width="16.42578125" style="76" customWidth="1"/>
    <col min="4" max="4" width="15.140625" style="76" customWidth="1"/>
    <col min="5" max="5" width="16.140625" style="76" customWidth="1"/>
    <col min="6" max="6" width="15" style="76" bestFit="1" customWidth="1"/>
    <col min="7" max="7" width="16" style="76" customWidth="1"/>
    <col min="8" max="8" width="15" style="76" bestFit="1" customWidth="1"/>
    <col min="9" max="11" width="16" style="76" bestFit="1" customWidth="1"/>
    <col min="12" max="12" width="16.42578125" style="76" customWidth="1"/>
    <col min="13" max="13" width="17.28515625" style="76" customWidth="1"/>
    <col min="14" max="14" width="16.85546875" style="76" customWidth="1"/>
    <col min="15" max="15" width="13.85546875" style="76" bestFit="1" customWidth="1"/>
    <col min="16" max="16" width="10.85546875" style="76" bestFit="1" customWidth="1"/>
    <col min="17" max="17" width="9.140625" style="76"/>
    <col min="18" max="18" width="12.7109375" style="76" bestFit="1" customWidth="1"/>
    <col min="19" max="16384" width="9.140625" style="76"/>
  </cols>
  <sheetData>
    <row r="2" spans="1:13" x14ac:dyDescent="0.25">
      <c r="B2" s="260" t="s">
        <v>82</v>
      </c>
      <c r="I2" s="3" t="s">
        <v>27</v>
      </c>
    </row>
    <row r="3" spans="1:13" x14ac:dyDescent="0.25">
      <c r="B3" s="89" t="s">
        <v>68</v>
      </c>
      <c r="C3" s="89" t="s">
        <v>83</v>
      </c>
      <c r="D3" s="259" t="s">
        <v>135</v>
      </c>
      <c r="E3" s="259" t="s">
        <v>99</v>
      </c>
      <c r="F3" s="89" t="s">
        <v>69</v>
      </c>
      <c r="G3" s="89" t="s">
        <v>84</v>
      </c>
      <c r="I3" s="58" t="s">
        <v>85</v>
      </c>
      <c r="J3" s="50"/>
      <c r="K3" s="50"/>
    </row>
    <row r="4" spans="1:13" x14ac:dyDescent="0.25">
      <c r="A4" s="76" t="s">
        <v>0</v>
      </c>
      <c r="B4" s="24">
        <f>SUM(B39:N39)</f>
        <v>17810877.8466</v>
      </c>
      <c r="C4" s="90">
        <f>SUM(B32:N32)</f>
        <v>11954979746</v>
      </c>
      <c r="D4" s="24">
        <f>SUM(B25:N25)</f>
        <v>16873491.931517683</v>
      </c>
      <c r="E4" s="24">
        <f>D4-B4</f>
        <v>-937385.91508231685</v>
      </c>
      <c r="F4" s="24">
        <f>SUM(B62:N62)</f>
        <v>1083.2131327965647</v>
      </c>
      <c r="G4" s="42">
        <f>E4+F4</f>
        <v>-936302.70194952027</v>
      </c>
      <c r="I4" s="58" t="s">
        <v>132</v>
      </c>
      <c r="J4" s="50"/>
      <c r="K4" s="50"/>
    </row>
    <row r="5" spans="1:13" x14ac:dyDescent="0.25">
      <c r="A5" s="76" t="s">
        <v>4</v>
      </c>
      <c r="B5" s="24">
        <f>SUM(B40:N40)</f>
        <v>3880550.7004300002</v>
      </c>
      <c r="C5" s="90">
        <f>SUM(B33:N33)</f>
        <v>3103147798</v>
      </c>
      <c r="D5" s="24">
        <f>SUM(B26:N26)</f>
        <v>2141717.8058343143</v>
      </c>
      <c r="E5" s="24">
        <f>D5-B5</f>
        <v>-1738832.8945956859</v>
      </c>
      <c r="F5" s="24">
        <f>SUM(B63:N63)</f>
        <v>-5452.336361868498</v>
      </c>
      <c r="G5" s="42">
        <f t="shared" ref="G5:G8" si="0">E5+F5</f>
        <v>-1744285.2309575544</v>
      </c>
      <c r="I5" s="58" t="s">
        <v>131</v>
      </c>
      <c r="J5" s="50"/>
      <c r="K5" s="50"/>
    </row>
    <row r="6" spans="1:13" x14ac:dyDescent="0.25">
      <c r="A6" s="76" t="s">
        <v>5</v>
      </c>
      <c r="B6" s="24">
        <f>SUM(B41:N41)</f>
        <v>8948668.3596579991</v>
      </c>
      <c r="C6" s="90">
        <f>SUM(B34:N34)</f>
        <v>7265672614</v>
      </c>
      <c r="D6" s="24">
        <f>SUM(B27:N27)</f>
        <v>4961095.6115354709</v>
      </c>
      <c r="E6" s="24">
        <f>D6-B6</f>
        <v>-3987572.7481225282</v>
      </c>
      <c r="F6" s="24">
        <f>SUM(B64:N64)</f>
        <v>-12522.599537100976</v>
      </c>
      <c r="G6" s="42">
        <f t="shared" si="0"/>
        <v>-4000095.3476596293</v>
      </c>
      <c r="I6" s="58" t="s">
        <v>133</v>
      </c>
      <c r="J6" s="50"/>
      <c r="K6" s="50"/>
    </row>
    <row r="7" spans="1:13" x14ac:dyDescent="0.25">
      <c r="A7" s="76" t="s">
        <v>6</v>
      </c>
      <c r="B7" s="24">
        <f>SUM(B42:N42)</f>
        <v>3732617.2967360001</v>
      </c>
      <c r="C7" s="90">
        <f>SUM(B35:N35)</f>
        <v>3098416433</v>
      </c>
      <c r="D7" s="24">
        <f>SUM(B28:N28)</f>
        <v>2087750.3600868222</v>
      </c>
      <c r="E7" s="24">
        <f>D7-B7</f>
        <v>-1644866.9366491779</v>
      </c>
      <c r="F7" s="24">
        <f>SUM(B65:N65)</f>
        <v>-5116.5698128909362</v>
      </c>
      <c r="G7" s="42">
        <f t="shared" si="0"/>
        <v>-1649983.5064620688</v>
      </c>
      <c r="I7" s="58" t="s">
        <v>86</v>
      </c>
      <c r="J7" s="50"/>
      <c r="K7" s="50"/>
    </row>
    <row r="8" spans="1:13" ht="15.75" thickBot="1" x14ac:dyDescent="0.3">
      <c r="A8" s="76" t="s">
        <v>7</v>
      </c>
      <c r="B8" s="24">
        <f>SUM(B43:N43)</f>
        <v>1875463.750422</v>
      </c>
      <c r="C8" s="90">
        <f>SUM(B36:N36)</f>
        <v>1623924975</v>
      </c>
      <c r="D8" s="24">
        <f>SUM(B29:N29)</f>
        <v>1109329.8010257101</v>
      </c>
      <c r="E8" s="24">
        <f>D8-B8</f>
        <v>-766133.94939628989</v>
      </c>
      <c r="F8" s="24">
        <f>SUM(B66:N66)</f>
        <v>-2191.8068763123733</v>
      </c>
      <c r="G8" s="42">
        <f t="shared" si="0"/>
        <v>-768325.75627260224</v>
      </c>
      <c r="I8" s="58" t="s">
        <v>87</v>
      </c>
      <c r="J8" s="50"/>
      <c r="K8" s="50"/>
    </row>
    <row r="9" spans="1:13" ht="16.5" thickTop="1" thickBot="1" x14ac:dyDescent="0.3">
      <c r="B9" s="91">
        <f t="shared" ref="B9:G9" si="1">SUM(B4:B8)</f>
        <v>36248177.953846</v>
      </c>
      <c r="C9" s="256">
        <f>SUM(C4:C8)</f>
        <v>27046141566</v>
      </c>
      <c r="D9" s="91">
        <f t="shared" si="1"/>
        <v>27173385.510000002</v>
      </c>
      <c r="E9" s="91">
        <f>SUM(E4:E8)</f>
        <v>-9074792.4438459985</v>
      </c>
      <c r="F9" s="91">
        <f>SUM(F4:F8)</f>
        <v>-24200.099455376218</v>
      </c>
      <c r="G9" s="91">
        <f t="shared" si="1"/>
        <v>-9098992.5433013756</v>
      </c>
      <c r="I9" s="58" t="s">
        <v>134</v>
      </c>
      <c r="J9" s="50"/>
      <c r="K9" s="50"/>
    </row>
    <row r="10" spans="1:13" ht="16.5" thickTop="1" thickBot="1" x14ac:dyDescent="0.3">
      <c r="E10" s="39" t="s">
        <v>26</v>
      </c>
      <c r="F10" s="21">
        <f>F9-SUM(B45:N45)</f>
        <v>5.4462378102471121E-4</v>
      </c>
      <c r="I10" s="58" t="s">
        <v>88</v>
      </c>
      <c r="J10" s="50"/>
      <c r="K10" s="50"/>
    </row>
    <row r="11" spans="1:13" ht="15.75" thickTop="1" x14ac:dyDescent="0.25">
      <c r="E11" s="4"/>
      <c r="G11" s="3"/>
    </row>
    <row r="12" spans="1:13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49"/>
      <c r="M12" s="49"/>
    </row>
    <row r="13" spans="1:13" x14ac:dyDescent="0.25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49"/>
      <c r="M13" s="49"/>
    </row>
    <row r="14" spans="1:13" x14ac:dyDescent="0.25"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3" x14ac:dyDescent="0.25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49"/>
      <c r="M15" s="49"/>
    </row>
    <row r="16" spans="1:13" ht="15.75" thickBot="1" x14ac:dyDescent="0.3"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21" ht="15.75" thickBot="1" x14ac:dyDescent="0.3">
      <c r="A17" s="76" t="s">
        <v>89</v>
      </c>
      <c r="B17" s="19"/>
      <c r="C17" s="127"/>
      <c r="D17" s="145" t="s">
        <v>72</v>
      </c>
      <c r="E17" s="127"/>
      <c r="F17" s="127"/>
      <c r="G17" s="127"/>
      <c r="H17" s="127"/>
      <c r="I17" s="127"/>
      <c r="J17" s="127"/>
      <c r="K17" s="127"/>
      <c r="L17" s="293" t="s">
        <v>71</v>
      </c>
      <c r="M17" s="294"/>
      <c r="N17" s="295"/>
    </row>
    <row r="18" spans="1:21" x14ac:dyDescent="0.25">
      <c r="B18" s="95">
        <v>42370</v>
      </c>
      <c r="C18" s="96">
        <f t="shared" ref="C18:K18" si="2">EDATE(B18,1)</f>
        <v>42401</v>
      </c>
      <c r="D18" s="96">
        <f t="shared" si="2"/>
        <v>42430</v>
      </c>
      <c r="E18" s="96">
        <f t="shared" si="2"/>
        <v>42461</v>
      </c>
      <c r="F18" s="96">
        <f t="shared" si="2"/>
        <v>42491</v>
      </c>
      <c r="G18" s="96">
        <f t="shared" si="2"/>
        <v>42522</v>
      </c>
      <c r="H18" s="96">
        <f t="shared" si="2"/>
        <v>42552</v>
      </c>
      <c r="I18" s="96">
        <f t="shared" si="2"/>
        <v>42583</v>
      </c>
      <c r="J18" s="96">
        <f t="shared" si="2"/>
        <v>42614</v>
      </c>
      <c r="K18" s="96">
        <f t="shared" si="2"/>
        <v>42644</v>
      </c>
      <c r="L18" s="95">
        <f>EDATE(K18,1)</f>
        <v>42675</v>
      </c>
      <c r="M18" s="96">
        <f t="shared" ref="M18" si="3">EDATE(L18,1)</f>
        <v>42705</v>
      </c>
      <c r="N18" s="97">
        <f>EDATE(M18,1)</f>
        <v>42736</v>
      </c>
      <c r="O18" s="1"/>
      <c r="P18" s="1"/>
      <c r="Q18" s="1"/>
      <c r="R18" s="1"/>
      <c r="S18" s="1"/>
      <c r="T18" s="1"/>
      <c r="U18" s="1"/>
    </row>
    <row r="19" spans="1:21" x14ac:dyDescent="0.25">
      <c r="A19" s="50" t="s">
        <v>0</v>
      </c>
      <c r="B19" s="98">
        <v>0</v>
      </c>
      <c r="C19" s="99">
        <v>0</v>
      </c>
      <c r="D19" s="99">
        <v>92701.6</v>
      </c>
      <c r="E19" s="99">
        <v>470887.92</v>
      </c>
      <c r="F19" s="99">
        <v>1113267.27</v>
      </c>
      <c r="G19" s="99">
        <v>1040037.3</v>
      </c>
      <c r="H19" s="99">
        <v>1509771.61</v>
      </c>
      <c r="I19" s="99">
        <v>2518235.16</v>
      </c>
      <c r="J19" s="46">
        <v>1528668.86</v>
      </c>
      <c r="K19" s="214">
        <v>1905356.75</v>
      </c>
      <c r="L19" s="146">
        <v>2158987</v>
      </c>
      <c r="M19" s="147">
        <v>1769709.36</v>
      </c>
      <c r="N19" s="148">
        <v>1193340.45</v>
      </c>
      <c r="O19" s="50"/>
    </row>
    <row r="20" spans="1:21" x14ac:dyDescent="0.25">
      <c r="A20" s="50" t="s">
        <v>1</v>
      </c>
      <c r="B20" s="98">
        <v>0</v>
      </c>
      <c r="C20" s="99">
        <v>0</v>
      </c>
      <c r="D20" s="99">
        <v>360011.71</v>
      </c>
      <c r="E20" s="99">
        <v>100283.17</v>
      </c>
      <c r="F20" s="99">
        <v>276551.98</v>
      </c>
      <c r="G20" s="99">
        <v>605722.87</v>
      </c>
      <c r="H20" s="99">
        <v>470055.31</v>
      </c>
      <c r="I20" s="99">
        <v>1007513.72</v>
      </c>
      <c r="J20" s="46">
        <v>231513.24</v>
      </c>
      <c r="K20" s="214">
        <v>1466502.53</v>
      </c>
      <c r="L20" s="146">
        <v>1340408.27</v>
      </c>
      <c r="M20" s="147">
        <v>1421766.06</v>
      </c>
      <c r="N20" s="148">
        <v>1143277.95</v>
      </c>
      <c r="O20" s="50"/>
    </row>
    <row r="21" spans="1:21" x14ac:dyDescent="0.25">
      <c r="A21" s="50" t="s">
        <v>2</v>
      </c>
      <c r="B21" s="98">
        <v>0</v>
      </c>
      <c r="C21" s="99">
        <v>0</v>
      </c>
      <c r="D21" s="99">
        <v>23175.4</v>
      </c>
      <c r="E21" s="99">
        <v>20000</v>
      </c>
      <c r="F21" s="99">
        <v>110941.65</v>
      </c>
      <c r="G21" s="99">
        <v>105942.24</v>
      </c>
      <c r="H21" s="99">
        <v>77203.42</v>
      </c>
      <c r="I21" s="99">
        <v>288148.55</v>
      </c>
      <c r="J21" s="46">
        <v>98245.3</v>
      </c>
      <c r="K21" s="214">
        <v>-20629.98</v>
      </c>
      <c r="L21" s="146">
        <v>278144</v>
      </c>
      <c r="M21" s="147">
        <v>299120</v>
      </c>
      <c r="N21" s="148">
        <v>395732</v>
      </c>
      <c r="O21" s="50"/>
    </row>
    <row r="22" spans="1:21" x14ac:dyDescent="0.25">
      <c r="A22" s="50" t="s">
        <v>3</v>
      </c>
      <c r="B22" s="98">
        <v>0</v>
      </c>
      <c r="C22" s="99">
        <v>0</v>
      </c>
      <c r="D22" s="99">
        <v>13689</v>
      </c>
      <c r="E22" s="99">
        <v>4868.25</v>
      </c>
      <c r="F22" s="99">
        <v>16491.560000000001</v>
      </c>
      <c r="G22" s="99">
        <v>61798.91</v>
      </c>
      <c r="H22" s="99">
        <v>129893.74</v>
      </c>
      <c r="I22" s="99">
        <v>87893.42</v>
      </c>
      <c r="J22" s="46">
        <v>242878.07999999999</v>
      </c>
      <c r="K22" s="214">
        <v>122671.65</v>
      </c>
      <c r="L22" s="146">
        <v>307471</v>
      </c>
      <c r="M22" s="147">
        <v>302930</v>
      </c>
      <c r="N22" s="148">
        <v>482207.23</v>
      </c>
      <c r="O22" s="50"/>
    </row>
    <row r="23" spans="1:21" x14ac:dyDescent="0.25">
      <c r="B23" s="106"/>
      <c r="C23" s="105"/>
      <c r="D23" s="105"/>
      <c r="E23" s="105"/>
      <c r="F23" s="105"/>
      <c r="G23" s="105"/>
      <c r="H23" s="105"/>
      <c r="I23" s="105"/>
      <c r="J23" s="105"/>
      <c r="K23" s="105"/>
      <c r="L23" s="104"/>
      <c r="M23" s="105"/>
      <c r="N23" s="108"/>
    </row>
    <row r="24" spans="1:21" x14ac:dyDescent="0.25">
      <c r="A24" s="76" t="s">
        <v>90</v>
      </c>
      <c r="B24" s="106"/>
      <c r="C24" s="105"/>
      <c r="D24" s="109"/>
      <c r="E24" s="105"/>
      <c r="F24" s="105"/>
      <c r="G24" s="105"/>
      <c r="H24" s="105"/>
      <c r="I24" s="105"/>
      <c r="J24" s="105"/>
      <c r="K24" s="105"/>
      <c r="L24" s="104"/>
      <c r="M24" s="105"/>
      <c r="N24" s="108"/>
    </row>
    <row r="25" spans="1:21" x14ac:dyDescent="0.25">
      <c r="A25" s="76" t="s">
        <v>0</v>
      </c>
      <c r="B25" s="117">
        <v>0</v>
      </c>
      <c r="C25" s="121">
        <v>0</v>
      </c>
      <c r="D25" s="144">
        <f>D19+((D32/SUM(D$32:D$36))*D$21)+((D32/SUM(D$32:D$36))*D$22)</f>
        <v>109165.05951390543</v>
      </c>
      <c r="E25" s="121">
        <f t="shared" ref="E25:J25" si="4">E19+((E32/SUM(E$32:E$36))*E$21)+((E32/SUM(E$32:E$36))*E$22)</f>
        <v>480741.41032421798</v>
      </c>
      <c r="F25" s="121">
        <f t="shared" si="4"/>
        <v>1159520.6775673528</v>
      </c>
      <c r="G25" s="121">
        <f t="shared" si="4"/>
        <v>1112154.6232287937</v>
      </c>
      <c r="H25" s="121">
        <f t="shared" si="4"/>
        <v>1607871.1840183262</v>
      </c>
      <c r="I25" s="121">
        <f t="shared" si="4"/>
        <v>2696956.6273276648</v>
      </c>
      <c r="J25" s="121">
        <f t="shared" si="4"/>
        <v>1680521.3719706708</v>
      </c>
      <c r="K25" s="121">
        <f>K19+((K32/SUM(K$32:K$36))*K$21)+((K32/SUM(K$32:K$36))*K$22)</f>
        <v>1945919.517875429</v>
      </c>
      <c r="L25" s="117">
        <f>L19+((L32/SUM(L$32:L$36))*L$21)+((L32/SUM(L$32:L$36))*L$22)</f>
        <v>2387043.8590253261</v>
      </c>
      <c r="M25" s="118">
        <f t="shared" ref="M25:N25" si="5">M19+((M32/SUM(M$32:M$36))*M$21)+((M32/SUM(M$32:M$36))*M$22)</f>
        <v>2052097.3606903038</v>
      </c>
      <c r="N25" s="122">
        <f t="shared" si="5"/>
        <v>1641500.2399756911</v>
      </c>
    </row>
    <row r="26" spans="1:21" x14ac:dyDescent="0.25">
      <c r="A26" s="76" t="s">
        <v>4</v>
      </c>
      <c r="B26" s="117">
        <v>0</v>
      </c>
      <c r="C26" s="121">
        <v>0</v>
      </c>
      <c r="D26" s="121">
        <f t="shared" ref="D26:J29" si="6">((D33/SUM(D$33:D$36))*D$20)+((D33/SUM(D$32:D$36))*D$21)+((D33/SUM(D$32:D$36))*D$22)</f>
        <v>80396.905524086716</v>
      </c>
      <c r="E26" s="121">
        <f t="shared" si="6"/>
        <v>22367.506099326867</v>
      </c>
      <c r="F26" s="121">
        <f t="shared" si="6"/>
        <v>66516.61829322367</v>
      </c>
      <c r="G26" s="121">
        <f t="shared" si="6"/>
        <v>141612.99114022916</v>
      </c>
      <c r="H26" s="121">
        <f t="shared" si="6"/>
        <v>123183.06799324245</v>
      </c>
      <c r="I26" s="121">
        <f t="shared" si="6"/>
        <v>256818.75360544008</v>
      </c>
      <c r="J26" s="121">
        <f t="shared" si="6"/>
        <v>84485.044258937647</v>
      </c>
      <c r="K26" s="121">
        <f t="shared" ref="K26:N29" si="7">((K33/SUM(K$33:K$36))*K$20)+((K33/SUM(K$32:K$36))*K$21)+((K33/SUM(K$32:K$36))*K$22)</f>
        <v>300926.18467047397</v>
      </c>
      <c r="L26" s="117">
        <f t="shared" si="7"/>
        <v>329636.82564382994</v>
      </c>
      <c r="M26" s="118">
        <f t="shared" si="7"/>
        <v>375258.92957645503</v>
      </c>
      <c r="N26" s="122">
        <f t="shared" si="7"/>
        <v>360514.97902906872</v>
      </c>
    </row>
    <row r="27" spans="1:21" x14ac:dyDescent="0.25">
      <c r="A27" s="76" t="s">
        <v>5</v>
      </c>
      <c r="B27" s="117">
        <v>0</v>
      </c>
      <c r="C27" s="121">
        <v>0</v>
      </c>
      <c r="D27" s="121">
        <f t="shared" si="6"/>
        <v>184247.82933918544</v>
      </c>
      <c r="E27" s="121">
        <f t="shared" si="6"/>
        <v>55385.846863700259</v>
      </c>
      <c r="F27" s="121">
        <f t="shared" si="6"/>
        <v>171531.62773943189</v>
      </c>
      <c r="G27" s="121">
        <f t="shared" si="6"/>
        <v>338504.71718132001</v>
      </c>
      <c r="H27" s="121">
        <f t="shared" si="6"/>
        <v>279215.68078933004</v>
      </c>
      <c r="I27" s="121">
        <f t="shared" si="6"/>
        <v>584292.23288406734</v>
      </c>
      <c r="J27" s="121">
        <f t="shared" si="6"/>
        <v>200672.65960033773</v>
      </c>
      <c r="K27" s="121">
        <f t="shared" ref="K27:M29" si="8">((K34/SUM(K$33:K$36))*K$20)+((K34/SUM(K$32:K$36))*K$21)+((K34/SUM(K$32:K$36))*K$22)</f>
        <v>739452.89185881964</v>
      </c>
      <c r="L27" s="117">
        <f t="shared" si="8"/>
        <v>811038.84009618033</v>
      </c>
      <c r="M27" s="118">
        <f t="shared" si="8"/>
        <v>841093.25919365871</v>
      </c>
      <c r="N27" s="122">
        <f t="shared" si="7"/>
        <v>755660.02598943957</v>
      </c>
    </row>
    <row r="28" spans="1:21" x14ac:dyDescent="0.25">
      <c r="A28" s="76" t="s">
        <v>6</v>
      </c>
      <c r="B28" s="117">
        <v>0</v>
      </c>
      <c r="C28" s="121">
        <v>0</v>
      </c>
      <c r="D28" s="121">
        <f t="shared" si="6"/>
        <v>76446.845496259717</v>
      </c>
      <c r="E28" s="121">
        <f t="shared" si="6"/>
        <v>24925.441552928634</v>
      </c>
      <c r="F28" s="121">
        <f t="shared" si="6"/>
        <v>80373.1566544823</v>
      </c>
      <c r="G28" s="121">
        <f t="shared" si="6"/>
        <v>143812.49422455556</v>
      </c>
      <c r="H28" s="121">
        <f t="shared" si="6"/>
        <v>117089.55808990503</v>
      </c>
      <c r="I28" s="121">
        <f t="shared" si="6"/>
        <v>238156.59167654801</v>
      </c>
      <c r="J28" s="121">
        <f t="shared" si="6"/>
        <v>88431.392361907871</v>
      </c>
      <c r="K28" s="121">
        <f t="shared" si="8"/>
        <v>314181.39281031361</v>
      </c>
      <c r="L28" s="117">
        <f t="shared" si="8"/>
        <v>358048.29544736299</v>
      </c>
      <c r="M28" s="118">
        <f t="shared" si="8"/>
        <v>344169.46196783578</v>
      </c>
      <c r="N28" s="122">
        <f t="shared" si="7"/>
        <v>302115.72980472283</v>
      </c>
    </row>
    <row r="29" spans="1:21" x14ac:dyDescent="0.25">
      <c r="A29" s="76" t="s">
        <v>7</v>
      </c>
      <c r="B29" s="117">
        <v>0</v>
      </c>
      <c r="C29" s="121">
        <v>0</v>
      </c>
      <c r="D29" s="121">
        <f t="shared" si="6"/>
        <v>39321.070126562699</v>
      </c>
      <c r="E29" s="121">
        <f t="shared" si="6"/>
        <v>12619.135159826228</v>
      </c>
      <c r="F29" s="121">
        <f t="shared" si="6"/>
        <v>39310.379745509235</v>
      </c>
      <c r="G29" s="121">
        <f t="shared" si="6"/>
        <v>77416.494225101458</v>
      </c>
      <c r="H29" s="121">
        <f t="shared" si="6"/>
        <v>59564.589109196262</v>
      </c>
      <c r="I29" s="121">
        <f t="shared" si="6"/>
        <v>125566.64450627941</v>
      </c>
      <c r="J29" s="121">
        <f t="shared" si="6"/>
        <v>47195.011808146039</v>
      </c>
      <c r="K29" s="121">
        <f t="shared" si="8"/>
        <v>173420.96278496395</v>
      </c>
      <c r="L29" s="117">
        <f t="shared" si="8"/>
        <v>199242.44978730052</v>
      </c>
      <c r="M29" s="118">
        <f t="shared" si="8"/>
        <v>180906.40857174684</v>
      </c>
      <c r="N29" s="122">
        <f t="shared" si="7"/>
        <v>154766.65520107758</v>
      </c>
    </row>
    <row r="30" spans="1:21" x14ac:dyDescent="0.25">
      <c r="B30" s="106"/>
      <c r="C30" s="105"/>
      <c r="D30" s="105"/>
      <c r="E30" s="105"/>
      <c r="F30" s="105"/>
      <c r="G30" s="105"/>
      <c r="H30" s="105"/>
      <c r="I30" s="105"/>
      <c r="J30" s="105"/>
      <c r="K30" s="105"/>
      <c r="L30" s="104"/>
      <c r="M30" s="105"/>
      <c r="N30" s="108"/>
    </row>
    <row r="31" spans="1:21" x14ac:dyDescent="0.25">
      <c r="A31" s="76" t="s">
        <v>91</v>
      </c>
      <c r="B31" s="106"/>
      <c r="C31" s="105"/>
      <c r="D31" s="109" t="s">
        <v>92</v>
      </c>
      <c r="E31" s="105"/>
      <c r="F31" s="105"/>
      <c r="G31" s="105"/>
      <c r="H31" s="105"/>
      <c r="I31" s="105"/>
      <c r="J31" s="105"/>
      <c r="K31" s="105"/>
      <c r="L31" s="104"/>
      <c r="M31" s="105"/>
      <c r="N31" s="108"/>
    </row>
    <row r="32" spans="1:21" x14ac:dyDescent="0.25">
      <c r="A32" s="50" t="s">
        <v>0</v>
      </c>
      <c r="B32" s="149">
        <v>0</v>
      </c>
      <c r="C32" s="143">
        <v>0</v>
      </c>
      <c r="D32" s="115">
        <v>993663505</v>
      </c>
      <c r="E32" s="115">
        <v>799965556</v>
      </c>
      <c r="F32" s="115">
        <v>694371338</v>
      </c>
      <c r="G32" s="115">
        <v>1033880199</v>
      </c>
      <c r="H32" s="115">
        <v>1389519683</v>
      </c>
      <c r="I32" s="115">
        <v>1393717014</v>
      </c>
      <c r="J32" s="115">
        <v>1260356462</v>
      </c>
      <c r="K32" s="115">
        <v>898752689</v>
      </c>
      <c r="L32" s="150">
        <v>796751908</v>
      </c>
      <c r="M32" s="151">
        <v>1172405717</v>
      </c>
      <c r="N32" s="152">
        <v>1521595675</v>
      </c>
      <c r="O32" s="153"/>
      <c r="P32" s="53"/>
      <c r="R32" s="53"/>
    </row>
    <row r="33" spans="1:18" x14ac:dyDescent="0.25">
      <c r="A33" s="50" t="s">
        <v>4</v>
      </c>
      <c r="B33" s="149">
        <v>0</v>
      </c>
      <c r="C33" s="143">
        <v>0</v>
      </c>
      <c r="D33" s="115">
        <v>260227273</v>
      </c>
      <c r="E33" s="115">
        <v>236480663</v>
      </c>
      <c r="F33" s="115">
        <v>226604577</v>
      </c>
      <c r="G33" s="115">
        <v>276800633</v>
      </c>
      <c r="H33" s="115">
        <v>328433342</v>
      </c>
      <c r="I33" s="115">
        <v>327996744</v>
      </c>
      <c r="J33" s="115">
        <v>315410170</v>
      </c>
      <c r="K33" s="115">
        <v>268275261</v>
      </c>
      <c r="L33" s="150">
        <v>242512022</v>
      </c>
      <c r="M33" s="151">
        <v>285988255</v>
      </c>
      <c r="N33" s="152">
        <v>334418858</v>
      </c>
      <c r="O33" s="153"/>
      <c r="P33" s="53"/>
      <c r="R33" s="53"/>
    </row>
    <row r="34" spans="1:18" x14ac:dyDescent="0.25">
      <c r="A34" s="50" t="s">
        <v>5</v>
      </c>
      <c r="B34" s="149">
        <v>0</v>
      </c>
      <c r="C34" s="143">
        <v>0</v>
      </c>
      <c r="D34" s="115">
        <v>596370095</v>
      </c>
      <c r="E34" s="115">
        <v>585567373</v>
      </c>
      <c r="F34" s="115">
        <v>584363020</v>
      </c>
      <c r="G34" s="115">
        <v>661650596</v>
      </c>
      <c r="H34" s="115">
        <v>744450846</v>
      </c>
      <c r="I34" s="115">
        <v>746230356</v>
      </c>
      <c r="J34" s="115">
        <v>749176357</v>
      </c>
      <c r="K34" s="115">
        <v>659221190</v>
      </c>
      <c r="L34" s="150">
        <v>596676869</v>
      </c>
      <c r="M34" s="151">
        <v>641004849</v>
      </c>
      <c r="N34" s="152">
        <v>700961063</v>
      </c>
      <c r="O34" s="153"/>
      <c r="P34" s="53"/>
      <c r="R34" s="53"/>
    </row>
    <row r="35" spans="1:18" x14ac:dyDescent="0.25">
      <c r="A35" s="50" t="s">
        <v>6</v>
      </c>
      <c r="B35" s="149">
        <v>0</v>
      </c>
      <c r="C35" s="143">
        <v>0</v>
      </c>
      <c r="D35" s="115">
        <v>247441789</v>
      </c>
      <c r="E35" s="115">
        <v>263524459</v>
      </c>
      <c r="F35" s="115">
        <v>273810149</v>
      </c>
      <c r="G35" s="115">
        <v>281099842</v>
      </c>
      <c r="H35" s="115">
        <v>312186695</v>
      </c>
      <c r="I35" s="115">
        <v>304162315</v>
      </c>
      <c r="J35" s="115">
        <v>330143172</v>
      </c>
      <c r="K35" s="115">
        <v>280092260</v>
      </c>
      <c r="L35" s="150">
        <v>263414186</v>
      </c>
      <c r="M35" s="151">
        <v>262294688</v>
      </c>
      <c r="N35" s="152">
        <v>280246878</v>
      </c>
      <c r="O35" s="153"/>
      <c r="P35" s="53"/>
      <c r="R35" s="53"/>
    </row>
    <row r="36" spans="1:18" x14ac:dyDescent="0.25">
      <c r="A36" s="50" t="s">
        <v>7</v>
      </c>
      <c r="B36" s="149">
        <v>0</v>
      </c>
      <c r="C36" s="143">
        <v>0</v>
      </c>
      <c r="D36" s="115">
        <v>127273740</v>
      </c>
      <c r="E36" s="115">
        <v>133415922</v>
      </c>
      <c r="F36" s="115">
        <v>133920097</v>
      </c>
      <c r="G36" s="115">
        <v>151320401</v>
      </c>
      <c r="H36" s="115">
        <v>158812387</v>
      </c>
      <c r="I36" s="115">
        <v>160367769</v>
      </c>
      <c r="J36" s="115">
        <v>176194341</v>
      </c>
      <c r="K36" s="115">
        <v>154604539</v>
      </c>
      <c r="L36" s="150">
        <v>146581588</v>
      </c>
      <c r="M36" s="151">
        <v>137870425</v>
      </c>
      <c r="N36" s="152">
        <v>143563766</v>
      </c>
      <c r="O36" s="153"/>
      <c r="P36" s="53"/>
      <c r="R36" s="53"/>
    </row>
    <row r="37" spans="1:18" x14ac:dyDescent="0.25">
      <c r="B37" s="106"/>
      <c r="C37" s="105"/>
      <c r="D37" s="105"/>
      <c r="E37" s="105"/>
      <c r="F37" s="105"/>
      <c r="G37" s="105"/>
      <c r="H37" s="105"/>
      <c r="I37" s="105"/>
      <c r="J37" s="105"/>
      <c r="K37" s="105"/>
      <c r="L37" s="104"/>
      <c r="M37" s="105"/>
      <c r="N37" s="108"/>
    </row>
    <row r="38" spans="1:18" x14ac:dyDescent="0.25">
      <c r="A38" s="76" t="s">
        <v>93</v>
      </c>
      <c r="B38" s="106"/>
      <c r="C38" s="105"/>
      <c r="D38" s="109" t="s">
        <v>72</v>
      </c>
      <c r="E38" s="105"/>
      <c r="F38" s="105"/>
      <c r="G38" s="105"/>
      <c r="H38" s="105"/>
      <c r="I38" s="105"/>
      <c r="J38" s="105"/>
      <c r="K38" s="105"/>
      <c r="L38" s="104"/>
      <c r="M38" s="105"/>
      <c r="N38" s="108"/>
      <c r="O38" s="123" t="s">
        <v>94</v>
      </c>
      <c r="P38" s="50"/>
    </row>
    <row r="39" spans="1:18" x14ac:dyDescent="0.25">
      <c r="A39" s="50" t="str">
        <f>A32</f>
        <v>RES</v>
      </c>
      <c r="B39" s="98">
        <v>0</v>
      </c>
      <c r="C39" s="99">
        <v>0</v>
      </c>
      <c r="D39" s="99">
        <v>0</v>
      </c>
      <c r="E39" s="99">
        <v>0</v>
      </c>
      <c r="F39" s="99">
        <v>123961.69</v>
      </c>
      <c r="G39" s="99">
        <v>1908168.92</v>
      </c>
      <c r="H39" s="99">
        <v>2568297.87</v>
      </c>
      <c r="I39" s="99">
        <v>2577448.31</v>
      </c>
      <c r="J39" s="99">
        <v>2331302.52</v>
      </c>
      <c r="K39" s="99">
        <v>1662285.76</v>
      </c>
      <c r="L39" s="117">
        <f>L32*$O39</f>
        <v>1515422.1290160001</v>
      </c>
      <c r="M39" s="118">
        <f t="shared" ref="L39:N43" si="9">M32*$O39</f>
        <v>2229915.673734</v>
      </c>
      <c r="N39" s="122">
        <f>N32*$O39</f>
        <v>2894074.9738500002</v>
      </c>
      <c r="O39" s="111">
        <v>1.902E-3</v>
      </c>
      <c r="P39" s="50"/>
    </row>
    <row r="40" spans="1:18" x14ac:dyDescent="0.25">
      <c r="A40" s="50" t="str">
        <f t="shared" ref="A40:A43" si="10">A33</f>
        <v>SGS</v>
      </c>
      <c r="B40" s="98">
        <v>0</v>
      </c>
      <c r="C40" s="99">
        <v>0</v>
      </c>
      <c r="D40" s="99">
        <v>0</v>
      </c>
      <c r="E40" s="99">
        <v>0</v>
      </c>
      <c r="F40" s="99">
        <v>30867.47</v>
      </c>
      <c r="G40" s="99">
        <v>447208.24</v>
      </c>
      <c r="H40" s="99">
        <v>531350.03</v>
      </c>
      <c r="I40" s="99">
        <v>530492.54</v>
      </c>
      <c r="J40" s="99">
        <v>510350.03</v>
      </c>
      <c r="K40" s="99">
        <v>434079.23</v>
      </c>
      <c r="L40" s="117">
        <f t="shared" si="9"/>
        <v>392384.451596</v>
      </c>
      <c r="M40" s="118">
        <f t="shared" si="9"/>
        <v>462728.99659</v>
      </c>
      <c r="N40" s="122">
        <f t="shared" si="9"/>
        <v>541089.71224400005</v>
      </c>
      <c r="O40" s="111">
        <v>1.6180000000000001E-3</v>
      </c>
      <c r="P40" s="50"/>
    </row>
    <row r="41" spans="1:18" x14ac:dyDescent="0.25">
      <c r="A41" s="50" t="str">
        <f t="shared" si="10"/>
        <v>LGS</v>
      </c>
      <c r="B41" s="98">
        <v>0</v>
      </c>
      <c r="C41" s="99">
        <v>0</v>
      </c>
      <c r="D41" s="99">
        <v>0</v>
      </c>
      <c r="E41" s="99">
        <v>0</v>
      </c>
      <c r="F41" s="99">
        <v>64202.879999999997</v>
      </c>
      <c r="G41" s="99">
        <v>1059813.77</v>
      </c>
      <c r="H41" s="99">
        <v>1203922.71</v>
      </c>
      <c r="I41" s="99">
        <v>1206399.46</v>
      </c>
      <c r="J41" s="99">
        <v>1211503.1299999999</v>
      </c>
      <c r="K41" s="99">
        <v>1066102.3899999999</v>
      </c>
      <c r="L41" s="117">
        <f t="shared" si="9"/>
        <v>965423.17404200009</v>
      </c>
      <c r="M41" s="118">
        <f t="shared" si="9"/>
        <v>1037145.845682</v>
      </c>
      <c r="N41" s="122">
        <f t="shared" si="9"/>
        <v>1134154.999934</v>
      </c>
      <c r="O41" s="111">
        <v>1.6180000000000001E-3</v>
      </c>
      <c r="P41" s="50"/>
    </row>
    <row r="42" spans="1:18" x14ac:dyDescent="0.25">
      <c r="A42" s="50" t="str">
        <f t="shared" si="10"/>
        <v>SPS</v>
      </c>
      <c r="B42" s="98">
        <v>0</v>
      </c>
      <c r="C42" s="99">
        <v>0</v>
      </c>
      <c r="D42" s="99">
        <v>0</v>
      </c>
      <c r="E42" s="99">
        <v>0</v>
      </c>
      <c r="F42" s="99">
        <v>42324.55</v>
      </c>
      <c r="G42" s="99">
        <v>402228.87</v>
      </c>
      <c r="H42" s="99">
        <v>504543.46</v>
      </c>
      <c r="I42" s="99">
        <v>492134.64</v>
      </c>
      <c r="J42" s="99">
        <v>534160.06000000006</v>
      </c>
      <c r="K42" s="99">
        <v>453189.31</v>
      </c>
      <c r="L42" s="117">
        <f t="shared" si="9"/>
        <v>426204.152948</v>
      </c>
      <c r="M42" s="118">
        <f t="shared" si="9"/>
        <v>424392.805184</v>
      </c>
      <c r="N42" s="122">
        <f t="shared" si="9"/>
        <v>453439.44860400003</v>
      </c>
      <c r="O42" s="111">
        <v>1.6180000000000001E-3</v>
      </c>
      <c r="P42" s="50"/>
    </row>
    <row r="43" spans="1:18" x14ac:dyDescent="0.25">
      <c r="A43" s="50" t="str">
        <f t="shared" si="10"/>
        <v>LPS</v>
      </c>
      <c r="B43" s="98">
        <v>0</v>
      </c>
      <c r="C43" s="99">
        <v>0</v>
      </c>
      <c r="D43" s="99">
        <v>0</v>
      </c>
      <c r="E43" s="99">
        <v>0</v>
      </c>
      <c r="F43" s="99">
        <v>0</v>
      </c>
      <c r="G43" s="99">
        <v>131268.19</v>
      </c>
      <c r="H43" s="99">
        <v>256958.42</v>
      </c>
      <c r="I43" s="99">
        <v>259475.03</v>
      </c>
      <c r="J43" s="99">
        <v>285082.46999999997</v>
      </c>
      <c r="K43" s="99">
        <v>250150.11</v>
      </c>
      <c r="L43" s="117">
        <f t="shared" si="9"/>
        <v>237169.009384</v>
      </c>
      <c r="M43" s="118">
        <f t="shared" si="9"/>
        <v>223074.34765000001</v>
      </c>
      <c r="N43" s="122">
        <f t="shared" si="9"/>
        <v>232286.17338800002</v>
      </c>
      <c r="O43" s="111">
        <v>1.6180000000000001E-3</v>
      </c>
      <c r="P43" s="50"/>
    </row>
    <row r="44" spans="1:18" x14ac:dyDescent="0.25">
      <c r="A44" s="50"/>
      <c r="B44" s="106"/>
      <c r="C44" s="114"/>
      <c r="D44" s="109" t="s">
        <v>72</v>
      </c>
      <c r="E44" s="114"/>
      <c r="F44" s="114"/>
      <c r="G44" s="114"/>
      <c r="H44" s="114"/>
      <c r="I44" s="114"/>
      <c r="J44" s="114"/>
      <c r="K44" s="114"/>
      <c r="L44" s="113"/>
      <c r="M44" s="114"/>
      <c r="N44" s="108"/>
    </row>
    <row r="45" spans="1:18" ht="15.75" thickBot="1" x14ac:dyDescent="0.3">
      <c r="A45" s="50" t="s">
        <v>95</v>
      </c>
      <c r="B45" s="124">
        <v>0</v>
      </c>
      <c r="C45" s="125">
        <v>0</v>
      </c>
      <c r="D45" s="125">
        <v>298.63</v>
      </c>
      <c r="E45" s="125">
        <v>674.69</v>
      </c>
      <c r="F45" s="125">
        <v>1475.36</v>
      </c>
      <c r="G45" s="125">
        <v>108.97</v>
      </c>
      <c r="H45" s="125">
        <v>-1399.24</v>
      </c>
      <c r="I45" s="125">
        <v>-2443.31</v>
      </c>
      <c r="J45" s="125">
        <v>-4160.29</v>
      </c>
      <c r="K45" s="125">
        <v>-4437.13</v>
      </c>
      <c r="L45" s="101">
        <v>-4092.54</v>
      </c>
      <c r="M45" s="102">
        <v>-4464.91</v>
      </c>
      <c r="N45" s="204">
        <v>-5760.33</v>
      </c>
      <c r="O45" s="50"/>
    </row>
    <row r="46" spans="1:18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6"/>
      <c r="M46" s="157"/>
      <c r="N46" s="158"/>
    </row>
    <row r="47" spans="1:18" x14ac:dyDescent="0.25">
      <c r="A47" s="76" t="s">
        <v>73</v>
      </c>
      <c r="B47" s="106"/>
      <c r="C47" s="105"/>
      <c r="D47" s="105"/>
      <c r="E47" s="105"/>
      <c r="F47" s="105"/>
      <c r="G47" s="105"/>
      <c r="H47" s="105"/>
      <c r="I47" s="105"/>
      <c r="J47" s="105"/>
      <c r="K47" s="105"/>
      <c r="L47" s="104"/>
      <c r="M47" s="105"/>
      <c r="N47" s="108"/>
    </row>
    <row r="48" spans="1:18" x14ac:dyDescent="0.25">
      <c r="A48" s="76" t="s">
        <v>0</v>
      </c>
      <c r="B48" s="117">
        <f>B25-B39</f>
        <v>0</v>
      </c>
      <c r="C48" s="121">
        <f>C25-C39</f>
        <v>0</v>
      </c>
      <c r="D48" s="121">
        <f t="shared" ref="D48:N52" si="11">D25-D39</f>
        <v>109165.05951390543</v>
      </c>
      <c r="E48" s="121">
        <f t="shared" si="11"/>
        <v>480741.41032421798</v>
      </c>
      <c r="F48" s="121">
        <f t="shared" si="11"/>
        <v>1035558.9875673528</v>
      </c>
      <c r="G48" s="121">
        <f t="shared" si="11"/>
        <v>-796014.29677120619</v>
      </c>
      <c r="H48" s="121">
        <f t="shared" si="11"/>
        <v>-960426.68598167389</v>
      </c>
      <c r="I48" s="121">
        <f t="shared" si="11"/>
        <v>119508.3173276647</v>
      </c>
      <c r="J48" s="121">
        <f t="shared" si="11"/>
        <v>-650781.14802932926</v>
      </c>
      <c r="K48" s="121">
        <f t="shared" si="11"/>
        <v>283633.757875429</v>
      </c>
      <c r="L48" s="117">
        <f>L25-L39</f>
        <v>871621.73000932601</v>
      </c>
      <c r="M48" s="121">
        <f t="shared" si="11"/>
        <v>-177818.31304369611</v>
      </c>
      <c r="N48" s="122">
        <f t="shared" si="11"/>
        <v>-1252574.7338743091</v>
      </c>
    </row>
    <row r="49" spans="1:14" x14ac:dyDescent="0.25">
      <c r="A49" s="76" t="s">
        <v>4</v>
      </c>
      <c r="B49" s="117">
        <f t="shared" ref="B49:J52" si="12">B26-B40</f>
        <v>0</v>
      </c>
      <c r="C49" s="121">
        <f t="shared" si="12"/>
        <v>0</v>
      </c>
      <c r="D49" s="121">
        <f t="shared" si="12"/>
        <v>80396.905524086716</v>
      </c>
      <c r="E49" s="121">
        <f t="shared" si="12"/>
        <v>22367.506099326867</v>
      </c>
      <c r="F49" s="121">
        <f t="shared" si="12"/>
        <v>35649.148293223669</v>
      </c>
      <c r="G49" s="121">
        <f t="shared" si="12"/>
        <v>-305595.24885977083</v>
      </c>
      <c r="H49" s="121">
        <f t="shared" si="12"/>
        <v>-408166.96200675756</v>
      </c>
      <c r="I49" s="121">
        <f t="shared" si="12"/>
        <v>-273673.78639455995</v>
      </c>
      <c r="J49" s="121">
        <f t="shared" si="12"/>
        <v>-425864.98574106238</v>
      </c>
      <c r="K49" s="121">
        <f t="shared" si="11"/>
        <v>-133153.04532952601</v>
      </c>
      <c r="L49" s="117">
        <f t="shared" si="11"/>
        <v>-62747.625952170056</v>
      </c>
      <c r="M49" s="121">
        <f t="shared" si="11"/>
        <v>-87470.067013544962</v>
      </c>
      <c r="N49" s="122">
        <f t="shared" si="11"/>
        <v>-180574.73321493133</v>
      </c>
    </row>
    <row r="50" spans="1:14" x14ac:dyDescent="0.25">
      <c r="A50" s="76" t="s">
        <v>5</v>
      </c>
      <c r="B50" s="117">
        <f t="shared" si="12"/>
        <v>0</v>
      </c>
      <c r="C50" s="121">
        <f t="shared" si="12"/>
        <v>0</v>
      </c>
      <c r="D50" s="121">
        <f t="shared" si="12"/>
        <v>184247.82933918544</v>
      </c>
      <c r="E50" s="121">
        <f t="shared" si="12"/>
        <v>55385.846863700259</v>
      </c>
      <c r="F50" s="121">
        <f t="shared" si="12"/>
        <v>107328.74773943188</v>
      </c>
      <c r="G50" s="121">
        <f t="shared" si="12"/>
        <v>-721309.05281867995</v>
      </c>
      <c r="H50" s="121">
        <f t="shared" si="12"/>
        <v>-924707.02921066992</v>
      </c>
      <c r="I50" s="121">
        <f t="shared" si="12"/>
        <v>-622107.22711593262</v>
      </c>
      <c r="J50" s="121">
        <f t="shared" si="12"/>
        <v>-1010830.4703996622</v>
      </c>
      <c r="K50" s="121">
        <f t="shared" si="11"/>
        <v>-326649.49814118026</v>
      </c>
      <c r="L50" s="117">
        <f t="shared" si="11"/>
        <v>-154384.33394581976</v>
      </c>
      <c r="M50" s="121">
        <f t="shared" si="11"/>
        <v>-196052.58648834133</v>
      </c>
      <c r="N50" s="122">
        <f t="shared" si="11"/>
        <v>-378494.97394456039</v>
      </c>
    </row>
    <row r="51" spans="1:14" x14ac:dyDescent="0.25">
      <c r="A51" s="76" t="s">
        <v>6</v>
      </c>
      <c r="B51" s="117">
        <f t="shared" si="12"/>
        <v>0</v>
      </c>
      <c r="C51" s="121">
        <f t="shared" si="12"/>
        <v>0</v>
      </c>
      <c r="D51" s="121">
        <f t="shared" si="12"/>
        <v>76446.845496259717</v>
      </c>
      <c r="E51" s="121">
        <f t="shared" si="12"/>
        <v>24925.441552928634</v>
      </c>
      <c r="F51" s="121">
        <f t="shared" si="12"/>
        <v>38048.606654482297</v>
      </c>
      <c r="G51" s="121">
        <f t="shared" si="12"/>
        <v>-258416.37577544444</v>
      </c>
      <c r="H51" s="121">
        <f t="shared" si="12"/>
        <v>-387453.90191009501</v>
      </c>
      <c r="I51" s="121">
        <f t="shared" si="12"/>
        <v>-253978.04832345201</v>
      </c>
      <c r="J51" s="121">
        <f t="shared" si="12"/>
        <v>-445728.66763809219</v>
      </c>
      <c r="K51" s="121">
        <f t="shared" si="11"/>
        <v>-139007.91718968638</v>
      </c>
      <c r="L51" s="117">
        <f t="shared" si="11"/>
        <v>-68155.857500637008</v>
      </c>
      <c r="M51" s="121">
        <f t="shared" si="11"/>
        <v>-80223.343216164212</v>
      </c>
      <c r="N51" s="122">
        <f t="shared" si="11"/>
        <v>-151323.71879927721</v>
      </c>
    </row>
    <row r="52" spans="1:14" x14ac:dyDescent="0.25">
      <c r="A52" s="76" t="s">
        <v>7</v>
      </c>
      <c r="B52" s="117">
        <f t="shared" si="12"/>
        <v>0</v>
      </c>
      <c r="C52" s="121">
        <f t="shared" si="12"/>
        <v>0</v>
      </c>
      <c r="D52" s="121">
        <f t="shared" si="12"/>
        <v>39321.070126562699</v>
      </c>
      <c r="E52" s="121">
        <f t="shared" si="12"/>
        <v>12619.135159826228</v>
      </c>
      <c r="F52" s="121">
        <f t="shared" si="12"/>
        <v>39310.379745509235</v>
      </c>
      <c r="G52" s="121">
        <f t="shared" si="12"/>
        <v>-53851.695774898544</v>
      </c>
      <c r="H52" s="121">
        <f t="shared" si="12"/>
        <v>-197393.83089080374</v>
      </c>
      <c r="I52" s="121">
        <f t="shared" si="12"/>
        <v>-133908.38549372059</v>
      </c>
      <c r="J52" s="121">
        <f t="shared" si="12"/>
        <v>-237887.45819185395</v>
      </c>
      <c r="K52" s="121">
        <f t="shared" si="11"/>
        <v>-76729.147215036035</v>
      </c>
      <c r="L52" s="117">
        <f t="shared" si="11"/>
        <v>-37926.559596699488</v>
      </c>
      <c r="M52" s="121">
        <f t="shared" si="11"/>
        <v>-42167.93907825317</v>
      </c>
      <c r="N52" s="122">
        <f t="shared" si="11"/>
        <v>-77519.518186922447</v>
      </c>
    </row>
    <row r="53" spans="1:14" x14ac:dyDescent="0.25">
      <c r="B53" s="106"/>
      <c r="C53" s="105"/>
      <c r="D53" s="105"/>
      <c r="E53" s="105"/>
      <c r="F53" s="105"/>
      <c r="G53" s="105"/>
      <c r="H53" s="105"/>
      <c r="I53" s="105"/>
      <c r="J53" s="105"/>
      <c r="K53" s="105"/>
      <c r="L53" s="104"/>
      <c r="M53" s="105"/>
      <c r="N53" s="108"/>
    </row>
    <row r="54" spans="1:14" x14ac:dyDescent="0.25">
      <c r="A54" s="76" t="s">
        <v>74</v>
      </c>
      <c r="B54" s="106"/>
      <c r="C54" s="105"/>
      <c r="D54" s="105"/>
      <c r="E54" s="105"/>
      <c r="F54" s="105"/>
      <c r="G54" s="105"/>
      <c r="H54" s="105"/>
      <c r="I54" s="105"/>
      <c r="J54" s="105"/>
      <c r="K54" s="105"/>
      <c r="L54" s="104"/>
      <c r="M54" s="105"/>
      <c r="N54" s="108"/>
    </row>
    <row r="55" spans="1:14" x14ac:dyDescent="0.25">
      <c r="A55" s="76" t="s">
        <v>0</v>
      </c>
      <c r="B55" s="117">
        <f>B48</f>
        <v>0</v>
      </c>
      <c r="C55" s="121">
        <f>B55+C48+B62</f>
        <v>0</v>
      </c>
      <c r="D55" s="121">
        <f t="shared" ref="D55:M59" si="13">C55+D48+C62</f>
        <v>109165.05951390543</v>
      </c>
      <c r="E55" s="121">
        <f t="shared" si="13"/>
        <v>589973.05797724216</v>
      </c>
      <c r="F55" s="121">
        <f t="shared" si="13"/>
        <v>1625898.6002303143</v>
      </c>
      <c r="G55" s="121">
        <f t="shared" si="13"/>
        <v>830908.3404646602</v>
      </c>
      <c r="H55" s="121">
        <f t="shared" si="13"/>
        <v>-129084.66537233327</v>
      </c>
      <c r="I55" s="121">
        <f t="shared" si="13"/>
        <v>-9644.0145489684128</v>
      </c>
      <c r="J55" s="121">
        <f t="shared" si="13"/>
        <v>-660431.30714965402</v>
      </c>
      <c r="K55" s="121">
        <f t="shared" si="13"/>
        <v>-377213.32380364108</v>
      </c>
      <c r="L55" s="117">
        <f>K55+L48+K62</f>
        <v>494169.45099538844</v>
      </c>
      <c r="M55" s="121">
        <f t="shared" si="13"/>
        <v>316664.18194466166</v>
      </c>
      <c r="N55" s="122">
        <f>M55+N48+M62</f>
        <v>-935709.95308699005</v>
      </c>
    </row>
    <row r="56" spans="1:14" x14ac:dyDescent="0.25">
      <c r="A56" s="76" t="s">
        <v>4</v>
      </c>
      <c r="B56" s="117">
        <f t="shared" ref="B56:B59" si="14">B49</f>
        <v>0</v>
      </c>
      <c r="C56" s="121">
        <f t="shared" ref="C56:J59" si="15">B56+C49+B63</f>
        <v>0</v>
      </c>
      <c r="D56" s="121">
        <f t="shared" si="15"/>
        <v>80396.905524086716</v>
      </c>
      <c r="E56" s="121">
        <f t="shared" si="15"/>
        <v>102813.45185985549</v>
      </c>
      <c r="F56" s="121">
        <f t="shared" si="15"/>
        <v>138526.47892182056</v>
      </c>
      <c r="G56" s="121">
        <f t="shared" si="15"/>
        <v>-166981.5220366084</v>
      </c>
      <c r="H56" s="121">
        <f t="shared" si="15"/>
        <v>-575235.63754407014</v>
      </c>
      <c r="I56" s="121">
        <f t="shared" si="15"/>
        <v>-849210.96389791986</v>
      </c>
      <c r="J56" s="121">
        <f t="shared" si="15"/>
        <v>-1275617.0144971686</v>
      </c>
      <c r="K56" s="121">
        <f t="shared" si="13"/>
        <v>-1409573.1245181714</v>
      </c>
      <c r="L56" s="117">
        <f t="shared" ref="L56:L59" si="16">K56+L49+K63</f>
        <v>-1473213.6798053957</v>
      </c>
      <c r="M56" s="121">
        <f t="shared" si="13"/>
        <v>-1561616.9908547553</v>
      </c>
      <c r="N56" s="122">
        <f t="shared" ref="N56:N59" si="17">M56+N49+M63</f>
        <v>-1743180.9693929683</v>
      </c>
    </row>
    <row r="57" spans="1:14" x14ac:dyDescent="0.25">
      <c r="A57" s="76" t="s">
        <v>5</v>
      </c>
      <c r="B57" s="117">
        <f t="shared" si="14"/>
        <v>0</v>
      </c>
      <c r="C57" s="121">
        <f t="shared" si="15"/>
        <v>0</v>
      </c>
      <c r="D57" s="121">
        <f t="shared" si="15"/>
        <v>184247.82933918544</v>
      </c>
      <c r="E57" s="121">
        <f t="shared" si="15"/>
        <v>239746.06307966658</v>
      </c>
      <c r="F57" s="121">
        <f t="shared" si="15"/>
        <v>347223.76684618538</v>
      </c>
      <c r="G57" s="121">
        <f t="shared" si="15"/>
        <v>-373866.59460612811</v>
      </c>
      <c r="H57" s="121">
        <f t="shared" si="15"/>
        <v>-1298768.7578778537</v>
      </c>
      <c r="I57" s="121">
        <f t="shared" si="15"/>
        <v>-1921556.8028235878</v>
      </c>
      <c r="J57" s="121">
        <f t="shared" si="15"/>
        <v>-2933611.5707220067</v>
      </c>
      <c r="K57" s="121">
        <f t="shared" si="13"/>
        <v>-3262107.9240275351</v>
      </c>
      <c r="L57" s="117">
        <f t="shared" si="16"/>
        <v>-3418558.7217905279</v>
      </c>
      <c r="M57" s="121">
        <f t="shared" si="13"/>
        <v>-3616776.8797651557</v>
      </c>
      <c r="N57" s="122">
        <f t="shared" si="17"/>
        <v>-3997562.9914436257</v>
      </c>
    </row>
    <row r="58" spans="1:14" x14ac:dyDescent="0.25">
      <c r="A58" s="76" t="s">
        <v>6</v>
      </c>
      <c r="B58" s="117">
        <f t="shared" si="14"/>
        <v>0</v>
      </c>
      <c r="C58" s="121">
        <f t="shared" si="15"/>
        <v>0</v>
      </c>
      <c r="D58" s="121">
        <f t="shared" si="15"/>
        <v>76446.845496259717</v>
      </c>
      <c r="E58" s="121">
        <f t="shared" si="15"/>
        <v>101418.91784118135</v>
      </c>
      <c r="F58" s="121">
        <f t="shared" si="15"/>
        <v>139530.53682996024</v>
      </c>
      <c r="G58" s="121">
        <f t="shared" si="15"/>
        <v>-118797.95866002348</v>
      </c>
      <c r="H58" s="121">
        <f t="shared" si="15"/>
        <v>-506313.86538267171</v>
      </c>
      <c r="I58" s="121">
        <f t="shared" si="15"/>
        <v>-760557.32470014202</v>
      </c>
      <c r="J58" s="121">
        <f t="shared" si="15"/>
        <v>-1206770.5725644981</v>
      </c>
      <c r="K58" s="121">
        <f t="shared" si="13"/>
        <v>-1346538.2121681424</v>
      </c>
      <c r="L58" s="117">
        <f t="shared" si="16"/>
        <v>-1415547.0679627326</v>
      </c>
      <c r="M58" s="121">
        <f t="shared" si="13"/>
        <v>-1496667.1248577747</v>
      </c>
      <c r="N58" s="122">
        <f t="shared" si="17"/>
        <v>-1648938.9448639711</v>
      </c>
    </row>
    <row r="59" spans="1:14" x14ac:dyDescent="0.25">
      <c r="A59" s="76" t="s">
        <v>7</v>
      </c>
      <c r="B59" s="117">
        <f t="shared" si="14"/>
        <v>0</v>
      </c>
      <c r="C59" s="121">
        <f t="shared" si="15"/>
        <v>0</v>
      </c>
      <c r="D59" s="121">
        <f t="shared" si="15"/>
        <v>39321.070126562699</v>
      </c>
      <c r="E59" s="121">
        <f t="shared" si="15"/>
        <v>51964.190221674493</v>
      </c>
      <c r="F59" s="121">
        <f t="shared" si="15"/>
        <v>91306.855708299874</v>
      </c>
      <c r="G59" s="121">
        <f t="shared" si="15"/>
        <v>37512.667578153996</v>
      </c>
      <c r="H59" s="121">
        <f t="shared" si="15"/>
        <v>-159861.58413849736</v>
      </c>
      <c r="I59" s="121">
        <f t="shared" si="15"/>
        <v>-293853.76947427733</v>
      </c>
      <c r="J59" s="121">
        <f t="shared" si="15"/>
        <v>-531928.45316705783</v>
      </c>
      <c r="K59" s="121">
        <f t="shared" si="13"/>
        <v>-608992.47593978513</v>
      </c>
      <c r="L59" s="117">
        <f t="shared" si="16"/>
        <v>-647304.81704518048</v>
      </c>
      <c r="M59" s="121">
        <f t="shared" si="13"/>
        <v>-689882.80754241126</v>
      </c>
      <c r="N59" s="122">
        <f t="shared" si="17"/>
        <v>-767839.34924084158</v>
      </c>
    </row>
    <row r="60" spans="1:14" x14ac:dyDescent="0.25">
      <c r="B60" s="106"/>
      <c r="C60" s="105"/>
      <c r="D60" s="105"/>
      <c r="E60" s="105"/>
      <c r="F60" s="105"/>
      <c r="G60" s="105"/>
      <c r="H60" s="105"/>
      <c r="I60" s="105"/>
      <c r="J60" s="105"/>
      <c r="K60" s="105"/>
      <c r="L60" s="104"/>
      <c r="M60" s="105"/>
      <c r="N60" s="108"/>
    </row>
    <row r="61" spans="1:14" x14ac:dyDescent="0.25">
      <c r="A61" s="76" t="s">
        <v>69</v>
      </c>
      <c r="B61" s="130">
        <v>0</v>
      </c>
      <c r="C61" s="131">
        <v>0</v>
      </c>
      <c r="D61" s="131">
        <f>0.731972%/12</f>
        <v>6.0997666666666656E-4</v>
      </c>
      <c r="E61" s="131">
        <f>0.745569%/12</f>
        <v>6.2130750000000004E-4</v>
      </c>
      <c r="F61" s="131">
        <f>0.755794%/12</f>
        <v>6.2982833333333329E-4</v>
      </c>
      <c r="G61" s="131">
        <f>0.626322%/12</f>
        <v>5.2193500000000006E-4</v>
      </c>
      <c r="H61" s="131">
        <f>0.629043%/12</f>
        <v>5.2420250000000004E-4</v>
      </c>
      <c r="I61" s="131">
        <f>0.764566%/12</f>
        <v>6.3713833333333325E-4</v>
      </c>
      <c r="J61" s="131">
        <f>0.75546%/12</f>
        <v>6.2954999999999999E-4</v>
      </c>
      <c r="K61" s="274">
        <f>0.76017%/12</f>
        <v>6.3347499999999999E-4</v>
      </c>
      <c r="L61" s="130">
        <f>K61</f>
        <v>6.3347499999999999E-4</v>
      </c>
      <c r="M61" s="131">
        <f>+L61</f>
        <v>6.3347499999999999E-4</v>
      </c>
      <c r="N61" s="275">
        <f t="shared" ref="N61" si="18">+M61</f>
        <v>6.3347499999999999E-4</v>
      </c>
    </row>
    <row r="62" spans="1:14" x14ac:dyDescent="0.25">
      <c r="A62" s="76" t="s">
        <v>0</v>
      </c>
      <c r="B62" s="117">
        <f>B55*B$61</f>
        <v>0</v>
      </c>
      <c r="C62" s="121">
        <f t="shared" ref="C62:N66" si="19">C55*C$61</f>
        <v>0</v>
      </c>
      <c r="D62" s="121">
        <f t="shared" si="19"/>
        <v>66.58813911876031</v>
      </c>
      <c r="E62" s="121">
        <f t="shared" si="19"/>
        <v>366.55468571919539</v>
      </c>
      <c r="F62" s="121">
        <f t="shared" si="19"/>
        <v>1024.0370055520584</v>
      </c>
      <c r="G62" s="121">
        <f t="shared" si="19"/>
        <v>433.68014468042247</v>
      </c>
      <c r="H62" s="121">
        <f t="shared" si="19"/>
        <v>-67.66650429984054</v>
      </c>
      <c r="I62" s="121">
        <f t="shared" si="19"/>
        <v>-6.1445713563721522</v>
      </c>
      <c r="J62" s="121">
        <f t="shared" si="19"/>
        <v>-415.77452941606469</v>
      </c>
      <c r="K62" s="121">
        <f t="shared" si="19"/>
        <v>-238.95521029651152</v>
      </c>
      <c r="L62" s="117">
        <f t="shared" si="19"/>
        <v>313.0439929693037</v>
      </c>
      <c r="M62" s="121">
        <f t="shared" si="19"/>
        <v>200.59884265739453</v>
      </c>
      <c r="N62" s="122">
        <f>N55*N$61</f>
        <v>-592.74886253178101</v>
      </c>
    </row>
    <row r="63" spans="1:14" x14ac:dyDescent="0.25">
      <c r="A63" s="76" t="s">
        <v>4</v>
      </c>
      <c r="B63" s="117">
        <f t="shared" ref="B63:J66" si="20">B56*B$61</f>
        <v>0</v>
      </c>
      <c r="C63" s="121">
        <f t="shared" si="20"/>
        <v>0</v>
      </c>
      <c r="D63" s="121">
        <f t="shared" si="20"/>
        <v>49.040236441897328</v>
      </c>
      <c r="E63" s="121">
        <f t="shared" si="20"/>
        <v>63.878768741417169</v>
      </c>
      <c r="F63" s="121">
        <f t="shared" si="20"/>
        <v>87.247901341865372</v>
      </c>
      <c r="G63" s="121">
        <f t="shared" si="20"/>
        <v>-87.153500704177219</v>
      </c>
      <c r="H63" s="121">
        <f t="shared" si="20"/>
        <v>-301.53995928969545</v>
      </c>
      <c r="I63" s="121">
        <f t="shared" si="20"/>
        <v>-541.06485818631404</v>
      </c>
      <c r="J63" s="121">
        <f t="shared" si="20"/>
        <v>-803.06469147669247</v>
      </c>
      <c r="K63" s="121">
        <f t="shared" si="19"/>
        <v>-892.92933505414862</v>
      </c>
      <c r="L63" s="117">
        <f t="shared" si="19"/>
        <v>-933.24403581472302</v>
      </c>
      <c r="M63" s="121">
        <f t="shared" si="19"/>
        <v>-989.24532328171608</v>
      </c>
      <c r="N63" s="122">
        <f t="shared" si="19"/>
        <v>-1104.2615645862106</v>
      </c>
    </row>
    <row r="64" spans="1:14" x14ac:dyDescent="0.25">
      <c r="A64" s="76" t="s">
        <v>5</v>
      </c>
      <c r="B64" s="117">
        <f t="shared" si="20"/>
        <v>0</v>
      </c>
      <c r="C64" s="121">
        <f t="shared" si="20"/>
        <v>0</v>
      </c>
      <c r="D64" s="121">
        <f t="shared" si="20"/>
        <v>112.38687678088519</v>
      </c>
      <c r="E64" s="121">
        <f t="shared" si="20"/>
        <v>148.95602708686997</v>
      </c>
      <c r="F64" s="121">
        <f t="shared" si="20"/>
        <v>218.69136636645484</v>
      </c>
      <c r="G64" s="121">
        <f t="shared" si="20"/>
        <v>-195.1340610557495</v>
      </c>
      <c r="H64" s="121">
        <f t="shared" si="20"/>
        <v>-680.81782980146568</v>
      </c>
      <c r="I64" s="121">
        <f t="shared" si="20"/>
        <v>-1224.2974987563491</v>
      </c>
      <c r="J64" s="121">
        <f t="shared" si="20"/>
        <v>-1846.8551643480394</v>
      </c>
      <c r="K64" s="121">
        <f t="shared" si="19"/>
        <v>-2066.4638171733427</v>
      </c>
      <c r="L64" s="117">
        <f t="shared" si="19"/>
        <v>-2165.5714862862546</v>
      </c>
      <c r="M64" s="121">
        <f t="shared" si="19"/>
        <v>-2291.1377339092319</v>
      </c>
      <c r="N64" s="122">
        <f t="shared" si="19"/>
        <v>-2532.3562160047509</v>
      </c>
    </row>
    <row r="65" spans="1:14" x14ac:dyDescent="0.25">
      <c r="A65" s="76" t="s">
        <v>6</v>
      </c>
      <c r="B65" s="117">
        <f t="shared" si="20"/>
        <v>0</v>
      </c>
      <c r="C65" s="121">
        <f t="shared" si="20"/>
        <v>0</v>
      </c>
      <c r="D65" s="121">
        <f t="shared" si="20"/>
        <v>46.630791992990176</v>
      </c>
      <c r="E65" s="121">
        <f t="shared" si="20"/>
        <v>63.012334296609787</v>
      </c>
      <c r="F65" s="121">
        <f t="shared" si="20"/>
        <v>87.880285460719136</v>
      </c>
      <c r="G65" s="121">
        <f t="shared" si="20"/>
        <v>-62.004812553219359</v>
      </c>
      <c r="H65" s="121">
        <f t="shared" si="20"/>
        <v>-265.41099401826</v>
      </c>
      <c r="I65" s="121">
        <f t="shared" si="20"/>
        <v>-484.58022626390726</v>
      </c>
      <c r="J65" s="121">
        <f t="shared" si="20"/>
        <v>-759.72241395797971</v>
      </c>
      <c r="K65" s="121">
        <f t="shared" si="19"/>
        <v>-852.99829395321399</v>
      </c>
      <c r="L65" s="117">
        <f t="shared" si="19"/>
        <v>-896.71367887769202</v>
      </c>
      <c r="M65" s="121">
        <f t="shared" si="19"/>
        <v>-948.10120691927887</v>
      </c>
      <c r="N65" s="122">
        <f t="shared" si="19"/>
        <v>-1044.5615980977041</v>
      </c>
    </row>
    <row r="66" spans="1:14" ht="15.75" thickBot="1" x14ac:dyDescent="0.3">
      <c r="A66" s="76" t="s">
        <v>7</v>
      </c>
      <c r="B66" s="117">
        <f t="shared" si="20"/>
        <v>0</v>
      </c>
      <c r="C66" s="121">
        <f t="shared" si="20"/>
        <v>0</v>
      </c>
      <c r="D66" s="121">
        <f t="shared" si="20"/>
        <v>23.984935285566955</v>
      </c>
      <c r="E66" s="121">
        <f t="shared" si="20"/>
        <v>32.285741116153027</v>
      </c>
      <c r="F66" s="121">
        <f t="shared" si="20"/>
        <v>57.507644752665662</v>
      </c>
      <c r="G66" s="121">
        <f t="shared" si="20"/>
        <v>19.579174152403809</v>
      </c>
      <c r="H66" s="121">
        <f t="shared" si="20"/>
        <v>-83.799842059360671</v>
      </c>
      <c r="I66" s="121">
        <f t="shared" si="20"/>
        <v>-187.22550092655857</v>
      </c>
      <c r="J66" s="121">
        <f t="shared" si="20"/>
        <v>-334.87555769132126</v>
      </c>
      <c r="K66" s="121">
        <f t="shared" si="19"/>
        <v>-385.78150869595538</v>
      </c>
      <c r="L66" s="117">
        <f t="shared" si="19"/>
        <v>-410.05141897769568</v>
      </c>
      <c r="M66" s="121">
        <f t="shared" si="19"/>
        <v>-437.02351150792896</v>
      </c>
      <c r="N66" s="122">
        <f t="shared" si="19"/>
        <v>-486.40703176034214</v>
      </c>
    </row>
    <row r="67" spans="1:14" ht="16.5" thickTop="1" thickBot="1" x14ac:dyDescent="0.3">
      <c r="A67" s="133" t="s">
        <v>75</v>
      </c>
      <c r="B67" s="137">
        <f>SUM(B62:B66)+SUM(B55:B59)-B70</f>
        <v>0</v>
      </c>
      <c r="C67" s="138">
        <f t="shared" ref="C67:J67" si="21">SUM(C62:C66)+SUM(C55:C59)-C70</f>
        <v>0</v>
      </c>
      <c r="D67" s="138">
        <f t="shared" si="21"/>
        <v>0</v>
      </c>
      <c r="E67" s="138">
        <f t="shared" si="21"/>
        <v>0</v>
      </c>
      <c r="F67" s="138">
        <f t="shared" si="21"/>
        <v>0</v>
      </c>
      <c r="G67" s="138">
        <f t="shared" si="21"/>
        <v>3.7834979593753815E-10</v>
      </c>
      <c r="H67" s="138">
        <f>SUM(H62:H66)+SUM(H55:H59)-H70</f>
        <v>0</v>
      </c>
      <c r="I67" s="138">
        <f t="shared" si="21"/>
        <v>0</v>
      </c>
      <c r="J67" s="138">
        <f t="shared" si="21"/>
        <v>0</v>
      </c>
      <c r="K67" s="138">
        <f>SUM(K62:K66)+SUM(K55:K59)-K70</f>
        <v>0</v>
      </c>
      <c r="L67" s="134">
        <f>SUM(L62:L66)+SUM(L55:L59)-L70</f>
        <v>0</v>
      </c>
      <c r="M67" s="135">
        <f t="shared" ref="M67:N67" si="22">SUM(M62:M66)+SUM(M55:M59)-M70</f>
        <v>0</v>
      </c>
      <c r="N67" s="136">
        <f t="shared" si="22"/>
        <v>0</v>
      </c>
    </row>
    <row r="68" spans="1:14" ht="16.5" thickTop="1" thickBot="1" x14ac:dyDescent="0.3">
      <c r="A68" s="133" t="s">
        <v>76</v>
      </c>
      <c r="B68" s="137">
        <f>SUM(B62:B66)-B45</f>
        <v>0</v>
      </c>
      <c r="C68" s="138">
        <f>SUM(C62:C66)-C45</f>
        <v>0</v>
      </c>
      <c r="D68" s="138">
        <f t="shared" ref="D68:J68" si="23">SUM(D62:D66)-D45</f>
        <v>9.7962009999719157E-4</v>
      </c>
      <c r="E68" s="138">
        <f t="shared" si="23"/>
        <v>-2.4430397546666427E-3</v>
      </c>
      <c r="F68" s="138">
        <f t="shared" si="23"/>
        <v>4.2034737632548058E-3</v>
      </c>
      <c r="G68" s="138">
        <f>SUM(G62:G66)-G45</f>
        <v>-3.0554803197588853E-3</v>
      </c>
      <c r="H68" s="138">
        <f t="shared" si="23"/>
        <v>4.8705313777190895E-3</v>
      </c>
      <c r="I68" s="138">
        <f t="shared" si="23"/>
        <v>-2.6554895011940971E-3</v>
      </c>
      <c r="J68" s="138">
        <f t="shared" si="23"/>
        <v>-2.3568900978716556E-3</v>
      </c>
      <c r="K68" s="138">
        <f>SUM(K62:K66)-K45</f>
        <v>1.8348268276895396E-3</v>
      </c>
      <c r="L68" s="137">
        <f t="shared" ref="L68:M68" si="24">SUM(L62:L66)-L45</f>
        <v>3.3730129380273866E-3</v>
      </c>
      <c r="M68" s="138">
        <f t="shared" si="24"/>
        <v>1.0670392384781735E-3</v>
      </c>
      <c r="N68" s="139">
        <f>SUM(N62:N66)-N45</f>
        <v>-5.2729807885043556E-3</v>
      </c>
    </row>
    <row r="69" spans="1:14" ht="15.75" thickTop="1" x14ac:dyDescent="0.25">
      <c r="B69" s="106"/>
      <c r="C69" s="105"/>
      <c r="D69" s="105"/>
      <c r="E69" s="105"/>
      <c r="F69" s="105"/>
      <c r="G69" s="105"/>
      <c r="H69" s="105"/>
      <c r="I69" s="105"/>
      <c r="J69" s="105"/>
      <c r="K69" s="105"/>
      <c r="L69" s="104"/>
      <c r="M69" s="105"/>
      <c r="N69" s="108"/>
    </row>
    <row r="70" spans="1:14" x14ac:dyDescent="0.25">
      <c r="A70" s="76" t="s">
        <v>77</v>
      </c>
      <c r="B70" s="117">
        <f>(SUM(B19:B22)-SUM(B39:B43))+SUM(B62:B66)+A72</f>
        <v>0</v>
      </c>
      <c r="C70" s="121">
        <f>(SUM(C19:C22)-SUM(C39:C43))+SUM(C62:C66)+B70</f>
        <v>0</v>
      </c>
      <c r="D70" s="121">
        <f t="shared" ref="D70:N70" si="25">(SUM(D19:D22)-SUM(D39:D43))+SUM(D62:D66)+C70</f>
        <v>489876.34097962017</v>
      </c>
      <c r="E70" s="121">
        <f t="shared" si="25"/>
        <v>1086590.3685365804</v>
      </c>
      <c r="F70" s="121">
        <f t="shared" si="25"/>
        <v>2343961.602740054</v>
      </c>
      <c r="G70" s="121">
        <f t="shared" si="25"/>
        <v>208883.89968457352</v>
      </c>
      <c r="H70" s="121">
        <f>(SUM(H19:H22)-SUM(H39:H43))+SUM(H62:H66)+G70</f>
        <v>-2670663.7454448952</v>
      </c>
      <c r="I70" s="121">
        <f t="shared" si="25"/>
        <v>-3837266.1881003855</v>
      </c>
      <c r="J70" s="121">
        <f t="shared" si="25"/>
        <v>-6612519.2104572756</v>
      </c>
      <c r="K70" s="121">
        <f t="shared" si="25"/>
        <v>-7008862.1886224486</v>
      </c>
      <c r="L70" s="117">
        <f>(SUM(L19:L22)-SUM(L39:L43))+SUM(L62:L66)+K70</f>
        <v>-6464547.372235436</v>
      </c>
      <c r="M70" s="121">
        <f t="shared" si="25"/>
        <v>-7052744.5300083971</v>
      </c>
      <c r="N70" s="122">
        <f t="shared" si="25"/>
        <v>-9098992.5433013774</v>
      </c>
    </row>
    <row r="71" spans="1:14" x14ac:dyDescent="0.25">
      <c r="A71" s="76" t="s">
        <v>78</v>
      </c>
      <c r="B71" s="106"/>
      <c r="C71" s="105"/>
      <c r="D71" s="105"/>
      <c r="E71" s="105"/>
      <c r="F71" s="105"/>
      <c r="G71" s="105"/>
      <c r="H71" s="105"/>
      <c r="I71" s="105"/>
      <c r="J71" s="105"/>
      <c r="K71" s="105"/>
      <c r="L71" s="104"/>
      <c r="M71" s="105"/>
      <c r="N71" s="108"/>
    </row>
    <row r="72" spans="1:14" ht="15.75" thickBot="1" x14ac:dyDescent="0.3">
      <c r="A72" s="110">
        <v>0</v>
      </c>
      <c r="B72" s="163"/>
      <c r="C72" s="141"/>
      <c r="D72" s="141"/>
      <c r="E72" s="141"/>
      <c r="F72" s="141"/>
      <c r="G72" s="141"/>
      <c r="H72" s="141"/>
      <c r="I72" s="141"/>
      <c r="J72" s="141"/>
      <c r="K72" s="141"/>
      <c r="L72" s="163"/>
      <c r="M72" s="164"/>
      <c r="N72" s="142"/>
    </row>
    <row r="73" spans="1:14" x14ac:dyDescent="0.25">
      <c r="B73" s="49"/>
    </row>
    <row r="74" spans="1:14" x14ac:dyDescent="0.25">
      <c r="D74" s="57"/>
      <c r="E74" s="53"/>
      <c r="F74" s="53"/>
      <c r="G74" s="57"/>
      <c r="H74" s="57"/>
      <c r="I74" s="57"/>
      <c r="J74" s="57"/>
      <c r="K74" s="57"/>
    </row>
    <row r="76" spans="1:14" x14ac:dyDescent="0.25">
      <c r="C76" s="56"/>
      <c r="D76" s="56"/>
      <c r="E76" s="56"/>
      <c r="F76" s="56"/>
      <c r="G76" s="56"/>
      <c r="H76" s="56"/>
      <c r="I76" s="56"/>
      <c r="J76" s="56"/>
      <c r="K76" s="56"/>
    </row>
  </sheetData>
  <mergeCells count="1">
    <mergeCell ref="L17:N17"/>
  </mergeCells>
  <pageMargins left="0.7" right="0.7" top="0.75" bottom="0.75" header="0.3" footer="0.3"/>
  <pageSetup paperSize="5" scale="63" fitToHeight="0" orientation="landscape" r:id="rId1"/>
  <headerFooter scaleWithDoc="0">
    <oddFooter>&amp;R&amp;"Arial,Bold"&amp;12Schedule WRD-2,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E80"/>
  <sheetViews>
    <sheetView tabSelected="1" zoomScaleNormal="100" workbookViewId="0">
      <pane xSplit="1" ySplit="18" topLeftCell="B19" activePane="bottomRight" state="frozen"/>
      <selection activeCell="A16" sqref="A16"/>
      <selection pane="topRight" activeCell="A16" sqref="A16"/>
      <selection pane="bottomLeft" activeCell="A16" sqref="A16"/>
      <selection pane="bottomRight" activeCell="A16" sqref="A16"/>
    </sheetView>
  </sheetViews>
  <sheetFormatPr defaultRowHeight="15" x14ac:dyDescent="0.25"/>
  <cols>
    <col min="1" max="1" width="25.140625" style="76" customWidth="1"/>
    <col min="2" max="2" width="19.7109375" style="76" customWidth="1"/>
    <col min="3" max="3" width="17.5703125" style="76" customWidth="1"/>
    <col min="4" max="4" width="15.140625" style="76" customWidth="1"/>
    <col min="5" max="5" width="16.140625" style="76" customWidth="1"/>
    <col min="6" max="6" width="15" style="76" bestFit="1" customWidth="1"/>
    <col min="7" max="7" width="16" style="76" customWidth="1"/>
    <col min="8" max="8" width="15" style="76" bestFit="1" customWidth="1"/>
    <col min="9" max="11" width="16" style="76" bestFit="1" customWidth="1"/>
    <col min="12" max="12" width="17.28515625" style="76" bestFit="1" customWidth="1"/>
    <col min="13" max="13" width="17.42578125" style="76" customWidth="1"/>
    <col min="14" max="47" width="17.28515625" style="76" customWidth="1"/>
    <col min="48" max="48" width="16.42578125" style="76" customWidth="1"/>
    <col min="49" max="49" width="17.28515625" style="76" customWidth="1"/>
    <col min="50" max="50" width="16.85546875" style="76" customWidth="1"/>
    <col min="51" max="51" width="13.85546875" style="76" bestFit="1" customWidth="1"/>
    <col min="52" max="52" width="10.85546875" style="76" bestFit="1" customWidth="1"/>
    <col min="53" max="53" width="9.140625" style="76"/>
    <col min="54" max="54" width="12.7109375" style="76" bestFit="1" customWidth="1"/>
    <col min="55" max="16384" width="9.140625" style="76"/>
  </cols>
  <sheetData>
    <row r="2" spans="1:50" x14ac:dyDescent="0.25">
      <c r="B2" s="260" t="s">
        <v>139</v>
      </c>
      <c r="I2" s="3" t="s">
        <v>27</v>
      </c>
      <c r="O2" s="3"/>
    </row>
    <row r="3" spans="1:50" x14ac:dyDescent="0.25">
      <c r="B3" s="165" t="s">
        <v>68</v>
      </c>
      <c r="C3" s="165" t="s">
        <v>83</v>
      </c>
      <c r="D3" s="165" t="s">
        <v>135</v>
      </c>
      <c r="E3" s="165" t="s">
        <v>99</v>
      </c>
      <c r="F3" s="165" t="s">
        <v>69</v>
      </c>
      <c r="G3" s="261" t="s">
        <v>115</v>
      </c>
      <c r="I3" s="58" t="s">
        <v>85</v>
      </c>
      <c r="J3" s="50"/>
      <c r="K3" s="50"/>
      <c r="L3" s="50"/>
      <c r="M3" s="50"/>
      <c r="N3" s="50"/>
      <c r="O3" s="3"/>
    </row>
    <row r="4" spans="1:50" x14ac:dyDescent="0.25">
      <c r="A4" s="76" t="s">
        <v>0</v>
      </c>
      <c r="B4" s="24">
        <f>SUM(B39:AX39)</f>
        <v>64562980.644571438</v>
      </c>
      <c r="C4" s="90">
        <f>SUM(B32:AX32)</f>
        <v>54640607808</v>
      </c>
      <c r="D4" s="24">
        <f>SUM(B25:AX25)</f>
        <v>67090457.192696929</v>
      </c>
      <c r="E4" s="24">
        <f>D4-B4</f>
        <v>2527476.5481254905</v>
      </c>
      <c r="F4" s="24">
        <f>SUM(B62:AX62)</f>
        <v>-73853.511722768002</v>
      </c>
      <c r="G4" s="42">
        <f>E4+F4</f>
        <v>2453623.0364027224</v>
      </c>
      <c r="I4" s="58" t="s">
        <v>132</v>
      </c>
      <c r="J4" s="50"/>
      <c r="K4" s="50"/>
      <c r="L4" s="50"/>
      <c r="M4" s="50"/>
      <c r="N4" s="50"/>
      <c r="O4" s="3"/>
    </row>
    <row r="5" spans="1:50" x14ac:dyDescent="0.25">
      <c r="A5" s="76" t="s">
        <v>4</v>
      </c>
      <c r="B5" s="24">
        <f>SUM(B40:AX40)</f>
        <v>13691626.949919999</v>
      </c>
      <c r="C5" s="90">
        <f>SUM(B33:AX33)</f>
        <v>14014208077</v>
      </c>
      <c r="D5" s="24">
        <f>SUM(B26:AX26)</f>
        <v>13817989.881685387</v>
      </c>
      <c r="E5" s="24">
        <f>D5-B5</f>
        <v>126362.9317653887</v>
      </c>
      <c r="F5" s="24">
        <f>SUM(B63:AX63)</f>
        <v>-18717.115338948581</v>
      </c>
      <c r="G5" s="42">
        <f t="shared" ref="G5:G8" si="0">E5+F5</f>
        <v>107645.81642644011</v>
      </c>
      <c r="I5" s="58" t="s">
        <v>131</v>
      </c>
      <c r="J5" s="50"/>
      <c r="K5" s="50"/>
      <c r="L5" s="50"/>
      <c r="M5" s="50"/>
      <c r="N5" s="50"/>
      <c r="O5" s="3"/>
    </row>
    <row r="6" spans="1:50" x14ac:dyDescent="0.25">
      <c r="A6" s="76" t="s">
        <v>5</v>
      </c>
      <c r="B6" s="24">
        <f>SUM(B41:AX41)</f>
        <v>32022250.476106007</v>
      </c>
      <c r="C6" s="90">
        <f>SUM(B34:AX34)</f>
        <v>32264748015</v>
      </c>
      <c r="D6" s="24">
        <f>SUM(B27:AX27)</f>
        <v>32425576.780522831</v>
      </c>
      <c r="E6" s="24">
        <f>D6-B6</f>
        <v>403326.30441682413</v>
      </c>
      <c r="F6" s="24">
        <f>SUM(B64:AX64)</f>
        <v>-39332.283168269088</v>
      </c>
      <c r="G6" s="42">
        <f t="shared" si="0"/>
        <v>363994.02124855504</v>
      </c>
      <c r="I6" s="58" t="s">
        <v>133</v>
      </c>
      <c r="J6" s="50"/>
      <c r="K6" s="50"/>
      <c r="L6" s="50"/>
      <c r="M6" s="50"/>
      <c r="N6" s="50"/>
      <c r="O6" s="3"/>
    </row>
    <row r="7" spans="1:50" x14ac:dyDescent="0.25">
      <c r="A7" s="76" t="s">
        <v>6</v>
      </c>
      <c r="B7" s="24">
        <f>SUM(B42:AX42)</f>
        <v>13768025.388703998</v>
      </c>
      <c r="C7" s="90">
        <f>SUM(B35:AX35)</f>
        <v>13728707517</v>
      </c>
      <c r="D7" s="24">
        <f>SUM(B28:AX28)</f>
        <v>13889795.121558897</v>
      </c>
      <c r="E7" s="24">
        <f>D7-B7</f>
        <v>121769.73285489902</v>
      </c>
      <c r="F7" s="24">
        <f>SUM(B65:AX65)</f>
        <v>-16118.755258578129</v>
      </c>
      <c r="G7" s="42">
        <f t="shared" si="0"/>
        <v>105650.9775963209</v>
      </c>
      <c r="I7" s="58" t="s">
        <v>86</v>
      </c>
      <c r="J7" s="50"/>
      <c r="K7" s="50"/>
      <c r="L7" s="50"/>
      <c r="M7" s="50"/>
      <c r="N7" s="50"/>
      <c r="O7" s="3"/>
    </row>
    <row r="8" spans="1:50" ht="15.75" thickBot="1" x14ac:dyDescent="0.3">
      <c r="A8" s="76" t="s">
        <v>7</v>
      </c>
      <c r="B8" s="24">
        <f>SUM(B43:AX43)</f>
        <v>8388373.2656690013</v>
      </c>
      <c r="C8" s="90">
        <f>SUM(B36:AX36)</f>
        <v>8250996310</v>
      </c>
      <c r="D8" s="24">
        <f>SUM(B29:AX29)</f>
        <v>8278395.3635359276</v>
      </c>
      <c r="E8" s="24">
        <f>D8-B8</f>
        <v>-109977.90213307366</v>
      </c>
      <c r="F8" s="24">
        <f>SUM(B66:AX66)</f>
        <v>-11268.92988170235</v>
      </c>
      <c r="G8" s="42">
        <f t="shared" si="0"/>
        <v>-121246.83201477601</v>
      </c>
      <c r="I8" s="58" t="s">
        <v>87</v>
      </c>
      <c r="J8" s="50"/>
      <c r="K8" s="50"/>
      <c r="L8" s="50"/>
      <c r="M8" s="50"/>
      <c r="N8" s="50"/>
      <c r="O8" s="3"/>
    </row>
    <row r="9" spans="1:50" ht="16.5" thickTop="1" thickBot="1" x14ac:dyDescent="0.3">
      <c r="B9" s="91">
        <f t="shared" ref="B9:G9" si="1">SUM(B4:B8)</f>
        <v>132433256.72497045</v>
      </c>
      <c r="C9" s="256">
        <f>SUM(C4:C8)</f>
        <v>122899267727</v>
      </c>
      <c r="D9" s="91">
        <f t="shared" si="1"/>
        <v>135502214.34</v>
      </c>
      <c r="E9" s="91">
        <f>SUM(E4:E8)</f>
        <v>3068957.6150295287</v>
      </c>
      <c r="F9" s="91">
        <f t="shared" si="1"/>
        <v>-159290.59537026615</v>
      </c>
      <c r="G9" s="91">
        <f t="shared" si="1"/>
        <v>2909667.0196592626</v>
      </c>
      <c r="I9" s="58" t="s">
        <v>134</v>
      </c>
      <c r="J9" s="50"/>
      <c r="K9" s="50"/>
      <c r="L9" s="50"/>
      <c r="M9" s="50"/>
      <c r="N9" s="50"/>
      <c r="O9" s="3"/>
    </row>
    <row r="10" spans="1:50" ht="16.5" thickTop="1" thickBot="1" x14ac:dyDescent="0.3">
      <c r="E10" s="39" t="s">
        <v>26</v>
      </c>
      <c r="F10" s="21">
        <f>F9-SUM(B45:AX45)</f>
        <v>-0.57537026613135822</v>
      </c>
      <c r="I10" s="58" t="s">
        <v>88</v>
      </c>
      <c r="J10" s="50"/>
      <c r="K10" s="50"/>
      <c r="L10" s="50"/>
      <c r="M10" s="50"/>
      <c r="N10" s="50"/>
    </row>
    <row r="11" spans="1:50" ht="15.75" thickTop="1" x14ac:dyDescent="0.25">
      <c r="E11" s="4"/>
      <c r="G11" s="3"/>
    </row>
    <row r="12" spans="1:50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</row>
    <row r="13" spans="1:50" x14ac:dyDescent="0.25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</row>
    <row r="14" spans="1:50" x14ac:dyDescent="0.25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Q14" s="4"/>
      <c r="AV14" s="4"/>
      <c r="AW14" s="4"/>
      <c r="AX14" s="4"/>
    </row>
    <row r="15" spans="1:50" x14ac:dyDescent="0.25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"/>
      <c r="AW15" s="4"/>
      <c r="AX15" s="4"/>
    </row>
    <row r="16" spans="1:50" ht="15.75" thickBot="1" x14ac:dyDescent="0.3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Q16" s="4"/>
      <c r="R16" s="5"/>
    </row>
    <row r="17" spans="1:57" ht="15.75" thickBot="1" x14ac:dyDescent="0.3">
      <c r="A17" s="76" t="s">
        <v>89</v>
      </c>
      <c r="B17" s="19"/>
      <c r="C17" s="127"/>
      <c r="D17" s="145" t="s">
        <v>72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293" t="s">
        <v>71</v>
      </c>
      <c r="AW17" s="294"/>
      <c r="AX17" s="295"/>
    </row>
    <row r="18" spans="1:57" x14ac:dyDescent="0.25">
      <c r="B18" s="95">
        <v>41275</v>
      </c>
      <c r="C18" s="96">
        <f t="shared" ref="C18:W18" si="2">EDATE(B18,1)</f>
        <v>41306</v>
      </c>
      <c r="D18" s="96">
        <f t="shared" si="2"/>
        <v>41334</v>
      </c>
      <c r="E18" s="96">
        <f t="shared" si="2"/>
        <v>41365</v>
      </c>
      <c r="F18" s="96">
        <f t="shared" si="2"/>
        <v>41395</v>
      </c>
      <c r="G18" s="96">
        <f t="shared" si="2"/>
        <v>41426</v>
      </c>
      <c r="H18" s="96">
        <f t="shared" si="2"/>
        <v>41456</v>
      </c>
      <c r="I18" s="96">
        <f t="shared" si="2"/>
        <v>41487</v>
      </c>
      <c r="J18" s="96">
        <f t="shared" si="2"/>
        <v>41518</v>
      </c>
      <c r="K18" s="96">
        <f t="shared" si="2"/>
        <v>41548</v>
      </c>
      <c r="L18" s="96">
        <f t="shared" si="2"/>
        <v>41579</v>
      </c>
      <c r="M18" s="96">
        <f t="shared" si="2"/>
        <v>41609</v>
      </c>
      <c r="N18" s="96">
        <f t="shared" si="2"/>
        <v>41640</v>
      </c>
      <c r="O18" s="96">
        <f t="shared" si="2"/>
        <v>41671</v>
      </c>
      <c r="P18" s="96">
        <f t="shared" si="2"/>
        <v>41699</v>
      </c>
      <c r="Q18" s="96">
        <f t="shared" si="2"/>
        <v>41730</v>
      </c>
      <c r="R18" s="96">
        <f t="shared" si="2"/>
        <v>41760</v>
      </c>
      <c r="S18" s="96">
        <f t="shared" si="2"/>
        <v>41791</v>
      </c>
      <c r="T18" s="96">
        <f t="shared" si="2"/>
        <v>41821</v>
      </c>
      <c r="U18" s="96">
        <f t="shared" si="2"/>
        <v>41852</v>
      </c>
      <c r="V18" s="96">
        <f t="shared" si="2"/>
        <v>41883</v>
      </c>
      <c r="W18" s="96">
        <f t="shared" si="2"/>
        <v>41913</v>
      </c>
      <c r="X18" s="96">
        <f>EDATE(W18,1)</f>
        <v>41944</v>
      </c>
      <c r="Y18" s="96">
        <f>EDATE(X18,1)</f>
        <v>41974</v>
      </c>
      <c r="Z18" s="96">
        <f t="shared" ref="Z18:AU18" si="3">EDATE(Y18,1)</f>
        <v>42005</v>
      </c>
      <c r="AA18" s="96">
        <f t="shared" si="3"/>
        <v>42036</v>
      </c>
      <c r="AB18" s="96">
        <f t="shared" si="3"/>
        <v>42064</v>
      </c>
      <c r="AC18" s="96">
        <f t="shared" si="3"/>
        <v>42095</v>
      </c>
      <c r="AD18" s="96">
        <f t="shared" si="3"/>
        <v>42125</v>
      </c>
      <c r="AE18" s="96">
        <f t="shared" si="3"/>
        <v>42156</v>
      </c>
      <c r="AF18" s="96">
        <f t="shared" si="3"/>
        <v>42186</v>
      </c>
      <c r="AG18" s="96">
        <f t="shared" si="3"/>
        <v>42217</v>
      </c>
      <c r="AH18" s="96">
        <f t="shared" si="3"/>
        <v>42248</v>
      </c>
      <c r="AI18" s="96">
        <f t="shared" si="3"/>
        <v>42278</v>
      </c>
      <c r="AJ18" s="96">
        <f t="shared" si="3"/>
        <v>42309</v>
      </c>
      <c r="AK18" s="96">
        <f t="shared" si="3"/>
        <v>42339</v>
      </c>
      <c r="AL18" s="96">
        <f t="shared" si="3"/>
        <v>42370</v>
      </c>
      <c r="AM18" s="96">
        <f t="shared" si="3"/>
        <v>42401</v>
      </c>
      <c r="AN18" s="96">
        <f t="shared" si="3"/>
        <v>42430</v>
      </c>
      <c r="AO18" s="96">
        <f t="shared" si="3"/>
        <v>42461</v>
      </c>
      <c r="AP18" s="96">
        <f t="shared" si="3"/>
        <v>42491</v>
      </c>
      <c r="AQ18" s="96">
        <f t="shared" si="3"/>
        <v>42522</v>
      </c>
      <c r="AR18" s="96">
        <f t="shared" si="3"/>
        <v>42552</v>
      </c>
      <c r="AS18" s="96">
        <f t="shared" si="3"/>
        <v>42583</v>
      </c>
      <c r="AT18" s="96">
        <f t="shared" si="3"/>
        <v>42614</v>
      </c>
      <c r="AU18" s="96">
        <f t="shared" si="3"/>
        <v>42644</v>
      </c>
      <c r="AV18" s="95">
        <f>EDATE(AU18,1)</f>
        <v>42675</v>
      </c>
      <c r="AW18" s="96">
        <f t="shared" ref="AW18:AX18" si="4">EDATE(AV18,1)</f>
        <v>42705</v>
      </c>
      <c r="AX18" s="97">
        <f t="shared" si="4"/>
        <v>42736</v>
      </c>
      <c r="AY18" s="1"/>
      <c r="AZ18" s="1"/>
      <c r="BA18" s="1"/>
      <c r="BB18" s="1"/>
      <c r="BC18" s="1"/>
      <c r="BD18" s="1"/>
      <c r="BE18" s="1"/>
    </row>
    <row r="19" spans="1:57" x14ac:dyDescent="0.25">
      <c r="A19" s="50" t="s">
        <v>0</v>
      </c>
      <c r="B19" s="98">
        <v>640336.91</v>
      </c>
      <c r="C19" s="99">
        <v>605792.67000000004</v>
      </c>
      <c r="D19" s="99">
        <v>725594.4</v>
      </c>
      <c r="E19" s="99">
        <v>1367115.04</v>
      </c>
      <c r="F19" s="99">
        <v>1340454.52</v>
      </c>
      <c r="G19" s="99">
        <v>1257873.68</v>
      </c>
      <c r="H19" s="99">
        <v>1886442.46</v>
      </c>
      <c r="I19" s="99">
        <v>1893239.29</v>
      </c>
      <c r="J19" s="46">
        <v>1662824.19</v>
      </c>
      <c r="K19" s="100">
        <v>1735871.67</v>
      </c>
      <c r="L19" s="100">
        <v>1631684.65</v>
      </c>
      <c r="M19" s="100">
        <v>2380008.86</v>
      </c>
      <c r="N19" s="100">
        <v>1580368.48</v>
      </c>
      <c r="O19" s="100">
        <v>948470.21</v>
      </c>
      <c r="P19" s="100">
        <v>1909458.73</v>
      </c>
      <c r="Q19" s="100">
        <v>1679720.34</v>
      </c>
      <c r="R19" s="100">
        <v>1653932.58</v>
      </c>
      <c r="S19" s="100">
        <v>1750116.82</v>
      </c>
      <c r="T19" s="100">
        <v>2305893.67</v>
      </c>
      <c r="U19" s="100">
        <v>1706083.4</v>
      </c>
      <c r="V19" s="100">
        <v>1874106.46</v>
      </c>
      <c r="W19" s="100">
        <v>1430822.27</v>
      </c>
      <c r="X19" s="100">
        <v>1516273.7</v>
      </c>
      <c r="Y19" s="100">
        <v>1403931.73</v>
      </c>
      <c r="Z19" s="100">
        <v>1494199.3</v>
      </c>
      <c r="AA19" s="100">
        <v>820979.3</v>
      </c>
      <c r="AB19" s="100">
        <v>1130195.58</v>
      </c>
      <c r="AC19" s="100">
        <v>1125021.22</v>
      </c>
      <c r="AD19" s="100">
        <v>1606968.75</v>
      </c>
      <c r="AE19" s="100">
        <v>1600135.89</v>
      </c>
      <c r="AF19" s="100">
        <v>1727761.82</v>
      </c>
      <c r="AG19" s="100">
        <v>1954657.27</v>
      </c>
      <c r="AH19" s="100">
        <v>2166706.5699999998</v>
      </c>
      <c r="AI19" s="100">
        <v>1995474.27</v>
      </c>
      <c r="AJ19" s="100">
        <v>2126773.1800000002</v>
      </c>
      <c r="AK19" s="100">
        <v>3845914.26</v>
      </c>
      <c r="AL19" s="100">
        <v>-138288.45000000001</v>
      </c>
      <c r="AM19" s="100">
        <v>29133.13</v>
      </c>
      <c r="AN19" s="100">
        <v>31950.400000000001</v>
      </c>
      <c r="AO19" s="100">
        <v>-55026.51</v>
      </c>
      <c r="AP19" s="100">
        <v>25566</v>
      </c>
      <c r="AQ19" s="100">
        <v>36834.92</v>
      </c>
      <c r="AR19" s="100">
        <v>0</v>
      </c>
      <c r="AS19" s="100">
        <v>11616</v>
      </c>
      <c r="AT19" s="100">
        <v>0</v>
      </c>
      <c r="AU19" s="100">
        <v>0</v>
      </c>
      <c r="AV19" s="146">
        <v>0</v>
      </c>
      <c r="AW19" s="147">
        <v>0</v>
      </c>
      <c r="AX19" s="148">
        <v>0</v>
      </c>
      <c r="AY19" s="50"/>
    </row>
    <row r="20" spans="1:57" x14ac:dyDescent="0.25">
      <c r="A20" s="50" t="s">
        <v>1</v>
      </c>
      <c r="B20" s="98">
        <v>454317.08</v>
      </c>
      <c r="C20" s="99">
        <v>441494.74</v>
      </c>
      <c r="D20" s="99">
        <v>363891.08</v>
      </c>
      <c r="E20" s="99">
        <v>478379.47</v>
      </c>
      <c r="F20" s="99">
        <v>1014139.54</v>
      </c>
      <c r="G20" s="99">
        <v>880519.27</v>
      </c>
      <c r="H20" s="99">
        <v>685802</v>
      </c>
      <c r="I20" s="99">
        <v>941967.8</v>
      </c>
      <c r="J20" s="46">
        <v>1061098.22</v>
      </c>
      <c r="K20" s="100">
        <v>1064918.6200000001</v>
      </c>
      <c r="L20" s="100">
        <v>1187326.81</v>
      </c>
      <c r="M20" s="100">
        <v>1557118.31</v>
      </c>
      <c r="N20" s="100">
        <v>1285282.6100000001</v>
      </c>
      <c r="O20" s="100">
        <v>704898.97</v>
      </c>
      <c r="P20" s="100">
        <v>1071660.74</v>
      </c>
      <c r="Q20" s="100">
        <v>1231470.79</v>
      </c>
      <c r="R20" s="100">
        <v>1340055.01</v>
      </c>
      <c r="S20" s="100">
        <v>1462923.21</v>
      </c>
      <c r="T20" s="100">
        <v>1457191.33</v>
      </c>
      <c r="U20" s="100">
        <v>962381.44</v>
      </c>
      <c r="V20" s="100">
        <v>1685137.8</v>
      </c>
      <c r="W20" s="100">
        <v>1704041.3</v>
      </c>
      <c r="X20" s="100">
        <v>1249845.8899999999</v>
      </c>
      <c r="Y20" s="100">
        <v>1408910.99</v>
      </c>
      <c r="Z20" s="100">
        <v>499495.6</v>
      </c>
      <c r="AA20" s="100">
        <v>125198.28</v>
      </c>
      <c r="AB20" s="100">
        <v>1548555.72</v>
      </c>
      <c r="AC20" s="100">
        <v>2331289.4900000002</v>
      </c>
      <c r="AD20" s="100">
        <v>2460819.39</v>
      </c>
      <c r="AE20" s="100">
        <v>1093236.6200000001</v>
      </c>
      <c r="AF20" s="100">
        <v>2579809.7599999998</v>
      </c>
      <c r="AG20" s="100">
        <v>3267917.18</v>
      </c>
      <c r="AH20" s="100">
        <v>1771960.78</v>
      </c>
      <c r="AI20" s="100">
        <v>2248123.36</v>
      </c>
      <c r="AJ20" s="100">
        <v>4421199</v>
      </c>
      <c r="AK20" s="100">
        <v>7157523.5599999996</v>
      </c>
      <c r="AL20" s="100">
        <v>3662857.64</v>
      </c>
      <c r="AM20" s="100">
        <v>-2017391.21</v>
      </c>
      <c r="AN20" s="100">
        <v>151863.56</v>
      </c>
      <c r="AO20" s="100">
        <v>189.07</v>
      </c>
      <c r="AP20" s="100">
        <v>10798.8</v>
      </c>
      <c r="AQ20" s="100">
        <v>104824.36</v>
      </c>
      <c r="AR20" s="100">
        <v>0</v>
      </c>
      <c r="AS20" s="100">
        <v>0</v>
      </c>
      <c r="AT20" s="100">
        <v>8530</v>
      </c>
      <c r="AU20" s="100">
        <v>0</v>
      </c>
      <c r="AV20" s="146">
        <v>0</v>
      </c>
      <c r="AW20" s="147">
        <v>0</v>
      </c>
      <c r="AX20" s="148">
        <v>0</v>
      </c>
      <c r="AY20" s="50"/>
    </row>
    <row r="21" spans="1:57" x14ac:dyDescent="0.25">
      <c r="A21" s="50" t="s">
        <v>2</v>
      </c>
      <c r="B21" s="98">
        <v>235758.09</v>
      </c>
      <c r="C21" s="99">
        <v>-28991</v>
      </c>
      <c r="D21" s="99">
        <v>286168.24</v>
      </c>
      <c r="E21" s="99">
        <v>211438.67</v>
      </c>
      <c r="F21" s="99">
        <v>450933.86</v>
      </c>
      <c r="G21" s="99">
        <v>315229.05</v>
      </c>
      <c r="H21" s="99">
        <v>458117.56</v>
      </c>
      <c r="I21" s="99">
        <v>544491.86</v>
      </c>
      <c r="J21" s="46">
        <v>328255.31</v>
      </c>
      <c r="K21" s="100">
        <v>363224.71</v>
      </c>
      <c r="L21" s="100">
        <v>87690.63</v>
      </c>
      <c r="M21" s="100">
        <v>566570.68000000005</v>
      </c>
      <c r="N21" s="100">
        <v>51784.59</v>
      </c>
      <c r="O21" s="100">
        <v>89170.16</v>
      </c>
      <c r="P21" s="100">
        <v>324702.73</v>
      </c>
      <c r="Q21" s="100">
        <v>300887.17</v>
      </c>
      <c r="R21" s="100">
        <v>745939.39</v>
      </c>
      <c r="S21" s="100">
        <v>349645.84</v>
      </c>
      <c r="T21" s="100">
        <v>239961.74</v>
      </c>
      <c r="U21" s="100">
        <v>293319.15000000002</v>
      </c>
      <c r="V21" s="100">
        <v>274898.46999999997</v>
      </c>
      <c r="W21" s="100">
        <v>199271.42</v>
      </c>
      <c r="X21" s="100">
        <v>378119.27</v>
      </c>
      <c r="Y21" s="100">
        <v>291747.94</v>
      </c>
      <c r="Z21" s="100">
        <v>123912.14</v>
      </c>
      <c r="AA21" s="100">
        <v>216855.29</v>
      </c>
      <c r="AB21" s="100">
        <v>251094.53</v>
      </c>
      <c r="AC21" s="100">
        <v>361607.5</v>
      </c>
      <c r="AD21" s="100">
        <v>249977.02</v>
      </c>
      <c r="AE21" s="100">
        <v>277986.64</v>
      </c>
      <c r="AF21" s="100">
        <v>208381.81</v>
      </c>
      <c r="AG21" s="100">
        <v>566874.24</v>
      </c>
      <c r="AH21" s="100">
        <v>137225.85999999999</v>
      </c>
      <c r="AI21" s="100">
        <v>519908.85</v>
      </c>
      <c r="AJ21" s="100">
        <v>172052.68</v>
      </c>
      <c r="AK21" s="100">
        <v>368031.42</v>
      </c>
      <c r="AL21" s="100">
        <v>-342783.04</v>
      </c>
      <c r="AM21" s="100">
        <v>60.34</v>
      </c>
      <c r="AN21" s="100">
        <v>-6.03</v>
      </c>
      <c r="AO21" s="100">
        <v>0</v>
      </c>
      <c r="AP21" s="100">
        <v>0</v>
      </c>
      <c r="AQ21" s="100">
        <v>0</v>
      </c>
      <c r="AR21" s="100">
        <v>0</v>
      </c>
      <c r="AS21" s="100">
        <v>0</v>
      </c>
      <c r="AT21" s="100">
        <v>0</v>
      </c>
      <c r="AU21" s="100">
        <v>16987.98</v>
      </c>
      <c r="AV21" s="146">
        <v>0</v>
      </c>
      <c r="AW21" s="147">
        <v>0</v>
      </c>
      <c r="AX21" s="148">
        <v>0</v>
      </c>
      <c r="AY21" s="50"/>
    </row>
    <row r="22" spans="1:57" x14ac:dyDescent="0.25">
      <c r="A22" s="50" t="s">
        <v>3</v>
      </c>
      <c r="B22" s="98">
        <v>865428.28</v>
      </c>
      <c r="C22" s="99">
        <v>171869.96</v>
      </c>
      <c r="D22" s="99">
        <v>354913.49</v>
      </c>
      <c r="E22" s="99">
        <v>386342.84</v>
      </c>
      <c r="F22" s="99">
        <v>380502.59</v>
      </c>
      <c r="G22" s="99">
        <v>-16107.38</v>
      </c>
      <c r="H22" s="99">
        <v>105209.38</v>
      </c>
      <c r="I22" s="99">
        <v>27748.39</v>
      </c>
      <c r="J22" s="46">
        <v>414401.51</v>
      </c>
      <c r="K22" s="100">
        <v>127275.37</v>
      </c>
      <c r="L22" s="100">
        <v>85742.61</v>
      </c>
      <c r="M22" s="100">
        <v>451975.95</v>
      </c>
      <c r="N22" s="100">
        <v>62184.959999999999</v>
      </c>
      <c r="O22" s="100">
        <v>143949.34</v>
      </c>
      <c r="P22" s="100">
        <v>508860.08</v>
      </c>
      <c r="Q22" s="100">
        <v>268166.68</v>
      </c>
      <c r="R22" s="100">
        <v>251429.09</v>
      </c>
      <c r="S22" s="100">
        <v>666062.1</v>
      </c>
      <c r="T22" s="100">
        <v>138502.54999999999</v>
      </c>
      <c r="U22" s="100">
        <v>93177.83</v>
      </c>
      <c r="V22" s="100">
        <v>216933.59</v>
      </c>
      <c r="W22" s="100">
        <v>149469.74</v>
      </c>
      <c r="X22" s="100">
        <v>206545.07</v>
      </c>
      <c r="Y22" s="100">
        <v>-49617.5</v>
      </c>
      <c r="Z22" s="100">
        <v>173814.38</v>
      </c>
      <c r="AA22" s="100">
        <v>-75961.320000000007</v>
      </c>
      <c r="AB22" s="100">
        <v>132147.6</v>
      </c>
      <c r="AC22" s="100">
        <v>162665.41</v>
      </c>
      <c r="AD22" s="100">
        <v>447141.26</v>
      </c>
      <c r="AE22" s="100">
        <v>468305.88</v>
      </c>
      <c r="AF22" s="100">
        <v>83029.36</v>
      </c>
      <c r="AG22" s="100">
        <v>309109.94</v>
      </c>
      <c r="AH22" s="100">
        <v>243045.93</v>
      </c>
      <c r="AI22" s="100">
        <v>-20337.95</v>
      </c>
      <c r="AJ22" s="100">
        <v>-14744.2</v>
      </c>
      <c r="AK22" s="100">
        <v>1504545.52</v>
      </c>
      <c r="AL22" s="100">
        <v>31089.48</v>
      </c>
      <c r="AM22" s="100">
        <v>10232.77</v>
      </c>
      <c r="AN22" s="100">
        <v>5166.5</v>
      </c>
      <c r="AO22" s="100">
        <v>-524.11</v>
      </c>
      <c r="AP22" s="100">
        <v>0</v>
      </c>
      <c r="AQ22" s="100">
        <v>1455</v>
      </c>
      <c r="AR22" s="100">
        <v>0</v>
      </c>
      <c r="AS22" s="100">
        <v>0</v>
      </c>
      <c r="AT22" s="100">
        <v>0</v>
      </c>
      <c r="AU22" s="100">
        <v>0</v>
      </c>
      <c r="AV22" s="146">
        <v>0</v>
      </c>
      <c r="AW22" s="147">
        <v>0</v>
      </c>
      <c r="AX22" s="148">
        <v>0</v>
      </c>
      <c r="AY22" s="50"/>
    </row>
    <row r="23" spans="1:57" x14ac:dyDescent="0.25">
      <c r="B23" s="106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7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4"/>
      <c r="AW23" s="105"/>
      <c r="AX23" s="108"/>
    </row>
    <row r="24" spans="1:57" x14ac:dyDescent="0.25">
      <c r="A24" s="76" t="s">
        <v>90</v>
      </c>
      <c r="B24" s="106"/>
      <c r="C24" s="105"/>
      <c r="D24" s="109"/>
      <c r="E24" s="105"/>
      <c r="F24" s="105"/>
      <c r="G24" s="105"/>
      <c r="H24" s="105"/>
      <c r="I24" s="105"/>
      <c r="J24" s="105"/>
      <c r="K24" s="105"/>
      <c r="L24" s="168"/>
      <c r="M24" s="168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4"/>
      <c r="AW24" s="105"/>
      <c r="AX24" s="108"/>
    </row>
    <row r="25" spans="1:57" x14ac:dyDescent="0.25">
      <c r="A25" s="76" t="s">
        <v>0</v>
      </c>
      <c r="B25" s="117">
        <f>B19+((B32/SUM(B$32:B$36))*B$21)+((B32/SUM(B$32:B$36))*B$22)</f>
        <v>1182830.8068197027</v>
      </c>
      <c r="C25" s="121">
        <f t="shared" ref="C25:J25" si="5">C19+((C32/SUM(C$32:C$36))*C$21)+((C32/SUM(C$32:C$36))*C$22)</f>
        <v>673451.15918707824</v>
      </c>
      <c r="D25" s="121">
        <f t="shared" si="5"/>
        <v>1031884.8972029432</v>
      </c>
      <c r="E25" s="121">
        <f t="shared" si="5"/>
        <v>1626816.2657540797</v>
      </c>
      <c r="F25" s="121">
        <f t="shared" si="5"/>
        <v>1657638.9306104169</v>
      </c>
      <c r="G25" s="121">
        <f t="shared" si="5"/>
        <v>1376174.2199289829</v>
      </c>
      <c r="H25" s="121">
        <f t="shared" si="5"/>
        <v>2138702.9711479857</v>
      </c>
      <c r="I25" s="121">
        <f t="shared" si="5"/>
        <v>2138822.2701681196</v>
      </c>
      <c r="J25" s="121">
        <f t="shared" si="5"/>
        <v>1989535.2165768305</v>
      </c>
      <c r="K25" s="121">
        <f t="shared" ref="K25:AX25" si="6">K19+((K32/SUM(K$32:K$36))*K$21)+((K32/SUM(K$32:K$36))*K$22)</f>
        <v>1921928.5570319619</v>
      </c>
      <c r="L25" s="121">
        <f t="shared" si="6"/>
        <v>1699134.7375723612</v>
      </c>
      <c r="M25" s="121">
        <f t="shared" si="6"/>
        <v>2858289.694727309</v>
      </c>
      <c r="N25" s="121">
        <f t="shared" si="6"/>
        <v>1638791.7944975337</v>
      </c>
      <c r="O25" s="121">
        <f t="shared" si="6"/>
        <v>1068297.1374583873</v>
      </c>
      <c r="P25" s="121">
        <f t="shared" si="6"/>
        <v>2314647.3920329078</v>
      </c>
      <c r="Q25" s="121">
        <f t="shared" si="6"/>
        <v>1920182.7605450749</v>
      </c>
      <c r="R25" s="121">
        <f t="shared" si="6"/>
        <v>2038309.4572863849</v>
      </c>
      <c r="S25" s="121">
        <f t="shared" si="6"/>
        <v>2179449.8747106222</v>
      </c>
      <c r="T25" s="121">
        <f t="shared" si="6"/>
        <v>2477266.4369231663</v>
      </c>
      <c r="U25" s="121">
        <f t="shared" si="6"/>
        <v>1876057.8884449312</v>
      </c>
      <c r="V25" s="121">
        <f t="shared" si="6"/>
        <v>2092575.7097152637</v>
      </c>
      <c r="W25" s="118">
        <f>W19+((W32/SUM(W$32:W$36))*W$21)+((W32/SUM(W$32:W$36))*W$22)</f>
        <v>1560145.999993769</v>
      </c>
      <c r="X25" s="169">
        <f>X19+((X32/SUM(X$32:X$36))*X$21)+((X32/SUM(X$32:X$36))*X$22)</f>
        <v>1749220.2137090203</v>
      </c>
      <c r="Y25" s="118">
        <f t="shared" ref="Y25:AH25" si="7">Y19+((Y32/SUM(Y$32:Y$36))*Y$21)+((Y32/SUM(Y$32:Y$36))*Y$22)</f>
        <v>1520683.535891383</v>
      </c>
      <c r="Z25" s="118">
        <f t="shared" si="7"/>
        <v>1644216.6654295195</v>
      </c>
      <c r="AA25" s="118">
        <f t="shared" si="7"/>
        <v>890877.25800171844</v>
      </c>
      <c r="AB25" s="118">
        <f t="shared" si="7"/>
        <v>1318994.1437801148</v>
      </c>
      <c r="AC25" s="118">
        <f t="shared" si="7"/>
        <v>1331649.8069687816</v>
      </c>
      <c r="AD25" s="118">
        <f t="shared" si="7"/>
        <v>1863080.9232790801</v>
      </c>
      <c r="AE25" s="170">
        <f>AE19+((AE32/SUM(AE$32:AE$36))*AE$21)+((AE32/SUM(AE$32:AE$36))*AE$22)</f>
        <v>1910909.5273087244</v>
      </c>
      <c r="AF25" s="118">
        <f t="shared" si="7"/>
        <v>1858094.1790952033</v>
      </c>
      <c r="AG25" s="118">
        <f t="shared" si="7"/>
        <v>2365032.0916007026</v>
      </c>
      <c r="AH25" s="118">
        <f t="shared" si="7"/>
        <v>2330633.901486279</v>
      </c>
      <c r="AI25" s="118">
        <f>AI19+((AI32/SUM(AI$32:AI$36))*AI$21)+((AI32/SUM(AI$32:AI$36))*AI$22)</f>
        <v>2179894.8060098737</v>
      </c>
      <c r="AJ25" s="118">
        <f>AJ19+((AJ32/SUM(AJ$32:AJ$36))*AJ$21)+((AJ32/SUM(AJ$32:AJ$36))*AJ$22)</f>
        <v>2185795.9687176272</v>
      </c>
      <c r="AK25" s="118">
        <f t="shared" ref="AK25:AU25" si="8">AK19+((AK32/SUM(AK$32:AK$36))*AK$21)+((AK32/SUM(AK$32:AK$36))*AK$22)</f>
        <v>4678261.8125718897</v>
      </c>
      <c r="AL25" s="118">
        <f t="shared" si="8"/>
        <v>-292367.00288388634</v>
      </c>
      <c r="AM25" s="118">
        <f t="shared" si="8"/>
        <v>34128.925955293009</v>
      </c>
      <c r="AN25" s="118">
        <f t="shared" si="8"/>
        <v>34255.040491035354</v>
      </c>
      <c r="AO25" s="118">
        <f t="shared" si="8"/>
        <v>-55234.176917206714</v>
      </c>
      <c r="AP25" s="118">
        <f t="shared" si="8"/>
        <v>25566</v>
      </c>
      <c r="AQ25" s="118">
        <f t="shared" si="8"/>
        <v>37460.47136469432</v>
      </c>
      <c r="AR25" s="118">
        <f t="shared" si="8"/>
        <v>0</v>
      </c>
      <c r="AS25" s="118">
        <f t="shared" si="8"/>
        <v>11616</v>
      </c>
      <c r="AT25" s="118">
        <f t="shared" si="8"/>
        <v>0</v>
      </c>
      <c r="AU25" s="118">
        <f t="shared" si="8"/>
        <v>6752.9225012921552</v>
      </c>
      <c r="AV25" s="171">
        <f>AV19+((AV32/SUM(AV$32:AV$36))*AV$21)+((AV32/SUM(AV$32:AV$36))*AV$22)</f>
        <v>0</v>
      </c>
      <c r="AW25" s="118">
        <f t="shared" si="6"/>
        <v>0</v>
      </c>
      <c r="AX25" s="122">
        <f t="shared" si="6"/>
        <v>0</v>
      </c>
    </row>
    <row r="26" spans="1:57" x14ac:dyDescent="0.25">
      <c r="A26" s="76" t="s">
        <v>4</v>
      </c>
      <c r="B26" s="117">
        <f>((B33/SUM(B$33:B$36))*B$20)+((B33/SUM(B$32:B$36))*B$21)+((B33/SUM(B$32:B$36))*B$22)</f>
        <v>218701.22353031725</v>
      </c>
      <c r="C26" s="121">
        <f t="shared" ref="C26:J29" si="9">((C33/SUM(C$33:C$36))*C$20)+((C33/SUM(C$32:C$36))*C$21)+((C33/SUM(C$32:C$36))*C$22)</f>
        <v>109353.55843061513</v>
      </c>
      <c r="D26" s="121">
        <f t="shared" si="9"/>
        <v>150660.46067254461</v>
      </c>
      <c r="E26" s="121">
        <f t="shared" si="9"/>
        <v>165743.61325093571</v>
      </c>
      <c r="F26" s="121">
        <f t="shared" si="9"/>
        <v>282238.15926398174</v>
      </c>
      <c r="G26" s="121">
        <f t="shared" si="9"/>
        <v>200725.46765268498</v>
      </c>
      <c r="H26" s="121">
        <f t="shared" si="9"/>
        <v>202221.06054023554</v>
      </c>
      <c r="I26" s="121">
        <f t="shared" si="9"/>
        <v>247783.0951496099</v>
      </c>
      <c r="J26" s="121">
        <f t="shared" si="9"/>
        <v>290557.2399642347</v>
      </c>
      <c r="K26" s="121">
        <f t="shared" ref="K26:AX29" si="10">((K33/SUM(K$33:K$36))*K$20)+((K33/SUM(K$32:K$36))*K$21)+((K33/SUM(K$32:K$36))*K$22)</f>
        <v>254816.81965584939</v>
      </c>
      <c r="L26" s="121">
        <f t="shared" si="10"/>
        <v>241890.41455800884</v>
      </c>
      <c r="M26" s="121">
        <f t="shared" si="10"/>
        <v>439538.22192422178</v>
      </c>
      <c r="N26" s="121">
        <f t="shared" si="10"/>
        <v>303499.14185924432</v>
      </c>
      <c r="O26" s="121">
        <f t="shared" si="10"/>
        <v>190370.21693946052</v>
      </c>
      <c r="P26" s="121">
        <f t="shared" si="10"/>
        <v>334294.35269502847</v>
      </c>
      <c r="Q26" s="121">
        <f t="shared" si="10"/>
        <v>317142.33751496958</v>
      </c>
      <c r="R26" s="121">
        <f t="shared" si="10"/>
        <v>379541.28378360759</v>
      </c>
      <c r="S26" s="121">
        <f t="shared" si="10"/>
        <v>407870.425084271</v>
      </c>
      <c r="T26" s="121">
        <f t="shared" si="10"/>
        <v>344585.95632689714</v>
      </c>
      <c r="U26" s="121">
        <f t="shared" si="10"/>
        <v>237847.34431834004</v>
      </c>
      <c r="V26" s="121">
        <f t="shared" si="10"/>
        <v>396665.12996191182</v>
      </c>
      <c r="W26" s="118">
        <f t="shared" si="10"/>
        <v>359445.39580071764</v>
      </c>
      <c r="X26" s="118">
        <f t="shared" si="10"/>
        <v>309163.88866315433</v>
      </c>
      <c r="Y26" s="118">
        <f t="shared" si="10"/>
        <v>338018.03228774131</v>
      </c>
      <c r="Z26" s="118">
        <f t="shared" si="10"/>
        <v>147110.14032137621</v>
      </c>
      <c r="AA26" s="118">
        <f t="shared" si="10"/>
        <v>44714.243270813051</v>
      </c>
      <c r="AB26" s="118">
        <f t="shared" si="10"/>
        <v>397337.76686085749</v>
      </c>
      <c r="AC26" s="118">
        <f t="shared" si="10"/>
        <v>512059.49554576911</v>
      </c>
      <c r="AD26" s="118">
        <f t="shared" si="10"/>
        <v>552724.03471607575</v>
      </c>
      <c r="AE26" s="118">
        <f t="shared" si="10"/>
        <v>299972.36792402063</v>
      </c>
      <c r="AF26" s="118">
        <f t="shared" si="10"/>
        <v>551228.0554666305</v>
      </c>
      <c r="AG26" s="118">
        <f t="shared" si="10"/>
        <v>788563.08125669451</v>
      </c>
      <c r="AH26" s="118">
        <f t="shared" si="10"/>
        <v>398666.97750942805</v>
      </c>
      <c r="AI26" s="118">
        <f t="shared" si="10"/>
        <v>476773.74853741447</v>
      </c>
      <c r="AJ26" s="170">
        <f>((AJ33/SUM(AJ$33:AJ$36))*AJ$20)+((AJ33/SUM(AJ$32:AJ$36))*AJ$21)+((AJ33/SUM(AJ$32:AJ$36))*AJ$22)</f>
        <v>859529.5887772718</v>
      </c>
      <c r="AK26" s="118">
        <f t="shared" si="10"/>
        <v>1674459.9680580976</v>
      </c>
      <c r="AL26" s="118">
        <f t="shared" si="10"/>
        <v>777720.13801573613</v>
      </c>
      <c r="AM26" s="118">
        <f t="shared" si="10"/>
        <v>-445285.93773343891</v>
      </c>
      <c r="AN26" s="118">
        <f t="shared" si="10"/>
        <v>32698.597497223065</v>
      </c>
      <c r="AO26" s="118">
        <f t="shared" si="10"/>
        <v>-24.710055195963236</v>
      </c>
      <c r="AP26" s="118">
        <f t="shared" si="10"/>
        <v>2007.9279865498211</v>
      </c>
      <c r="AQ26" s="118">
        <f t="shared" si="10"/>
        <v>21333.175068883098</v>
      </c>
      <c r="AR26" s="118">
        <f t="shared" si="10"/>
        <v>0</v>
      </c>
      <c r="AS26" s="118">
        <f t="shared" si="10"/>
        <v>0</v>
      </c>
      <c r="AT26" s="118">
        <f t="shared" si="10"/>
        <v>1712.653623977898</v>
      </c>
      <c r="AU26" s="118">
        <f t="shared" si="10"/>
        <v>2015.7292086242935</v>
      </c>
      <c r="AV26" s="117">
        <f>((AV33/SUM(AV$33:AV$36))*AV$20)+((AV33/SUM(AV$32:AV$36))*AV$21)+((AV33/SUM(AV$32:AV$36))*AV$22)</f>
        <v>0</v>
      </c>
      <c r="AW26" s="118">
        <f t="shared" si="10"/>
        <v>0</v>
      </c>
      <c r="AX26" s="122">
        <f t="shared" si="10"/>
        <v>0</v>
      </c>
    </row>
    <row r="27" spans="1:57" x14ac:dyDescent="0.25">
      <c r="A27" s="76" t="s">
        <v>5</v>
      </c>
      <c r="B27" s="117">
        <f>((B34/SUM(B$33:B$36))*B$20)+((B34/SUM(B$32:B$36))*B$21)+((B34/SUM(B$32:B$36))*B$22)</f>
        <v>460498.46546721482</v>
      </c>
      <c r="C27" s="121">
        <f t="shared" si="9"/>
        <v>233124.21686089033</v>
      </c>
      <c r="D27" s="121">
        <f t="shared" si="9"/>
        <v>321203.26765085687</v>
      </c>
      <c r="E27" s="121">
        <f t="shared" si="9"/>
        <v>376099.84502405778</v>
      </c>
      <c r="F27" s="121">
        <f t="shared" si="9"/>
        <v>691298.86499693571</v>
      </c>
      <c r="G27" s="121">
        <f t="shared" si="9"/>
        <v>488319.42696941958</v>
      </c>
      <c r="H27" s="121">
        <f t="shared" si="9"/>
        <v>457276.58481639356</v>
      </c>
      <c r="I27" s="121">
        <f t="shared" si="9"/>
        <v>575866.04963054252</v>
      </c>
      <c r="J27" s="121">
        <f t="shared" si="9"/>
        <v>679940.19228483376</v>
      </c>
      <c r="K27" s="121">
        <f t="shared" ref="K27:AW29" si="11">((K34/SUM(K$33:K$36))*K$20)+((K34/SUM(K$32:K$36))*K$21)+((K34/SUM(K$32:K$36))*K$22)</f>
        <v>622142.75104189571</v>
      </c>
      <c r="L27" s="121">
        <f t="shared" si="11"/>
        <v>585411.69172217778</v>
      </c>
      <c r="M27" s="121">
        <f t="shared" si="11"/>
        <v>954702.03809950047</v>
      </c>
      <c r="N27" s="121">
        <f t="shared" si="11"/>
        <v>616958.4561296975</v>
      </c>
      <c r="O27" s="121">
        <f t="shared" si="11"/>
        <v>381952.40385901119</v>
      </c>
      <c r="P27" s="121">
        <f t="shared" si="11"/>
        <v>704641.13874529453</v>
      </c>
      <c r="Q27" s="121">
        <f t="shared" si="11"/>
        <v>732396.30283903889</v>
      </c>
      <c r="R27" s="121">
        <f t="shared" si="11"/>
        <v>942035.14878152695</v>
      </c>
      <c r="S27" s="121">
        <f t="shared" si="11"/>
        <v>991529.40961601795</v>
      </c>
      <c r="T27" s="121">
        <f t="shared" si="11"/>
        <v>798082.41324313241</v>
      </c>
      <c r="U27" s="121">
        <f t="shared" si="11"/>
        <v>559363.11049524497</v>
      </c>
      <c r="V27" s="121">
        <f t="shared" si="11"/>
        <v>949457.10874680302</v>
      </c>
      <c r="W27" s="118">
        <f t="shared" si="11"/>
        <v>913116.23279312463</v>
      </c>
      <c r="X27" s="118">
        <f t="shared" si="10"/>
        <v>752709.71735380159</v>
      </c>
      <c r="Y27" s="118">
        <f t="shared" si="10"/>
        <v>731911.73256886075</v>
      </c>
      <c r="Z27" s="118">
        <f t="shared" si="10"/>
        <v>309837.32998355973</v>
      </c>
      <c r="AA27" s="118">
        <f t="shared" si="10"/>
        <v>94173.775968937654</v>
      </c>
      <c r="AB27" s="118">
        <f t="shared" si="10"/>
        <v>832357.96620217804</v>
      </c>
      <c r="AC27" s="118">
        <f t="shared" si="10"/>
        <v>1254764.0169254823</v>
      </c>
      <c r="AD27" s="118">
        <f t="shared" si="10"/>
        <v>1399459.0057450724</v>
      </c>
      <c r="AE27" s="118">
        <f t="shared" si="10"/>
        <v>747170.68944972474</v>
      </c>
      <c r="AF27" s="118">
        <f t="shared" si="10"/>
        <v>1292692.1327143966</v>
      </c>
      <c r="AG27" s="118">
        <f t="shared" si="10"/>
        <v>1817739.9882546561</v>
      </c>
      <c r="AH27" s="118">
        <f t="shared" si="10"/>
        <v>955215.75102348463</v>
      </c>
      <c r="AI27" s="118">
        <f t="shared" si="10"/>
        <v>1221105.2758807812</v>
      </c>
      <c r="AJ27" s="118">
        <f t="shared" si="10"/>
        <v>2179890.7219723281</v>
      </c>
      <c r="AK27" s="118">
        <f t="shared" si="10"/>
        <v>3937355.381599674</v>
      </c>
      <c r="AL27" s="118">
        <f t="shared" si="10"/>
        <v>1674868.1807029371</v>
      </c>
      <c r="AM27" s="118">
        <f t="shared" si="10"/>
        <v>-951158.01452883205</v>
      </c>
      <c r="AN27" s="118">
        <f t="shared" si="10"/>
        <v>74936.287311382941</v>
      </c>
      <c r="AO27" s="118">
        <f t="shared" si="10"/>
        <v>-61.186407058513666</v>
      </c>
      <c r="AP27" s="118">
        <f t="shared" si="10"/>
        <v>5178.0015995121439</v>
      </c>
      <c r="AQ27" s="118">
        <f t="shared" si="10"/>
        <v>50993.770664169126</v>
      </c>
      <c r="AR27" s="118">
        <f t="shared" si="10"/>
        <v>0</v>
      </c>
      <c r="AS27" s="118">
        <f t="shared" si="10"/>
        <v>0</v>
      </c>
      <c r="AT27" s="118">
        <f t="shared" si="10"/>
        <v>4067.9715648186275</v>
      </c>
      <c r="AU27" s="118">
        <f t="shared" si="10"/>
        <v>4953.1641593559571</v>
      </c>
      <c r="AV27" s="117">
        <f t="shared" si="11"/>
        <v>0</v>
      </c>
      <c r="AW27" s="118">
        <f t="shared" si="11"/>
        <v>0</v>
      </c>
      <c r="AX27" s="122">
        <f t="shared" si="10"/>
        <v>0</v>
      </c>
    </row>
    <row r="28" spans="1:57" x14ac:dyDescent="0.25">
      <c r="A28" s="76" t="s">
        <v>6</v>
      </c>
      <c r="B28" s="117">
        <f>((B35/SUM(B$33:B$36))*B$20)+((B35/SUM(B$32:B$36))*B$21)+((B35/SUM(B$32:B$36))*B$22)</f>
        <v>184598.19260187683</v>
      </c>
      <c r="C28" s="121">
        <f t="shared" si="9"/>
        <v>99287.232963136747</v>
      </c>
      <c r="D28" s="121">
        <f t="shared" si="9"/>
        <v>136844.13695851929</v>
      </c>
      <c r="E28" s="121">
        <f t="shared" si="9"/>
        <v>156595.44920564248</v>
      </c>
      <c r="F28" s="121">
        <f t="shared" si="9"/>
        <v>303223.12063806644</v>
      </c>
      <c r="G28" s="121">
        <f t="shared" si="9"/>
        <v>207938.15865219798</v>
      </c>
      <c r="H28" s="121">
        <f t="shared" si="9"/>
        <v>190989.65106572097</v>
      </c>
      <c r="I28" s="121">
        <f t="shared" si="9"/>
        <v>241742.8387510782</v>
      </c>
      <c r="J28" s="121">
        <f t="shared" si="9"/>
        <v>287297.98213486333</v>
      </c>
      <c r="K28" s="121">
        <f t="shared" si="11"/>
        <v>271710.80107959319</v>
      </c>
      <c r="L28" s="121">
        <f t="shared" si="11"/>
        <v>254908.72145887165</v>
      </c>
      <c r="M28" s="121">
        <f t="shared" si="11"/>
        <v>397308.52165398211</v>
      </c>
      <c r="N28" s="121">
        <f t="shared" si="11"/>
        <v>240914.93188050282</v>
      </c>
      <c r="O28" s="121">
        <f t="shared" si="11"/>
        <v>157837.41407360605</v>
      </c>
      <c r="P28" s="121">
        <f t="shared" si="11"/>
        <v>303146.57682593592</v>
      </c>
      <c r="Q28" s="121">
        <f t="shared" si="11"/>
        <v>331197.34549752902</v>
      </c>
      <c r="R28" s="121">
        <f t="shared" si="11"/>
        <v>407093.55714498728</v>
      </c>
      <c r="S28" s="121">
        <f t="shared" si="11"/>
        <v>420660.45975022117</v>
      </c>
      <c r="T28" s="121">
        <f t="shared" si="11"/>
        <v>333923.50975154073</v>
      </c>
      <c r="U28" s="121">
        <f t="shared" si="11"/>
        <v>246760.32768483044</v>
      </c>
      <c r="V28" s="121">
        <f t="shared" si="11"/>
        <v>388144.44771520904</v>
      </c>
      <c r="W28" s="118">
        <f t="shared" si="11"/>
        <v>413972.12820370728</v>
      </c>
      <c r="X28" s="118">
        <f t="shared" si="10"/>
        <v>342208.28196861362</v>
      </c>
      <c r="Y28" s="118">
        <f t="shared" si="10"/>
        <v>307207.60267222434</v>
      </c>
      <c r="Z28" s="118">
        <f t="shared" si="10"/>
        <v>124626.06935148942</v>
      </c>
      <c r="AA28" s="118">
        <f t="shared" si="10"/>
        <v>38205.379719658216</v>
      </c>
      <c r="AB28" s="118">
        <f t="shared" si="10"/>
        <v>341995.15316154907</v>
      </c>
      <c r="AC28" s="118">
        <f t="shared" si="10"/>
        <v>584794.51971538516</v>
      </c>
      <c r="AD28" s="118">
        <f t="shared" si="10"/>
        <v>621650.41527716129</v>
      </c>
      <c r="AE28" s="118">
        <f t="shared" si="10"/>
        <v>309363.88816958881</v>
      </c>
      <c r="AF28" s="118">
        <f t="shared" si="10"/>
        <v>581966.24640204338</v>
      </c>
      <c r="AG28" s="118">
        <f t="shared" si="10"/>
        <v>725862.45359269809</v>
      </c>
      <c r="AH28" s="118">
        <f t="shared" si="10"/>
        <v>405922.29119943723</v>
      </c>
      <c r="AI28" s="118">
        <f t="shared" si="10"/>
        <v>529583.83593585482</v>
      </c>
      <c r="AJ28" s="118">
        <f t="shared" si="10"/>
        <v>951582.81320779037</v>
      </c>
      <c r="AK28" s="118">
        <f t="shared" si="10"/>
        <v>1705129.6361458374</v>
      </c>
      <c r="AL28" s="118">
        <f t="shared" si="10"/>
        <v>693318.32631216303</v>
      </c>
      <c r="AM28" s="118">
        <f t="shared" si="10"/>
        <v>-408769.71307388181</v>
      </c>
      <c r="AN28" s="118">
        <f t="shared" si="10"/>
        <v>31092.050303673579</v>
      </c>
      <c r="AO28" s="118">
        <f t="shared" si="10"/>
        <v>-27.535883250531789</v>
      </c>
      <c r="AP28" s="118">
        <f t="shared" si="10"/>
        <v>2426.2133998223544</v>
      </c>
      <c r="AQ28" s="118">
        <f t="shared" si="10"/>
        <v>21664.517440685831</v>
      </c>
      <c r="AR28" s="118">
        <f t="shared" si="10"/>
        <v>0</v>
      </c>
      <c r="AS28" s="118">
        <f t="shared" si="10"/>
        <v>0</v>
      </c>
      <c r="AT28" s="118">
        <f t="shared" si="10"/>
        <v>1792.6527225084671</v>
      </c>
      <c r="AU28" s="118">
        <f t="shared" si="10"/>
        <v>2104.518126222566</v>
      </c>
      <c r="AV28" s="117">
        <f t="shared" si="11"/>
        <v>0</v>
      </c>
      <c r="AW28" s="118">
        <f t="shared" si="11"/>
        <v>0</v>
      </c>
      <c r="AX28" s="122">
        <f t="shared" si="10"/>
        <v>0</v>
      </c>
    </row>
    <row r="29" spans="1:57" x14ac:dyDescent="0.25">
      <c r="A29" s="76" t="s">
        <v>7</v>
      </c>
      <c r="B29" s="117">
        <f>((B36/SUM(B$33:B$36))*B$20)+((B36/SUM(B$32:B$36))*B$21)+((B36/SUM(B$32:B$36))*B$22)</f>
        <v>149211.67158088839</v>
      </c>
      <c r="C29" s="121">
        <f t="shared" si="9"/>
        <v>74950.202558279649</v>
      </c>
      <c r="D29" s="121">
        <f t="shared" si="9"/>
        <v>89974.447515136053</v>
      </c>
      <c r="E29" s="121">
        <f t="shared" si="9"/>
        <v>118020.84676528435</v>
      </c>
      <c r="F29" s="121">
        <f t="shared" si="9"/>
        <v>251631.43449059944</v>
      </c>
      <c r="G29" s="121">
        <f t="shared" si="9"/>
        <v>164357.34679671444</v>
      </c>
      <c r="H29" s="121">
        <f t="shared" si="9"/>
        <v>146381.13242966429</v>
      </c>
      <c r="I29" s="121">
        <f t="shared" si="9"/>
        <v>203233.08630065012</v>
      </c>
      <c r="J29" s="121">
        <f t="shared" si="9"/>
        <v>219248.59903923754</v>
      </c>
      <c r="K29" s="121">
        <f t="shared" si="11"/>
        <v>220691.44119069993</v>
      </c>
      <c r="L29" s="121">
        <f t="shared" si="11"/>
        <v>211099.13468858023</v>
      </c>
      <c r="M29" s="121">
        <f t="shared" si="11"/>
        <v>305835.32359498658</v>
      </c>
      <c r="N29" s="121">
        <f t="shared" si="11"/>
        <v>179456.31563302164</v>
      </c>
      <c r="O29" s="121">
        <f t="shared" si="11"/>
        <v>88031.507669534825</v>
      </c>
      <c r="P29" s="121">
        <f t="shared" si="11"/>
        <v>157952.81970083324</v>
      </c>
      <c r="Q29" s="121">
        <f t="shared" si="11"/>
        <v>179326.23360338763</v>
      </c>
      <c r="R29" s="121">
        <f t="shared" si="11"/>
        <v>224376.62300349338</v>
      </c>
      <c r="S29" s="121">
        <f t="shared" si="11"/>
        <v>229237.80083886764</v>
      </c>
      <c r="T29" s="121">
        <f t="shared" si="11"/>
        <v>187690.97375526332</v>
      </c>
      <c r="U29" s="121">
        <f t="shared" si="11"/>
        <v>134933.1490566532</v>
      </c>
      <c r="V29" s="121">
        <f t="shared" si="11"/>
        <v>224233.92386081262</v>
      </c>
      <c r="W29" s="118">
        <f t="shared" si="11"/>
        <v>236924.97320868145</v>
      </c>
      <c r="X29" s="118">
        <f t="shared" si="10"/>
        <v>197481.82830541008</v>
      </c>
      <c r="Y29" s="118">
        <f t="shared" si="10"/>
        <v>157152.25657979064</v>
      </c>
      <c r="Z29" s="118">
        <f t="shared" si="10"/>
        <v>65631.21491405509</v>
      </c>
      <c r="AA29" s="118">
        <f t="shared" si="10"/>
        <v>19100.893038872688</v>
      </c>
      <c r="AB29" s="118">
        <f t="shared" si="10"/>
        <v>171308.39999530069</v>
      </c>
      <c r="AC29" s="118">
        <f t="shared" si="10"/>
        <v>297315.7808445819</v>
      </c>
      <c r="AD29" s="118">
        <f t="shared" si="10"/>
        <v>327992.04098261031</v>
      </c>
      <c r="AE29" s="118">
        <f t="shared" si="10"/>
        <v>172248.55714794161</v>
      </c>
      <c r="AF29" s="118">
        <f t="shared" si="10"/>
        <v>315002.13632172608</v>
      </c>
      <c r="AG29" s="118">
        <f t="shared" si="10"/>
        <v>401361.01529524877</v>
      </c>
      <c r="AH29" s="118">
        <f t="shared" si="10"/>
        <v>228500.21878137105</v>
      </c>
      <c r="AI29" s="118">
        <f t="shared" si="10"/>
        <v>335810.86363607587</v>
      </c>
      <c r="AJ29" s="118">
        <f t="shared" si="10"/>
        <v>528481.56732498272</v>
      </c>
      <c r="AK29" s="118">
        <f t="shared" si="10"/>
        <v>880807.96162450069</v>
      </c>
      <c r="AL29" s="118">
        <f t="shared" si="10"/>
        <v>359335.98785305017</v>
      </c>
      <c r="AM29" s="118">
        <f t="shared" si="10"/>
        <v>-206880.23061914017</v>
      </c>
      <c r="AN29" s="118">
        <f t="shared" si="10"/>
        <v>15992.454396685082</v>
      </c>
      <c r="AO29" s="118">
        <f t="shared" si="10"/>
        <v>-13.940737288275976</v>
      </c>
      <c r="AP29" s="118">
        <f t="shared" si="10"/>
        <v>1186.6570141156801</v>
      </c>
      <c r="AQ29" s="118">
        <f t="shared" si="10"/>
        <v>11662.345461567616</v>
      </c>
      <c r="AR29" s="118">
        <f t="shared" si="10"/>
        <v>0</v>
      </c>
      <c r="AS29" s="118">
        <f t="shared" si="10"/>
        <v>0</v>
      </c>
      <c r="AT29" s="118">
        <f t="shared" si="10"/>
        <v>956.72208869500776</v>
      </c>
      <c r="AU29" s="118">
        <f t="shared" si="10"/>
        <v>1161.6460045050285</v>
      </c>
      <c r="AV29" s="117">
        <f t="shared" si="11"/>
        <v>0</v>
      </c>
      <c r="AW29" s="118">
        <f t="shared" si="11"/>
        <v>0</v>
      </c>
      <c r="AX29" s="122">
        <f t="shared" si="10"/>
        <v>0</v>
      </c>
    </row>
    <row r="30" spans="1:57" x14ac:dyDescent="0.25">
      <c r="B30" s="106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4"/>
      <c r="AW30" s="105"/>
      <c r="AX30" s="108"/>
    </row>
    <row r="31" spans="1:57" x14ac:dyDescent="0.25">
      <c r="A31" s="76" t="s">
        <v>91</v>
      </c>
      <c r="B31" s="106"/>
      <c r="C31" s="105"/>
      <c r="D31" s="109" t="s">
        <v>92</v>
      </c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4"/>
      <c r="AW31" s="105"/>
      <c r="AX31" s="108"/>
    </row>
    <row r="32" spans="1:57" x14ac:dyDescent="0.25">
      <c r="A32" s="50" t="s">
        <v>0</v>
      </c>
      <c r="B32" s="149">
        <v>1465786917</v>
      </c>
      <c r="C32" s="115">
        <v>1258624559</v>
      </c>
      <c r="D32" s="115">
        <v>1240891627</v>
      </c>
      <c r="E32" s="115">
        <v>1035032782</v>
      </c>
      <c r="F32" s="115">
        <v>807815978</v>
      </c>
      <c r="G32" s="115">
        <v>944347001</v>
      </c>
      <c r="H32" s="115">
        <v>1271891590</v>
      </c>
      <c r="I32" s="115">
        <v>1167342435</v>
      </c>
      <c r="J32" s="115">
        <v>1279101600</v>
      </c>
      <c r="K32" s="116">
        <v>889369457</v>
      </c>
      <c r="L32" s="116">
        <v>847264579</v>
      </c>
      <c r="M32" s="116">
        <v>1279609957</v>
      </c>
      <c r="N32" s="116">
        <v>1638413028</v>
      </c>
      <c r="O32" s="116">
        <v>1541079708</v>
      </c>
      <c r="P32" s="116">
        <v>1287246250</v>
      </c>
      <c r="Q32" s="116">
        <v>925234299</v>
      </c>
      <c r="R32" s="116">
        <v>790501119</v>
      </c>
      <c r="S32" s="116">
        <v>1029996190</v>
      </c>
      <c r="T32" s="116">
        <v>1248568727</v>
      </c>
      <c r="U32" s="116">
        <v>1150716602</v>
      </c>
      <c r="V32" s="116">
        <v>1229322682</v>
      </c>
      <c r="W32" s="116">
        <v>785555738</v>
      </c>
      <c r="X32" s="116">
        <v>849992194</v>
      </c>
      <c r="Y32" s="116">
        <v>1279405271</v>
      </c>
      <c r="Z32" s="116">
        <v>1492543707</v>
      </c>
      <c r="AA32" s="116">
        <v>1325969845</v>
      </c>
      <c r="AB32" s="116">
        <v>1307749393</v>
      </c>
      <c r="AC32" s="116">
        <v>830259747</v>
      </c>
      <c r="AD32" s="116">
        <v>724422041</v>
      </c>
      <c r="AE32" s="116">
        <v>968782648</v>
      </c>
      <c r="AF32" s="116">
        <v>1241052509</v>
      </c>
      <c r="AG32" s="116">
        <v>1339493938</v>
      </c>
      <c r="AH32" s="116">
        <v>1134969747</v>
      </c>
      <c r="AI32" s="116">
        <v>678014949</v>
      </c>
      <c r="AJ32" s="255">
        <v>736835934</v>
      </c>
      <c r="AK32" s="255">
        <v>1032290277</v>
      </c>
      <c r="AL32" s="255">
        <v>1362755627</v>
      </c>
      <c r="AM32" s="255">
        <v>1267377410</v>
      </c>
      <c r="AN32" s="255">
        <v>993663505</v>
      </c>
      <c r="AO32" s="255">
        <v>799965556</v>
      </c>
      <c r="AP32" s="255">
        <v>694371338</v>
      </c>
      <c r="AQ32" s="255">
        <v>1033880199</v>
      </c>
      <c r="AR32" s="255">
        <v>1389519683</v>
      </c>
      <c r="AS32" s="255">
        <v>1393717014</v>
      </c>
      <c r="AT32" s="255">
        <v>1260356462</v>
      </c>
      <c r="AU32" s="255">
        <v>898752689</v>
      </c>
      <c r="AV32" s="150">
        <f>+PCR!L32</f>
        <v>796751908</v>
      </c>
      <c r="AW32" s="151">
        <f>+PCR!M32</f>
        <v>1172405717</v>
      </c>
      <c r="AX32" s="152">
        <f>+PCR!N32</f>
        <v>1521595675</v>
      </c>
      <c r="AY32" s="153"/>
      <c r="AZ32" s="53"/>
      <c r="BB32" s="53"/>
    </row>
    <row r="33" spans="1:54" x14ac:dyDescent="0.25">
      <c r="A33" s="50" t="s">
        <v>4</v>
      </c>
      <c r="B33" s="149">
        <v>325901588</v>
      </c>
      <c r="C33" s="115">
        <v>296136287</v>
      </c>
      <c r="D33" s="115">
        <v>292478502</v>
      </c>
      <c r="E33" s="115">
        <v>273528114</v>
      </c>
      <c r="F33" s="115">
        <v>241856477</v>
      </c>
      <c r="G33" s="115">
        <v>272986921</v>
      </c>
      <c r="H33" s="115">
        <v>318157752</v>
      </c>
      <c r="I33" s="115">
        <v>303270886</v>
      </c>
      <c r="J33" s="115">
        <v>320343747</v>
      </c>
      <c r="K33" s="116">
        <v>270802461</v>
      </c>
      <c r="L33" s="116">
        <v>248994298</v>
      </c>
      <c r="M33" s="116">
        <v>302915000</v>
      </c>
      <c r="N33" s="116">
        <v>352594842</v>
      </c>
      <c r="O33" s="116">
        <v>339012831</v>
      </c>
      <c r="P33" s="116">
        <v>303288040</v>
      </c>
      <c r="Q33" s="116">
        <v>257023625</v>
      </c>
      <c r="R33" s="116">
        <v>244988768</v>
      </c>
      <c r="S33" s="116">
        <v>279984334</v>
      </c>
      <c r="T33" s="116">
        <v>312394516</v>
      </c>
      <c r="U33" s="116">
        <v>295738280</v>
      </c>
      <c r="V33" s="116">
        <v>311541080</v>
      </c>
      <c r="W33" s="116">
        <v>249069162</v>
      </c>
      <c r="X33" s="116">
        <v>247740861</v>
      </c>
      <c r="Y33" s="116">
        <v>302691750</v>
      </c>
      <c r="Z33" s="116">
        <v>334036440</v>
      </c>
      <c r="AA33" s="116">
        <v>306946461</v>
      </c>
      <c r="AB33" s="116">
        <v>307030879</v>
      </c>
      <c r="AC33" s="116">
        <v>246725474</v>
      </c>
      <c r="AD33" s="116">
        <v>237598172</v>
      </c>
      <c r="AE33" s="116">
        <v>266398876</v>
      </c>
      <c r="AF33" s="116">
        <v>308472355</v>
      </c>
      <c r="AG33" s="116">
        <v>320995500</v>
      </c>
      <c r="AH33" s="116">
        <v>300334967</v>
      </c>
      <c r="AI33" s="116">
        <v>215508871</v>
      </c>
      <c r="AJ33" s="255">
        <v>233352942</v>
      </c>
      <c r="AK33" s="255">
        <v>263515516</v>
      </c>
      <c r="AL33" s="255">
        <v>309299073</v>
      </c>
      <c r="AM33" s="255">
        <v>297404631</v>
      </c>
      <c r="AN33" s="255">
        <v>260227273</v>
      </c>
      <c r="AO33" s="255">
        <v>236480663</v>
      </c>
      <c r="AP33" s="255">
        <v>226604577</v>
      </c>
      <c r="AQ33" s="255">
        <v>276800633</v>
      </c>
      <c r="AR33" s="255">
        <v>328433342</v>
      </c>
      <c r="AS33" s="255">
        <v>327996744</v>
      </c>
      <c r="AT33" s="255">
        <v>315410170</v>
      </c>
      <c r="AU33" s="255">
        <v>268275261</v>
      </c>
      <c r="AV33" s="150">
        <f>+PCR!L33</f>
        <v>242512022</v>
      </c>
      <c r="AW33" s="151">
        <f>+PCR!M33</f>
        <v>285988255</v>
      </c>
      <c r="AX33" s="152">
        <f>+PCR!N33</f>
        <v>334418858</v>
      </c>
      <c r="AY33" s="153"/>
      <c r="AZ33" s="53"/>
      <c r="BB33" s="53"/>
    </row>
    <row r="34" spans="1:54" x14ac:dyDescent="0.25">
      <c r="A34" s="50" t="s">
        <v>5</v>
      </c>
      <c r="B34" s="149">
        <v>686220126</v>
      </c>
      <c r="C34" s="115">
        <v>631314984</v>
      </c>
      <c r="D34" s="115">
        <v>623554781</v>
      </c>
      <c r="E34" s="115">
        <v>620680817</v>
      </c>
      <c r="F34" s="115">
        <v>592390159</v>
      </c>
      <c r="G34" s="115">
        <v>664115114</v>
      </c>
      <c r="H34" s="115">
        <v>719440843</v>
      </c>
      <c r="I34" s="115">
        <v>704823737</v>
      </c>
      <c r="J34" s="115">
        <v>749644335</v>
      </c>
      <c r="K34" s="116">
        <v>661172164</v>
      </c>
      <c r="L34" s="116">
        <v>602604173</v>
      </c>
      <c r="M34" s="116">
        <v>657948623</v>
      </c>
      <c r="N34" s="116">
        <v>716761069</v>
      </c>
      <c r="O34" s="116">
        <v>680183948</v>
      </c>
      <c r="P34" s="116">
        <v>639284595</v>
      </c>
      <c r="Q34" s="116">
        <v>593560463</v>
      </c>
      <c r="R34" s="116">
        <v>608070954</v>
      </c>
      <c r="S34" s="116">
        <v>680639449</v>
      </c>
      <c r="T34" s="116">
        <v>723525044</v>
      </c>
      <c r="U34" s="116">
        <v>695509486</v>
      </c>
      <c r="V34" s="116">
        <v>745704300</v>
      </c>
      <c r="W34" s="116">
        <v>632722237</v>
      </c>
      <c r="X34" s="116">
        <v>603165377</v>
      </c>
      <c r="Y34" s="116">
        <v>655419599</v>
      </c>
      <c r="Z34" s="116">
        <v>703533818</v>
      </c>
      <c r="AA34" s="116">
        <v>646467549</v>
      </c>
      <c r="AB34" s="116">
        <v>643179731</v>
      </c>
      <c r="AC34" s="116">
        <v>604582572</v>
      </c>
      <c r="AD34" s="116">
        <v>601582129</v>
      </c>
      <c r="AE34" s="116">
        <v>663545890</v>
      </c>
      <c r="AF34" s="116">
        <v>723402560</v>
      </c>
      <c r="AG34" s="116">
        <v>739936183</v>
      </c>
      <c r="AH34" s="116">
        <v>719609868</v>
      </c>
      <c r="AI34" s="116">
        <v>551957863</v>
      </c>
      <c r="AJ34" s="255">
        <v>591816640</v>
      </c>
      <c r="AK34" s="255">
        <v>619635139</v>
      </c>
      <c r="AL34" s="255">
        <v>666094589</v>
      </c>
      <c r="AM34" s="255">
        <v>635274493</v>
      </c>
      <c r="AN34" s="255">
        <v>596370095</v>
      </c>
      <c r="AO34" s="255">
        <v>585567373</v>
      </c>
      <c r="AP34" s="255">
        <v>584363020</v>
      </c>
      <c r="AQ34" s="255">
        <v>661650596</v>
      </c>
      <c r="AR34" s="255">
        <v>744450846</v>
      </c>
      <c r="AS34" s="255">
        <v>746230356</v>
      </c>
      <c r="AT34" s="255">
        <v>749176357</v>
      </c>
      <c r="AU34" s="255">
        <v>659221190</v>
      </c>
      <c r="AV34" s="150">
        <f>+PCR!L34</f>
        <v>596676869</v>
      </c>
      <c r="AW34" s="151">
        <f>+PCR!M34</f>
        <v>641004849</v>
      </c>
      <c r="AX34" s="152">
        <f>+PCR!N34</f>
        <v>700961063</v>
      </c>
      <c r="AY34" s="153"/>
      <c r="AZ34" s="53"/>
      <c r="BB34" s="53"/>
    </row>
    <row r="35" spans="1:54" x14ac:dyDescent="0.25">
      <c r="A35" s="50" t="s">
        <v>6</v>
      </c>
      <c r="B35" s="149">
        <v>275082339</v>
      </c>
      <c r="C35" s="115">
        <v>268876047</v>
      </c>
      <c r="D35" s="115">
        <v>265656749</v>
      </c>
      <c r="E35" s="115">
        <v>258430820</v>
      </c>
      <c r="F35" s="115">
        <v>259838981</v>
      </c>
      <c r="G35" s="115">
        <v>282796191</v>
      </c>
      <c r="H35" s="115">
        <v>300487189</v>
      </c>
      <c r="I35" s="115">
        <v>295877993</v>
      </c>
      <c r="J35" s="115">
        <v>316750366</v>
      </c>
      <c r="K35" s="116">
        <v>288756267</v>
      </c>
      <c r="L35" s="116">
        <v>262394929</v>
      </c>
      <c r="M35" s="116">
        <v>273811707</v>
      </c>
      <c r="N35" s="116">
        <v>279886664</v>
      </c>
      <c r="O35" s="116">
        <v>281078151</v>
      </c>
      <c r="P35" s="116">
        <v>275029268</v>
      </c>
      <c r="Q35" s="116">
        <v>268414312</v>
      </c>
      <c r="R35" s="116">
        <v>262773388</v>
      </c>
      <c r="S35" s="116">
        <v>288764106</v>
      </c>
      <c r="T35" s="116">
        <v>302728162</v>
      </c>
      <c r="U35" s="116">
        <v>306820642</v>
      </c>
      <c r="V35" s="116">
        <v>304848930</v>
      </c>
      <c r="W35" s="116">
        <v>286852168</v>
      </c>
      <c r="X35" s="116">
        <v>274220171</v>
      </c>
      <c r="Y35" s="116">
        <v>275101320</v>
      </c>
      <c r="Z35" s="116">
        <v>282982862</v>
      </c>
      <c r="AA35" s="116">
        <v>262265561</v>
      </c>
      <c r="AB35" s="116">
        <v>264266529</v>
      </c>
      <c r="AC35" s="116">
        <v>281771369</v>
      </c>
      <c r="AD35" s="116">
        <v>267227392</v>
      </c>
      <c r="AE35" s="116">
        <v>274739279</v>
      </c>
      <c r="AF35" s="116">
        <v>325673733</v>
      </c>
      <c r="AG35" s="116">
        <v>295472343</v>
      </c>
      <c r="AH35" s="116">
        <v>305800743</v>
      </c>
      <c r="AI35" s="116">
        <v>239379821</v>
      </c>
      <c r="AJ35" s="255">
        <v>258344392</v>
      </c>
      <c r="AK35" s="255">
        <v>268342107</v>
      </c>
      <c r="AL35" s="255">
        <v>275732497</v>
      </c>
      <c r="AM35" s="255">
        <v>273015596</v>
      </c>
      <c r="AN35" s="255">
        <v>247441789</v>
      </c>
      <c r="AO35" s="255">
        <v>263524459</v>
      </c>
      <c r="AP35" s="255">
        <v>273810149</v>
      </c>
      <c r="AQ35" s="255">
        <v>281099842</v>
      </c>
      <c r="AR35" s="255">
        <v>312186695</v>
      </c>
      <c r="AS35" s="255">
        <v>304162315</v>
      </c>
      <c r="AT35" s="255">
        <v>330143172</v>
      </c>
      <c r="AU35" s="255">
        <v>280092260</v>
      </c>
      <c r="AV35" s="150">
        <f>+PCR!L35</f>
        <v>263414186</v>
      </c>
      <c r="AW35" s="151">
        <f>+PCR!M35</f>
        <v>262294688</v>
      </c>
      <c r="AX35" s="152">
        <f>+PCR!N35</f>
        <v>280246878</v>
      </c>
      <c r="AY35" s="153"/>
      <c r="AZ35" s="53"/>
      <c r="BB35" s="53"/>
    </row>
    <row r="36" spans="1:54" x14ac:dyDescent="0.25">
      <c r="A36" s="50" t="s">
        <v>7</v>
      </c>
      <c r="B36" s="149">
        <v>222350474</v>
      </c>
      <c r="C36" s="115">
        <v>202969844</v>
      </c>
      <c r="D36" s="115">
        <v>174668201</v>
      </c>
      <c r="E36" s="115">
        <v>194770821</v>
      </c>
      <c r="F36" s="115">
        <v>215628859</v>
      </c>
      <c r="G36" s="115">
        <v>223526225</v>
      </c>
      <c r="H36" s="115">
        <v>230303866</v>
      </c>
      <c r="I36" s="115">
        <v>248744484</v>
      </c>
      <c r="J36" s="115">
        <v>241724893</v>
      </c>
      <c r="K36" s="116">
        <v>234536266</v>
      </c>
      <c r="L36" s="116">
        <v>217298734</v>
      </c>
      <c r="M36" s="116">
        <v>210771447</v>
      </c>
      <c r="N36" s="116">
        <v>208486162</v>
      </c>
      <c r="O36" s="116">
        <v>156767225</v>
      </c>
      <c r="P36" s="116">
        <v>143302454</v>
      </c>
      <c r="Q36" s="116">
        <v>145332468</v>
      </c>
      <c r="R36" s="116">
        <v>144832077</v>
      </c>
      <c r="S36" s="116">
        <v>157361233</v>
      </c>
      <c r="T36" s="116">
        <v>170156763</v>
      </c>
      <c r="U36" s="116">
        <v>167775249</v>
      </c>
      <c r="V36" s="116">
        <v>176113486</v>
      </c>
      <c r="W36" s="116">
        <v>164171541</v>
      </c>
      <c r="X36" s="116">
        <v>158247195</v>
      </c>
      <c r="Y36" s="116">
        <v>140728266</v>
      </c>
      <c r="Z36" s="116">
        <v>149025875</v>
      </c>
      <c r="AA36" s="116">
        <v>131120446</v>
      </c>
      <c r="AB36" s="116">
        <v>132373444</v>
      </c>
      <c r="AC36" s="116">
        <v>143255574</v>
      </c>
      <c r="AD36" s="116">
        <v>140993162</v>
      </c>
      <c r="AE36" s="116">
        <v>152970163</v>
      </c>
      <c r="AF36" s="116">
        <v>176278130</v>
      </c>
      <c r="AG36" s="116">
        <v>163379548</v>
      </c>
      <c r="AH36" s="116">
        <v>172140181</v>
      </c>
      <c r="AI36" s="116">
        <v>151791537</v>
      </c>
      <c r="AJ36" s="255">
        <v>143477002</v>
      </c>
      <c r="AK36" s="255">
        <v>138615774</v>
      </c>
      <c r="AL36" s="255">
        <v>142907818</v>
      </c>
      <c r="AM36" s="255">
        <v>138174448</v>
      </c>
      <c r="AN36" s="255">
        <v>127273740</v>
      </c>
      <c r="AO36" s="255">
        <v>133415922</v>
      </c>
      <c r="AP36" s="255">
        <v>133920097</v>
      </c>
      <c r="AQ36" s="255">
        <v>151320401</v>
      </c>
      <c r="AR36" s="255">
        <v>158812387</v>
      </c>
      <c r="AS36" s="255">
        <v>160367769</v>
      </c>
      <c r="AT36" s="255">
        <v>176194341</v>
      </c>
      <c r="AU36" s="255">
        <v>154604539</v>
      </c>
      <c r="AV36" s="150">
        <f>+PCR!L36</f>
        <v>146581588</v>
      </c>
      <c r="AW36" s="151">
        <f>+PCR!M36</f>
        <v>137870425</v>
      </c>
      <c r="AX36" s="152">
        <f>+PCR!N36</f>
        <v>143563766</v>
      </c>
      <c r="AY36" s="153"/>
      <c r="AZ36" s="53"/>
      <c r="BB36" s="53"/>
    </row>
    <row r="37" spans="1:54" x14ac:dyDescent="0.25">
      <c r="B37" s="106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4"/>
      <c r="AW37" s="105"/>
      <c r="AX37" s="108"/>
    </row>
    <row r="38" spans="1:54" x14ac:dyDescent="0.25">
      <c r="A38" s="76" t="s">
        <v>93</v>
      </c>
      <c r="B38" s="106"/>
      <c r="C38" s="105"/>
      <c r="D38" s="109" t="s">
        <v>72</v>
      </c>
      <c r="E38" s="105"/>
      <c r="F38" s="105"/>
      <c r="G38" s="105"/>
      <c r="H38" s="105"/>
      <c r="I38" s="105"/>
      <c r="J38" s="105"/>
      <c r="K38" s="105"/>
      <c r="L38" s="105"/>
      <c r="M38" s="105"/>
      <c r="N38" s="107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4"/>
      <c r="AW38" s="105"/>
      <c r="AX38" s="108"/>
      <c r="AY38" s="123" t="s">
        <v>94</v>
      </c>
      <c r="AZ38" s="50"/>
    </row>
    <row r="39" spans="1:54" x14ac:dyDescent="0.25">
      <c r="A39" s="50" t="str">
        <f>A32</f>
        <v>RES</v>
      </c>
      <c r="B39" s="98">
        <v>1107718.26</v>
      </c>
      <c r="C39" s="99">
        <v>2380405.9</v>
      </c>
      <c r="D39" s="99">
        <v>2356565.5</v>
      </c>
      <c r="E39" s="99">
        <v>1966252.23</v>
      </c>
      <c r="F39" s="99">
        <v>1534586.76</v>
      </c>
      <c r="G39" s="99">
        <v>1794220.79</v>
      </c>
      <c r="H39" s="99">
        <v>2416344.7400000002</v>
      </c>
      <c r="I39" s="99">
        <v>2217668.92</v>
      </c>
      <c r="J39" s="99">
        <v>2430216.25</v>
      </c>
      <c r="K39" s="110">
        <v>1689802.53</v>
      </c>
      <c r="L39" s="110">
        <v>1609769.97</v>
      </c>
      <c r="M39" s="110">
        <v>2431206.77</v>
      </c>
      <c r="N39" s="110">
        <v>3044849.46</v>
      </c>
      <c r="O39" s="110">
        <v>2230405.09</v>
      </c>
      <c r="P39" s="110">
        <v>1862851.87</v>
      </c>
      <c r="Q39" s="110">
        <v>1338973.0900000001</v>
      </c>
      <c r="R39" s="110">
        <v>1144195.04</v>
      </c>
      <c r="S39" s="110">
        <v>1490607.79</v>
      </c>
      <c r="T39" s="110">
        <v>1806740.8</v>
      </c>
      <c r="U39" s="110">
        <v>1665154.39</v>
      </c>
      <c r="V39" s="110">
        <v>1778880.4</v>
      </c>
      <c r="W39" s="110">
        <v>1136699.8999999999</v>
      </c>
      <c r="X39" s="110">
        <v>1229932.0900000001</v>
      </c>
      <c r="Y39" s="110">
        <v>1851286.59</v>
      </c>
      <c r="Z39" s="110">
        <v>2263861.69</v>
      </c>
      <c r="AA39" s="110">
        <v>2941083.49</v>
      </c>
      <c r="AB39" s="110">
        <v>2901686.48</v>
      </c>
      <c r="AC39" s="110">
        <v>1842230.14</v>
      </c>
      <c r="AD39" s="110">
        <v>1607800.44</v>
      </c>
      <c r="AE39" s="110">
        <v>2161450.6800000002</v>
      </c>
      <c r="AF39" s="110">
        <v>2768455.86</v>
      </c>
      <c r="AG39" s="110">
        <v>2987357.54</v>
      </c>
      <c r="AH39" s="110">
        <v>2531327.56</v>
      </c>
      <c r="AI39" s="110">
        <v>1839642.53</v>
      </c>
      <c r="AJ39" s="110">
        <v>1633953.99</v>
      </c>
      <c r="AK39" s="110">
        <v>2281173.6</v>
      </c>
      <c r="AL39" s="110">
        <v>2604527.52</v>
      </c>
      <c r="AM39" s="110">
        <v>-977324.57</v>
      </c>
      <c r="AN39" s="110">
        <v>-767973.23</v>
      </c>
      <c r="AO39" s="110">
        <v>-620067.89</v>
      </c>
      <c r="AP39" s="110">
        <v>-541496.81000000006</v>
      </c>
      <c r="AQ39" s="110">
        <v>-810105.56</v>
      </c>
      <c r="AR39" s="110">
        <v>-1089829.97</v>
      </c>
      <c r="AS39" s="110">
        <v>-1093598.68</v>
      </c>
      <c r="AT39" s="110">
        <v>-989161.25</v>
      </c>
      <c r="AU39" s="110">
        <v>-705244.31</v>
      </c>
      <c r="AV39" s="171">
        <f>AV32*$AY39*(1-PPC!$B$14)</f>
        <v>-621310.40454122284</v>
      </c>
      <c r="AW39" s="170">
        <f>AW32*$AY39*(1-PPC!$B$14)</f>
        <v>-914246.78498003969</v>
      </c>
      <c r="AX39" s="159">
        <f>AX32*$AY39*(1-PPC!$B$14)</f>
        <v>-1186546.5459072676</v>
      </c>
      <c r="AY39" s="111">
        <v>-8.0699999999999999E-4</v>
      </c>
      <c r="AZ39" s="50"/>
    </row>
    <row r="40" spans="1:54" x14ac:dyDescent="0.25">
      <c r="A40" s="50" t="str">
        <f t="shared" ref="A40:A43" si="12">A33</f>
        <v>SGS</v>
      </c>
      <c r="B40" s="98">
        <v>176763.5</v>
      </c>
      <c r="C40" s="99">
        <v>413162.14</v>
      </c>
      <c r="D40" s="99">
        <v>409279.32</v>
      </c>
      <c r="E40" s="99">
        <v>383011.01</v>
      </c>
      <c r="F40" s="99">
        <v>338501.79</v>
      </c>
      <c r="G40" s="99">
        <v>382263.59</v>
      </c>
      <c r="H40" s="99">
        <v>445771.36</v>
      </c>
      <c r="I40" s="99">
        <v>424587.09</v>
      </c>
      <c r="J40" s="99">
        <v>448775.32</v>
      </c>
      <c r="K40" s="110">
        <v>378895.44</v>
      </c>
      <c r="L40" s="110">
        <v>348301.35</v>
      </c>
      <c r="M40" s="110">
        <v>423743.49</v>
      </c>
      <c r="N40" s="110">
        <v>479839.49</v>
      </c>
      <c r="O40" s="110">
        <v>311953.64</v>
      </c>
      <c r="P40" s="110">
        <v>279047.90999999997</v>
      </c>
      <c r="Q40" s="110">
        <v>236596.04</v>
      </c>
      <c r="R40" s="110">
        <v>225457.33</v>
      </c>
      <c r="S40" s="110">
        <v>257574.43</v>
      </c>
      <c r="T40" s="110">
        <v>287416.02</v>
      </c>
      <c r="U40" s="110">
        <v>272268.46999999997</v>
      </c>
      <c r="V40" s="110">
        <v>286665.2</v>
      </c>
      <c r="W40" s="110">
        <v>229160.71</v>
      </c>
      <c r="X40" s="110">
        <v>227951.17</v>
      </c>
      <c r="Y40" s="110">
        <v>278490.44</v>
      </c>
      <c r="Z40" s="110">
        <v>331838.53000000003</v>
      </c>
      <c r="AA40" s="110">
        <v>563692.72</v>
      </c>
      <c r="AB40" s="110">
        <v>564096.18999999994</v>
      </c>
      <c r="AC40" s="110">
        <v>453395.77</v>
      </c>
      <c r="AD40" s="110">
        <v>429276.49</v>
      </c>
      <c r="AE40" s="110">
        <v>497419.58</v>
      </c>
      <c r="AF40" s="110">
        <v>567374.80000000005</v>
      </c>
      <c r="AG40" s="110">
        <v>589954.59</v>
      </c>
      <c r="AH40" s="110">
        <v>551970.88</v>
      </c>
      <c r="AI40" s="110">
        <v>474949.04</v>
      </c>
      <c r="AJ40" s="110">
        <v>428651.45</v>
      </c>
      <c r="AK40" s="110">
        <v>484212.06</v>
      </c>
      <c r="AL40" s="110">
        <v>514868.47</v>
      </c>
      <c r="AM40" s="110">
        <v>-60999.839999999997</v>
      </c>
      <c r="AN40" s="110">
        <v>-54145.55</v>
      </c>
      <c r="AO40" s="110">
        <v>-48845.13</v>
      </c>
      <c r="AP40" s="110">
        <v>-47122.78</v>
      </c>
      <c r="AQ40" s="110">
        <v>-57306.61</v>
      </c>
      <c r="AR40" s="110">
        <v>-68193.429999999993</v>
      </c>
      <c r="AS40" s="110">
        <v>-68153.98</v>
      </c>
      <c r="AT40" s="110">
        <v>-65531.15</v>
      </c>
      <c r="AU40" s="110">
        <v>-55764.22</v>
      </c>
      <c r="AV40" s="171">
        <f t="shared" ref="AV40:AX43" si="13">AV33*$AY40</f>
        <v>-50442.500575999999</v>
      </c>
      <c r="AW40" s="170">
        <f t="shared" si="13"/>
        <v>-59485.55704</v>
      </c>
      <c r="AX40" s="159">
        <f t="shared" si="13"/>
        <v>-69559.122464</v>
      </c>
      <c r="AY40" s="111">
        <v>-2.0799999999999999E-4</v>
      </c>
      <c r="AZ40" s="50"/>
    </row>
    <row r="41" spans="1:54" x14ac:dyDescent="0.25">
      <c r="A41" s="50" t="str">
        <f t="shared" si="12"/>
        <v>LGS</v>
      </c>
      <c r="B41" s="98">
        <v>346914.24</v>
      </c>
      <c r="C41" s="99">
        <v>878081.19</v>
      </c>
      <c r="D41" s="99">
        <v>872674.48</v>
      </c>
      <c r="E41" s="99">
        <v>867208.47</v>
      </c>
      <c r="F41" s="99">
        <v>829232.74</v>
      </c>
      <c r="G41" s="99">
        <v>930044.46</v>
      </c>
      <c r="H41" s="99">
        <v>1007202.71</v>
      </c>
      <c r="I41" s="99">
        <v>986634.58</v>
      </c>
      <c r="J41" s="99">
        <v>1049361.68</v>
      </c>
      <c r="K41" s="110">
        <v>925531.64</v>
      </c>
      <c r="L41" s="110">
        <v>840413.16</v>
      </c>
      <c r="M41" s="110">
        <v>921008.11</v>
      </c>
      <c r="N41" s="110">
        <v>980504.73</v>
      </c>
      <c r="O41" s="110">
        <v>638225.65</v>
      </c>
      <c r="P41" s="110">
        <v>596176.12</v>
      </c>
      <c r="Q41" s="110">
        <v>553536.92000000004</v>
      </c>
      <c r="R41" s="110">
        <v>567096.05000000005</v>
      </c>
      <c r="S41" s="110">
        <v>634633.59</v>
      </c>
      <c r="T41" s="110">
        <v>674676.81</v>
      </c>
      <c r="U41" s="110">
        <v>650087.44999999995</v>
      </c>
      <c r="V41" s="110">
        <v>695339.29</v>
      </c>
      <c r="W41" s="110">
        <v>589990.03</v>
      </c>
      <c r="X41" s="110">
        <v>562437.71</v>
      </c>
      <c r="Y41" s="110">
        <v>611174.01</v>
      </c>
      <c r="Z41" s="110">
        <v>696073.5</v>
      </c>
      <c r="AA41" s="110">
        <v>1191333.69</v>
      </c>
      <c r="AB41" s="110">
        <v>1191658.25</v>
      </c>
      <c r="AC41" s="110">
        <v>1119585.45</v>
      </c>
      <c r="AD41" s="110">
        <v>1114044.69</v>
      </c>
      <c r="AE41" s="110">
        <v>1228925.96</v>
      </c>
      <c r="AF41" s="110">
        <v>1339425.54</v>
      </c>
      <c r="AG41" s="110">
        <v>1370295.17</v>
      </c>
      <c r="AH41" s="110">
        <v>1332203.95</v>
      </c>
      <c r="AI41" s="110">
        <v>1199860.52</v>
      </c>
      <c r="AJ41" s="110">
        <v>1096063.26</v>
      </c>
      <c r="AK41" s="110">
        <v>1147503.3899999999</v>
      </c>
      <c r="AL41" s="110">
        <v>1148065.0900000001</v>
      </c>
      <c r="AM41" s="110">
        <v>-98224.1</v>
      </c>
      <c r="AN41" s="110">
        <v>-102770.04</v>
      </c>
      <c r="AO41" s="110">
        <v>-101814.56</v>
      </c>
      <c r="AP41" s="110">
        <v>-101623.07</v>
      </c>
      <c r="AQ41" s="110">
        <v>-115035.65</v>
      </c>
      <c r="AR41" s="110">
        <v>-129472.39</v>
      </c>
      <c r="AS41" s="110">
        <v>-129775.85</v>
      </c>
      <c r="AT41" s="110">
        <v>-130285.18</v>
      </c>
      <c r="AU41" s="110">
        <v>-114649.12</v>
      </c>
      <c r="AV41" s="171">
        <f t="shared" si="13"/>
        <v>-103821.77520600001</v>
      </c>
      <c r="AW41" s="170">
        <f t="shared" si="13"/>
        <v>-111534.84372600001</v>
      </c>
      <c r="AX41" s="159">
        <f t="shared" si="13"/>
        <v>-121967.22496200001</v>
      </c>
      <c r="AY41" s="111">
        <v>-1.74E-4</v>
      </c>
      <c r="AZ41" s="50"/>
    </row>
    <row r="42" spans="1:54" x14ac:dyDescent="0.25">
      <c r="A42" s="50" t="str">
        <f t="shared" si="12"/>
        <v>SPS</v>
      </c>
      <c r="B42" s="98">
        <v>111929.55</v>
      </c>
      <c r="C42" s="99">
        <v>367450.68</v>
      </c>
      <c r="D42" s="99">
        <v>371919.28</v>
      </c>
      <c r="E42" s="99">
        <v>361803.21</v>
      </c>
      <c r="F42" s="99">
        <v>363774.61</v>
      </c>
      <c r="G42" s="99">
        <v>395914.62</v>
      </c>
      <c r="H42" s="99">
        <v>420682.15</v>
      </c>
      <c r="I42" s="99">
        <v>414229.21</v>
      </c>
      <c r="J42" s="99">
        <v>443450.42</v>
      </c>
      <c r="K42" s="110">
        <v>404258.7</v>
      </c>
      <c r="L42" s="110">
        <v>367352.94</v>
      </c>
      <c r="M42" s="110">
        <v>383336.4</v>
      </c>
      <c r="N42" s="110">
        <v>387055.86</v>
      </c>
      <c r="O42" s="110">
        <v>281373.17</v>
      </c>
      <c r="P42" s="110">
        <v>256969.51</v>
      </c>
      <c r="Q42" s="110">
        <v>251235.75</v>
      </c>
      <c r="R42" s="110">
        <v>245955.65</v>
      </c>
      <c r="S42" s="110">
        <v>270283.28000000003</v>
      </c>
      <c r="T42" s="110">
        <v>283353.57</v>
      </c>
      <c r="U42" s="110">
        <v>286970.59000000003</v>
      </c>
      <c r="V42" s="110">
        <v>285338.65000000002</v>
      </c>
      <c r="W42" s="110">
        <v>268493.68</v>
      </c>
      <c r="X42" s="110">
        <v>256670.07999999999</v>
      </c>
      <c r="Y42" s="110">
        <v>257494.85</v>
      </c>
      <c r="Z42" s="110">
        <v>285843.36</v>
      </c>
      <c r="AA42" s="110">
        <v>453228.32</v>
      </c>
      <c r="AB42" s="110">
        <v>491007.15</v>
      </c>
      <c r="AC42" s="110">
        <v>520746.29</v>
      </c>
      <c r="AD42" s="110">
        <v>490261.1</v>
      </c>
      <c r="AE42" s="110">
        <v>510465.61</v>
      </c>
      <c r="AF42" s="110">
        <v>605101.71</v>
      </c>
      <c r="AG42" s="110">
        <v>548987.65</v>
      </c>
      <c r="AH42" s="110">
        <v>567912.06999999995</v>
      </c>
      <c r="AI42" s="110">
        <v>528878.99</v>
      </c>
      <c r="AJ42" s="110">
        <v>480004.06</v>
      </c>
      <c r="AK42" s="110">
        <v>498579.83</v>
      </c>
      <c r="AL42" s="110">
        <v>487575.12</v>
      </c>
      <c r="AM42" s="110">
        <v>20703.419999999998</v>
      </c>
      <c r="AN42" s="110">
        <v>-36621.35</v>
      </c>
      <c r="AO42" s="110">
        <v>-39001.58</v>
      </c>
      <c r="AP42" s="110">
        <v>-40523.97</v>
      </c>
      <c r="AQ42" s="110">
        <v>-41602.79</v>
      </c>
      <c r="AR42" s="110">
        <v>-46203.77</v>
      </c>
      <c r="AS42" s="110">
        <v>-45015.97</v>
      </c>
      <c r="AT42" s="110">
        <v>-48861.19</v>
      </c>
      <c r="AU42" s="110">
        <v>-41453.629999999997</v>
      </c>
      <c r="AV42" s="171">
        <f t="shared" si="13"/>
        <v>-38985.299527999996</v>
      </c>
      <c r="AW42" s="170">
        <f t="shared" si="13"/>
        <v>-38819.613824</v>
      </c>
      <c r="AX42" s="159">
        <f t="shared" si="13"/>
        <v>-41476.537943999996</v>
      </c>
      <c r="AY42" s="111">
        <v>-1.4799999999999999E-4</v>
      </c>
      <c r="AZ42" s="50"/>
    </row>
    <row r="43" spans="1:54" x14ac:dyDescent="0.25">
      <c r="A43" s="50" t="str">
        <f t="shared" si="12"/>
        <v>LPS</v>
      </c>
      <c r="B43" s="98">
        <v>41788.94</v>
      </c>
      <c r="C43" s="99">
        <v>285047.94</v>
      </c>
      <c r="D43" s="99">
        <v>253563.47</v>
      </c>
      <c r="E43" s="99">
        <v>281056.7</v>
      </c>
      <c r="F43" s="99">
        <v>312400.05</v>
      </c>
      <c r="G43" s="99">
        <v>321763.07</v>
      </c>
      <c r="H43" s="99">
        <v>331321.96999999997</v>
      </c>
      <c r="I43" s="99">
        <v>358377.12</v>
      </c>
      <c r="J43" s="99">
        <v>273390.28000000003</v>
      </c>
      <c r="K43" s="110">
        <v>328350.77</v>
      </c>
      <c r="L43" s="110">
        <v>304218.23</v>
      </c>
      <c r="M43" s="110">
        <v>298776.55</v>
      </c>
      <c r="N43" s="110">
        <v>283191.44</v>
      </c>
      <c r="O43" s="110">
        <v>156101.65</v>
      </c>
      <c r="P43" s="110">
        <v>115931.68</v>
      </c>
      <c r="Q43" s="110">
        <v>117573.95</v>
      </c>
      <c r="R43" s="110">
        <v>117169.12</v>
      </c>
      <c r="S43" s="110">
        <v>127305.31</v>
      </c>
      <c r="T43" s="110">
        <v>137656.84</v>
      </c>
      <c r="U43" s="110">
        <v>135730.12</v>
      </c>
      <c r="V43" s="110">
        <v>142475.79999999999</v>
      </c>
      <c r="W43" s="110">
        <v>132814.78</v>
      </c>
      <c r="X43" s="110">
        <v>128022</v>
      </c>
      <c r="Y43" s="110">
        <v>113849.14</v>
      </c>
      <c r="Z43" s="110">
        <v>126059.33</v>
      </c>
      <c r="AA43" s="110">
        <v>177939.42</v>
      </c>
      <c r="AB43" s="110">
        <v>241581.54</v>
      </c>
      <c r="AC43" s="110">
        <v>261441.4</v>
      </c>
      <c r="AD43" s="110">
        <v>257312.48</v>
      </c>
      <c r="AE43" s="110">
        <v>279170.5</v>
      </c>
      <c r="AF43" s="110">
        <v>321707.65000000002</v>
      </c>
      <c r="AG43" s="110">
        <v>298167.67999999999</v>
      </c>
      <c r="AH43" s="110">
        <v>308517.84000000003</v>
      </c>
      <c r="AI43" s="110">
        <v>283684.13</v>
      </c>
      <c r="AJ43" s="110">
        <v>261845.51</v>
      </c>
      <c r="AK43" s="110">
        <v>252973.77</v>
      </c>
      <c r="AL43" s="110">
        <v>260806.74</v>
      </c>
      <c r="AM43" s="110">
        <v>103817.55</v>
      </c>
      <c r="AN43" s="110">
        <v>-11327.36</v>
      </c>
      <c r="AO43" s="110">
        <v>-11873.99</v>
      </c>
      <c r="AP43" s="110">
        <v>-11918.89</v>
      </c>
      <c r="AQ43" s="110">
        <v>-13467.46</v>
      </c>
      <c r="AR43" s="110">
        <v>-14134.28</v>
      </c>
      <c r="AS43" s="110">
        <v>-14272.72</v>
      </c>
      <c r="AT43" s="110">
        <v>-15681.3</v>
      </c>
      <c r="AU43" s="110">
        <v>-13759.79</v>
      </c>
      <c r="AV43" s="171">
        <f t="shared" si="13"/>
        <v>-13045.761332</v>
      </c>
      <c r="AW43" s="170">
        <f t="shared" si="13"/>
        <v>-12270.467825</v>
      </c>
      <c r="AX43" s="159">
        <f t="shared" si="13"/>
        <v>-12777.175174</v>
      </c>
      <c r="AY43" s="111">
        <v>-8.8999999999999995E-5</v>
      </c>
      <c r="AZ43" s="50"/>
    </row>
    <row r="44" spans="1:54" x14ac:dyDescent="0.25">
      <c r="A44" s="50"/>
      <c r="B44" s="106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3"/>
      <c r="AW44" s="114"/>
      <c r="AX44" s="108"/>
    </row>
    <row r="45" spans="1:54" ht="15.75" thickBot="1" x14ac:dyDescent="0.3">
      <c r="A45" s="50" t="s">
        <v>95</v>
      </c>
      <c r="B45" s="124">
        <v>451.8</v>
      </c>
      <c r="C45" s="125">
        <v>-3539.64</v>
      </c>
      <c r="D45" s="125">
        <v>-2786.78</v>
      </c>
      <c r="E45" s="125">
        <v>-8344.27</v>
      </c>
      <c r="F45" s="125">
        <v>-4809.13</v>
      </c>
      <c r="G45" s="125">
        <v>14362.8</v>
      </c>
      <c r="H45" s="125">
        <v>-575.25</v>
      </c>
      <c r="I45" s="125">
        <v>-4466.7700000000004</v>
      </c>
      <c r="J45" s="125">
        <v>-4966.68</v>
      </c>
      <c r="K45" s="126">
        <v>-3641.2</v>
      </c>
      <c r="L45" s="126">
        <v>-3294</v>
      </c>
      <c r="M45" s="126">
        <v>-4489.34</v>
      </c>
      <c r="N45" s="126">
        <v>-6850.11</v>
      </c>
      <c r="O45" s="126">
        <v>-6269.88</v>
      </c>
      <c r="P45" s="126">
        <v>-4461.57</v>
      </c>
      <c r="Q45" s="126">
        <v>-3933.08</v>
      </c>
      <c r="R45" s="126">
        <v>-3219.69</v>
      </c>
      <c r="S45" s="126">
        <v>-2935.88</v>
      </c>
      <c r="T45" s="126">
        <v>-2619.09</v>
      </c>
      <c r="U45" s="126">
        <v>-2726.19</v>
      </c>
      <c r="V45" s="126">
        <v>-2121.98</v>
      </c>
      <c r="W45" s="126">
        <v>-1929.38</v>
      </c>
      <c r="X45" s="126">
        <v>-2021.16</v>
      </c>
      <c r="Y45" s="126">
        <v>-2572.4699999999998</v>
      </c>
      <c r="Z45" s="126">
        <v>-3701.6</v>
      </c>
      <c r="AA45" s="126">
        <v>-4814.8500000000004</v>
      </c>
      <c r="AB45" s="126">
        <v>-5344.04</v>
      </c>
      <c r="AC45" s="126">
        <v>-3978.35</v>
      </c>
      <c r="AD45" s="126">
        <v>-1065.24</v>
      </c>
      <c r="AE45" s="126">
        <v>-2569.27</v>
      </c>
      <c r="AF45" s="126">
        <v>-6440.12</v>
      </c>
      <c r="AG45" s="126">
        <v>-7617.08</v>
      </c>
      <c r="AH45" s="126">
        <v>-8109.64</v>
      </c>
      <c r="AI45" s="126">
        <v>-7763.87</v>
      </c>
      <c r="AJ45" s="126">
        <v>-6181.58</v>
      </c>
      <c r="AK45" s="126">
        <v>-3604.9</v>
      </c>
      <c r="AL45" s="126">
        <v>-5551.01</v>
      </c>
      <c r="AM45" s="126">
        <v>-6254.46</v>
      </c>
      <c r="AN45" s="126">
        <v>-4947.03</v>
      </c>
      <c r="AO45" s="126">
        <v>-4565.92</v>
      </c>
      <c r="AP45" s="126">
        <v>-4140.75</v>
      </c>
      <c r="AQ45" s="126">
        <v>-2817.36</v>
      </c>
      <c r="AR45" s="126">
        <v>-2124.54</v>
      </c>
      <c r="AS45" s="126">
        <v>-1715.55</v>
      </c>
      <c r="AT45" s="126">
        <v>-904.2</v>
      </c>
      <c r="AU45" s="126">
        <v>-309.95999999999998</v>
      </c>
      <c r="AV45" s="101">
        <v>214.11</v>
      </c>
      <c r="AW45" s="102">
        <v>934.1</v>
      </c>
      <c r="AX45" s="204">
        <v>1842.03</v>
      </c>
      <c r="AY45" s="50"/>
    </row>
    <row r="46" spans="1:54" x14ac:dyDescent="0.25">
      <c r="B46" s="154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72"/>
      <c r="AV46" s="156"/>
      <c r="AW46" s="157"/>
      <c r="AX46" s="158"/>
    </row>
    <row r="47" spans="1:54" x14ac:dyDescent="0.25">
      <c r="A47" s="76" t="s">
        <v>73</v>
      </c>
      <c r="B47" s="106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8"/>
      <c r="AV47" s="104"/>
      <c r="AW47" s="105"/>
      <c r="AX47" s="108"/>
    </row>
    <row r="48" spans="1:54" x14ac:dyDescent="0.25">
      <c r="A48" s="76" t="s">
        <v>0</v>
      </c>
      <c r="B48" s="117">
        <f>B25-B39</f>
        <v>75112.546819702722</v>
      </c>
      <c r="C48" s="121">
        <f>C25-C39</f>
        <v>-1706954.7408129217</v>
      </c>
      <c r="D48" s="121">
        <f t="shared" ref="D48:AX52" si="14">D25-D39</f>
        <v>-1324680.6027970568</v>
      </c>
      <c r="E48" s="121">
        <f t="shared" si="14"/>
        <v>-339435.9642459203</v>
      </c>
      <c r="F48" s="121">
        <f t="shared" si="14"/>
        <v>123052.17061041691</v>
      </c>
      <c r="G48" s="121">
        <f t="shared" si="14"/>
        <v>-418046.57007101714</v>
      </c>
      <c r="H48" s="121">
        <f t="shared" si="14"/>
        <v>-277641.76885201456</v>
      </c>
      <c r="I48" s="121">
        <f t="shared" si="14"/>
        <v>-78846.64983188035</v>
      </c>
      <c r="J48" s="121">
        <f t="shared" si="14"/>
        <v>-440681.03342316952</v>
      </c>
      <c r="K48" s="121">
        <f t="shared" si="14"/>
        <v>232126.02703196183</v>
      </c>
      <c r="L48" s="121">
        <f t="shared" si="14"/>
        <v>89364.767572361277</v>
      </c>
      <c r="M48" s="121">
        <f t="shared" si="14"/>
        <v>427082.92472730903</v>
      </c>
      <c r="N48" s="121">
        <f t="shared" si="14"/>
        <v>-1406057.6655024663</v>
      </c>
      <c r="O48" s="121">
        <f t="shared" si="14"/>
        <v>-1162107.9525416126</v>
      </c>
      <c r="P48" s="121">
        <f t="shared" si="14"/>
        <v>451795.5220329077</v>
      </c>
      <c r="Q48" s="121">
        <f t="shared" si="14"/>
        <v>581209.67054507486</v>
      </c>
      <c r="R48" s="121">
        <f t="shared" si="14"/>
        <v>894114.41728638485</v>
      </c>
      <c r="S48" s="121">
        <f t="shared" si="14"/>
        <v>688842.08471062221</v>
      </c>
      <c r="T48" s="121">
        <f t="shared" si="14"/>
        <v>670525.63692316622</v>
      </c>
      <c r="U48" s="121">
        <f t="shared" si="14"/>
        <v>210903.49844493135</v>
      </c>
      <c r="V48" s="121">
        <f t="shared" si="14"/>
        <v>313695.30971526378</v>
      </c>
      <c r="W48" s="118">
        <f t="shared" si="14"/>
        <v>423446.09999376908</v>
      </c>
      <c r="X48" s="121">
        <f>X25-X39</f>
        <v>519288.1237090202</v>
      </c>
      <c r="Y48" s="121">
        <f t="shared" ref="Y48:AN52" si="15">Y25-Y39</f>
        <v>-330603.05410861713</v>
      </c>
      <c r="Z48" s="121">
        <f t="shared" si="15"/>
        <v>-619645.02457048045</v>
      </c>
      <c r="AA48" s="121">
        <f t="shared" si="15"/>
        <v>-2050206.2319982818</v>
      </c>
      <c r="AB48" s="121">
        <f t="shared" si="15"/>
        <v>-1582692.3362198852</v>
      </c>
      <c r="AC48" s="121">
        <f t="shared" si="15"/>
        <v>-510580.33303121827</v>
      </c>
      <c r="AD48" s="121">
        <f t="shared" si="15"/>
        <v>255280.48327908013</v>
      </c>
      <c r="AE48" s="121">
        <f>AE25-AE39</f>
        <v>-250541.15269127581</v>
      </c>
      <c r="AF48" s="121">
        <f t="shared" si="15"/>
        <v>-910361.68090479658</v>
      </c>
      <c r="AG48" s="121">
        <f t="shared" si="15"/>
        <v>-622325.44839929743</v>
      </c>
      <c r="AH48" s="121">
        <f t="shared" si="15"/>
        <v>-200693.65851372108</v>
      </c>
      <c r="AI48" s="121">
        <f t="shared" si="15"/>
        <v>340252.27600987372</v>
      </c>
      <c r="AJ48" s="121">
        <f>AJ25-AJ39</f>
        <v>551841.97871762724</v>
      </c>
      <c r="AK48" s="121">
        <f t="shared" ref="AK48:AU52" si="16">AK25-AK39</f>
        <v>2397088.2125718896</v>
      </c>
      <c r="AL48" s="121">
        <f t="shared" si="16"/>
        <v>-2896894.5228838865</v>
      </c>
      <c r="AM48" s="121">
        <f t="shared" si="16"/>
        <v>1011453.495955293</v>
      </c>
      <c r="AN48" s="121">
        <f t="shared" si="16"/>
        <v>802228.27049103531</v>
      </c>
      <c r="AO48" s="121">
        <f t="shared" si="16"/>
        <v>564833.71308279329</v>
      </c>
      <c r="AP48" s="121">
        <f t="shared" si="16"/>
        <v>567062.81000000006</v>
      </c>
      <c r="AQ48" s="121">
        <f t="shared" si="16"/>
        <v>847566.03136469435</v>
      </c>
      <c r="AR48" s="121">
        <f t="shared" si="16"/>
        <v>1089829.97</v>
      </c>
      <c r="AS48" s="121">
        <f t="shared" si="16"/>
        <v>1105214.68</v>
      </c>
      <c r="AT48" s="121">
        <f t="shared" si="16"/>
        <v>989161.25</v>
      </c>
      <c r="AU48" s="121">
        <f t="shared" si="16"/>
        <v>711997.23250129225</v>
      </c>
      <c r="AV48" s="117">
        <f t="shared" si="14"/>
        <v>621310.40454122284</v>
      </c>
      <c r="AW48" s="121">
        <f t="shared" si="14"/>
        <v>914246.78498003969</v>
      </c>
      <c r="AX48" s="122">
        <f t="shared" si="14"/>
        <v>1186546.5459072676</v>
      </c>
    </row>
    <row r="49" spans="1:50" x14ac:dyDescent="0.25">
      <c r="A49" s="76" t="s">
        <v>4</v>
      </c>
      <c r="B49" s="117">
        <f t="shared" ref="B49:J52" si="17">B26-B40</f>
        <v>41937.723530317249</v>
      </c>
      <c r="C49" s="121">
        <f t="shared" si="17"/>
        <v>-303808.5815693849</v>
      </c>
      <c r="D49" s="121">
        <f t="shared" si="17"/>
        <v>-258618.8593274554</v>
      </c>
      <c r="E49" s="121">
        <f t="shared" si="17"/>
        <v>-217267.3967490643</v>
      </c>
      <c r="F49" s="121">
        <f t="shared" si="17"/>
        <v>-56263.63073601824</v>
      </c>
      <c r="G49" s="121">
        <f t="shared" si="17"/>
        <v>-181538.12234731505</v>
      </c>
      <c r="H49" s="121">
        <f t="shared" si="17"/>
        <v>-243550.29945976444</v>
      </c>
      <c r="I49" s="121">
        <f t="shared" si="17"/>
        <v>-176803.99485039013</v>
      </c>
      <c r="J49" s="121">
        <f t="shared" si="17"/>
        <v>-158218.08003576531</v>
      </c>
      <c r="K49" s="121">
        <f t="shared" si="14"/>
        <v>-124078.62034415061</v>
      </c>
      <c r="L49" s="121">
        <f t="shared" si="14"/>
        <v>-106410.93544199114</v>
      </c>
      <c r="M49" s="121">
        <f t="shared" si="14"/>
        <v>15794.731924221793</v>
      </c>
      <c r="N49" s="121">
        <f t="shared" si="14"/>
        <v>-176340.34814075567</v>
      </c>
      <c r="O49" s="121">
        <f t="shared" si="14"/>
        <v>-121583.4230605395</v>
      </c>
      <c r="P49" s="121">
        <f t="shared" si="14"/>
        <v>55246.442695028498</v>
      </c>
      <c r="Q49" s="121">
        <f t="shared" si="14"/>
        <v>80546.29751496957</v>
      </c>
      <c r="R49" s="121">
        <f t="shared" si="14"/>
        <v>154083.95378360761</v>
      </c>
      <c r="S49" s="121">
        <f t="shared" si="14"/>
        <v>150295.99508427101</v>
      </c>
      <c r="T49" s="121">
        <f t="shared" si="14"/>
        <v>57169.936326897121</v>
      </c>
      <c r="U49" s="121">
        <f t="shared" si="14"/>
        <v>-34421.125681659934</v>
      </c>
      <c r="V49" s="121">
        <f t="shared" si="14"/>
        <v>109999.92996191181</v>
      </c>
      <c r="W49" s="118">
        <f t="shared" si="14"/>
        <v>130284.68580071765</v>
      </c>
      <c r="X49" s="121">
        <f t="shared" si="14"/>
        <v>81212.718663154315</v>
      </c>
      <c r="Y49" s="121">
        <f t="shared" si="14"/>
        <v>59527.59228774131</v>
      </c>
      <c r="Z49" s="121">
        <f t="shared" si="14"/>
        <v>-184728.38967862382</v>
      </c>
      <c r="AA49" s="121">
        <f t="shared" si="14"/>
        <v>-518978.47672918695</v>
      </c>
      <c r="AB49" s="121">
        <f t="shared" si="14"/>
        <v>-166758.42313914245</v>
      </c>
      <c r="AC49" s="121">
        <f t="shared" si="14"/>
        <v>58663.725545769092</v>
      </c>
      <c r="AD49" s="121">
        <f t="shared" si="14"/>
        <v>123447.54471607576</v>
      </c>
      <c r="AE49" s="121">
        <f t="shared" si="14"/>
        <v>-197447.21207597939</v>
      </c>
      <c r="AF49" s="121">
        <f t="shared" si="14"/>
        <v>-16146.74453336955</v>
      </c>
      <c r="AG49" s="121">
        <f t="shared" si="15"/>
        <v>198608.49125669454</v>
      </c>
      <c r="AH49" s="121">
        <f t="shared" si="15"/>
        <v>-153303.90249057196</v>
      </c>
      <c r="AI49" s="121">
        <f t="shared" si="15"/>
        <v>1824.7085374144954</v>
      </c>
      <c r="AJ49" s="121">
        <f t="shared" si="15"/>
        <v>430878.13877727179</v>
      </c>
      <c r="AK49" s="121">
        <f t="shared" si="15"/>
        <v>1190247.9080580976</v>
      </c>
      <c r="AL49" s="121">
        <f t="shared" si="15"/>
        <v>262851.66801573616</v>
      </c>
      <c r="AM49" s="121">
        <f t="shared" si="15"/>
        <v>-384286.09773343895</v>
      </c>
      <c r="AN49" s="121">
        <f t="shared" si="15"/>
        <v>86844.147497223064</v>
      </c>
      <c r="AO49" s="121">
        <f t="shared" si="16"/>
        <v>48820.419944804031</v>
      </c>
      <c r="AP49" s="121">
        <f t="shared" si="16"/>
        <v>49130.707986549824</v>
      </c>
      <c r="AQ49" s="121">
        <f t="shared" si="16"/>
        <v>78639.785068883095</v>
      </c>
      <c r="AR49" s="121">
        <f t="shared" si="16"/>
        <v>68193.429999999993</v>
      </c>
      <c r="AS49" s="121">
        <f t="shared" si="16"/>
        <v>68153.98</v>
      </c>
      <c r="AT49" s="121">
        <f t="shared" si="16"/>
        <v>67243.803623977903</v>
      </c>
      <c r="AU49" s="121">
        <f t="shared" si="16"/>
        <v>57779.949208624297</v>
      </c>
      <c r="AV49" s="117">
        <f t="shared" si="14"/>
        <v>50442.500575999999</v>
      </c>
      <c r="AW49" s="121">
        <f t="shared" si="14"/>
        <v>59485.55704</v>
      </c>
      <c r="AX49" s="122">
        <f t="shared" si="14"/>
        <v>69559.122464</v>
      </c>
    </row>
    <row r="50" spans="1:50" x14ac:dyDescent="0.25">
      <c r="A50" s="76" t="s">
        <v>5</v>
      </c>
      <c r="B50" s="117">
        <f t="shared" si="17"/>
        <v>113584.22546721483</v>
      </c>
      <c r="C50" s="121">
        <f t="shared" si="17"/>
        <v>-644956.97313910956</v>
      </c>
      <c r="D50" s="121">
        <f t="shared" si="17"/>
        <v>-551471.21234914311</v>
      </c>
      <c r="E50" s="121">
        <f t="shared" si="17"/>
        <v>-491108.62497594219</v>
      </c>
      <c r="F50" s="121">
        <f t="shared" si="17"/>
        <v>-137933.87500306428</v>
      </c>
      <c r="G50" s="121">
        <f t="shared" si="17"/>
        <v>-441725.03303058038</v>
      </c>
      <c r="H50" s="121">
        <f t="shared" si="17"/>
        <v>-549926.1251836064</v>
      </c>
      <c r="I50" s="121">
        <f t="shared" si="17"/>
        <v>-410768.53036945744</v>
      </c>
      <c r="J50" s="121">
        <f t="shared" si="17"/>
        <v>-369421.48771516618</v>
      </c>
      <c r="K50" s="121">
        <f t="shared" si="14"/>
        <v>-303388.8889581043</v>
      </c>
      <c r="L50" s="121">
        <f t="shared" si="14"/>
        <v>-255001.46827782225</v>
      </c>
      <c r="M50" s="121">
        <f t="shared" si="14"/>
        <v>33693.928099500481</v>
      </c>
      <c r="N50" s="121">
        <f t="shared" si="14"/>
        <v>-363546.27387030248</v>
      </c>
      <c r="O50" s="121">
        <f t="shared" si="14"/>
        <v>-256273.24614098883</v>
      </c>
      <c r="P50" s="121">
        <f t="shared" si="14"/>
        <v>108465.01874529454</v>
      </c>
      <c r="Q50" s="121">
        <f t="shared" si="14"/>
        <v>178859.38283903885</v>
      </c>
      <c r="R50" s="121">
        <f t="shared" si="14"/>
        <v>374939.0987815269</v>
      </c>
      <c r="S50" s="121">
        <f t="shared" si="14"/>
        <v>356895.81961601798</v>
      </c>
      <c r="T50" s="121">
        <f t="shared" si="14"/>
        <v>123405.60324313235</v>
      </c>
      <c r="U50" s="121">
        <f t="shared" si="14"/>
        <v>-90724.339504754986</v>
      </c>
      <c r="V50" s="121">
        <f t="shared" si="14"/>
        <v>254117.81874680298</v>
      </c>
      <c r="W50" s="118">
        <f t="shared" si="14"/>
        <v>323126.2027931246</v>
      </c>
      <c r="X50" s="121">
        <f t="shared" si="14"/>
        <v>190272.00735380163</v>
      </c>
      <c r="Y50" s="121">
        <f t="shared" si="14"/>
        <v>120737.72256886074</v>
      </c>
      <c r="Z50" s="121">
        <f t="shared" si="14"/>
        <v>-386236.17001644027</v>
      </c>
      <c r="AA50" s="121">
        <f t="shared" si="14"/>
        <v>-1097159.9140310623</v>
      </c>
      <c r="AB50" s="121">
        <f t="shared" si="14"/>
        <v>-359300.28379782196</v>
      </c>
      <c r="AC50" s="121">
        <f t="shared" si="14"/>
        <v>135178.56692548236</v>
      </c>
      <c r="AD50" s="121">
        <f t="shared" si="14"/>
        <v>285414.31574507244</v>
      </c>
      <c r="AE50" s="121">
        <f t="shared" si="14"/>
        <v>-481755.27055027522</v>
      </c>
      <c r="AF50" s="121">
        <f t="shared" si="14"/>
        <v>-46733.407285603462</v>
      </c>
      <c r="AG50" s="121">
        <f t="shared" si="15"/>
        <v>447444.81825465616</v>
      </c>
      <c r="AH50" s="121">
        <f t="shared" si="15"/>
        <v>-376988.19897651533</v>
      </c>
      <c r="AI50" s="121">
        <f t="shared" si="15"/>
        <v>21244.755880781217</v>
      </c>
      <c r="AJ50" s="121">
        <f t="shared" si="15"/>
        <v>1083827.4619723281</v>
      </c>
      <c r="AK50" s="121">
        <f t="shared" si="15"/>
        <v>2789851.9915996743</v>
      </c>
      <c r="AL50" s="121">
        <f t="shared" si="15"/>
        <v>526803.09070293698</v>
      </c>
      <c r="AM50" s="121">
        <f t="shared" si="15"/>
        <v>-852933.91452883207</v>
      </c>
      <c r="AN50" s="121">
        <f t="shared" si="15"/>
        <v>177706.32731138292</v>
      </c>
      <c r="AO50" s="121">
        <f t="shared" si="16"/>
        <v>101753.37359294148</v>
      </c>
      <c r="AP50" s="121">
        <f t="shared" si="16"/>
        <v>106801.07159951216</v>
      </c>
      <c r="AQ50" s="121">
        <f t="shared" si="16"/>
        <v>166029.42066416913</v>
      </c>
      <c r="AR50" s="121">
        <f t="shared" si="16"/>
        <v>129472.39</v>
      </c>
      <c r="AS50" s="121">
        <f t="shared" si="16"/>
        <v>129775.85</v>
      </c>
      <c r="AT50" s="121">
        <f t="shared" si="16"/>
        <v>134353.15156481863</v>
      </c>
      <c r="AU50" s="121">
        <f t="shared" si="16"/>
        <v>119602.28415935596</v>
      </c>
      <c r="AV50" s="117">
        <f t="shared" si="14"/>
        <v>103821.77520600001</v>
      </c>
      <c r="AW50" s="121">
        <f t="shared" si="14"/>
        <v>111534.84372600001</v>
      </c>
      <c r="AX50" s="122">
        <f t="shared" si="14"/>
        <v>121967.22496200001</v>
      </c>
    </row>
    <row r="51" spans="1:50" x14ac:dyDescent="0.25">
      <c r="A51" s="76" t="s">
        <v>6</v>
      </c>
      <c r="B51" s="117">
        <f t="shared" si="17"/>
        <v>72668.642601876825</v>
      </c>
      <c r="C51" s="121">
        <f t="shared" si="17"/>
        <v>-268163.44703686325</v>
      </c>
      <c r="D51" s="121">
        <f t="shared" si="17"/>
        <v>-235075.14304148074</v>
      </c>
      <c r="E51" s="121">
        <f t="shared" si="17"/>
        <v>-205207.76079435754</v>
      </c>
      <c r="F51" s="121">
        <f t="shared" si="17"/>
        <v>-60551.489361933549</v>
      </c>
      <c r="G51" s="121">
        <f t="shared" si="17"/>
        <v>-187976.46134780202</v>
      </c>
      <c r="H51" s="121">
        <f t="shared" si="17"/>
        <v>-229692.49893427905</v>
      </c>
      <c r="I51" s="121">
        <f t="shared" si="17"/>
        <v>-172486.37124892182</v>
      </c>
      <c r="J51" s="121">
        <f t="shared" si="17"/>
        <v>-156152.43786513666</v>
      </c>
      <c r="K51" s="121">
        <f t="shared" si="14"/>
        <v>-132547.89892040682</v>
      </c>
      <c r="L51" s="121">
        <f t="shared" si="14"/>
        <v>-112444.21854112836</v>
      </c>
      <c r="M51" s="121">
        <f t="shared" si="14"/>
        <v>13972.121653982089</v>
      </c>
      <c r="N51" s="121">
        <f t="shared" si="14"/>
        <v>-146140.92811949717</v>
      </c>
      <c r="O51" s="121">
        <f t="shared" si="14"/>
        <v>-123535.75592639393</v>
      </c>
      <c r="P51" s="121">
        <f t="shared" si="14"/>
        <v>46177.066825935908</v>
      </c>
      <c r="Q51" s="121">
        <f t="shared" si="14"/>
        <v>79961.595497529022</v>
      </c>
      <c r="R51" s="121">
        <f t="shared" si="14"/>
        <v>161137.90714498729</v>
      </c>
      <c r="S51" s="121">
        <f t="shared" si="14"/>
        <v>150377.17975022114</v>
      </c>
      <c r="T51" s="121">
        <f t="shared" si="14"/>
        <v>50569.939751540718</v>
      </c>
      <c r="U51" s="121">
        <f t="shared" si="14"/>
        <v>-40210.262315169588</v>
      </c>
      <c r="V51" s="121">
        <f t="shared" si="14"/>
        <v>102805.79771520902</v>
      </c>
      <c r="W51" s="118">
        <f t="shared" si="14"/>
        <v>145478.44820370729</v>
      </c>
      <c r="X51" s="121">
        <f t="shared" si="14"/>
        <v>85538.201968613634</v>
      </c>
      <c r="Y51" s="121">
        <f t="shared" si="14"/>
        <v>49712.752672224335</v>
      </c>
      <c r="Z51" s="121">
        <f t="shared" si="14"/>
        <v>-161217.29064851056</v>
      </c>
      <c r="AA51" s="121">
        <f t="shared" si="14"/>
        <v>-415022.94028034178</v>
      </c>
      <c r="AB51" s="121">
        <f t="shared" si="14"/>
        <v>-149011.99683845096</v>
      </c>
      <c r="AC51" s="121">
        <f t="shared" si="14"/>
        <v>64048.229715385183</v>
      </c>
      <c r="AD51" s="121">
        <f t="shared" si="14"/>
        <v>131389.31527716131</v>
      </c>
      <c r="AE51" s="121">
        <f t="shared" si="14"/>
        <v>-201101.72183041117</v>
      </c>
      <c r="AF51" s="121">
        <f t="shared" si="14"/>
        <v>-23135.463597956579</v>
      </c>
      <c r="AG51" s="121">
        <f t="shared" si="15"/>
        <v>176874.80359269807</v>
      </c>
      <c r="AH51" s="121">
        <f t="shared" si="15"/>
        <v>-161989.77880056272</v>
      </c>
      <c r="AI51" s="121">
        <f t="shared" si="15"/>
        <v>704.84593585482799</v>
      </c>
      <c r="AJ51" s="121">
        <f t="shared" si="15"/>
        <v>471578.75320779037</v>
      </c>
      <c r="AK51" s="121">
        <f t="shared" si="15"/>
        <v>1206549.8061458373</v>
      </c>
      <c r="AL51" s="121">
        <f t="shared" si="15"/>
        <v>205743.20631216303</v>
      </c>
      <c r="AM51" s="121">
        <f t="shared" si="15"/>
        <v>-429473.13307388179</v>
      </c>
      <c r="AN51" s="121">
        <f t="shared" si="15"/>
        <v>67713.400303673581</v>
      </c>
      <c r="AO51" s="121">
        <f t="shared" si="16"/>
        <v>38974.044116749472</v>
      </c>
      <c r="AP51" s="121">
        <f t="shared" si="16"/>
        <v>42950.183399822359</v>
      </c>
      <c r="AQ51" s="121">
        <f t="shared" si="16"/>
        <v>63267.307440685836</v>
      </c>
      <c r="AR51" s="121">
        <f t="shared" si="16"/>
        <v>46203.77</v>
      </c>
      <c r="AS51" s="121">
        <f t="shared" si="16"/>
        <v>45015.97</v>
      </c>
      <c r="AT51" s="121">
        <f t="shared" si="16"/>
        <v>50653.842722508467</v>
      </c>
      <c r="AU51" s="121">
        <f t="shared" si="16"/>
        <v>43558.148126222564</v>
      </c>
      <c r="AV51" s="117">
        <f t="shared" si="14"/>
        <v>38985.299527999996</v>
      </c>
      <c r="AW51" s="121">
        <f t="shared" si="14"/>
        <v>38819.613824</v>
      </c>
      <c r="AX51" s="122">
        <f t="shared" si="14"/>
        <v>41476.537943999996</v>
      </c>
    </row>
    <row r="52" spans="1:50" x14ac:dyDescent="0.25">
      <c r="A52" s="76" t="s">
        <v>7</v>
      </c>
      <c r="B52" s="117">
        <f t="shared" si="17"/>
        <v>107422.73158088839</v>
      </c>
      <c r="C52" s="121">
        <f t="shared" si="17"/>
        <v>-210097.73744172035</v>
      </c>
      <c r="D52" s="121">
        <f t="shared" si="17"/>
        <v>-163589.02248486393</v>
      </c>
      <c r="E52" s="121">
        <f t="shared" si="17"/>
        <v>-163035.85323471564</v>
      </c>
      <c r="F52" s="121">
        <f t="shared" si="17"/>
        <v>-60768.615509400552</v>
      </c>
      <c r="G52" s="121">
        <f t="shared" si="17"/>
        <v>-157405.72320328557</v>
      </c>
      <c r="H52" s="121">
        <f t="shared" si="17"/>
        <v>-184940.83757033569</v>
      </c>
      <c r="I52" s="121">
        <f t="shared" si="17"/>
        <v>-155144.03369934988</v>
      </c>
      <c r="J52" s="121">
        <f t="shared" si="17"/>
        <v>-54141.680960762489</v>
      </c>
      <c r="K52" s="121">
        <f t="shared" si="14"/>
        <v>-107659.32880930009</v>
      </c>
      <c r="L52" s="121">
        <f t="shared" si="14"/>
        <v>-93119.095311419747</v>
      </c>
      <c r="M52" s="121">
        <f t="shared" si="14"/>
        <v>7058.7735949865892</v>
      </c>
      <c r="N52" s="121">
        <f t="shared" si="14"/>
        <v>-103735.12436697836</v>
      </c>
      <c r="O52" s="121">
        <f t="shared" si="14"/>
        <v>-68070.142330465169</v>
      </c>
      <c r="P52" s="121">
        <f t="shared" si="14"/>
        <v>42021.139700833242</v>
      </c>
      <c r="Q52" s="121">
        <f t="shared" si="14"/>
        <v>61752.283603387637</v>
      </c>
      <c r="R52" s="121">
        <f t="shared" si="14"/>
        <v>107207.50300349339</v>
      </c>
      <c r="S52" s="121">
        <f t="shared" si="14"/>
        <v>101932.49083886764</v>
      </c>
      <c r="T52" s="121">
        <f t="shared" si="14"/>
        <v>50034.133755263319</v>
      </c>
      <c r="U52" s="121">
        <f t="shared" si="14"/>
        <v>-796.97094334679423</v>
      </c>
      <c r="V52" s="121">
        <f t="shared" si="14"/>
        <v>81758.12386081263</v>
      </c>
      <c r="W52" s="118">
        <f t="shared" si="14"/>
        <v>104110.19320868145</v>
      </c>
      <c r="X52" s="121">
        <f t="shared" si="14"/>
        <v>69459.828305410076</v>
      </c>
      <c r="Y52" s="121">
        <f t="shared" si="14"/>
        <v>43303.116579790643</v>
      </c>
      <c r="Z52" s="121">
        <f t="shared" si="14"/>
        <v>-60428.115085944912</v>
      </c>
      <c r="AA52" s="121">
        <f t="shared" si="14"/>
        <v>-158838.52696112733</v>
      </c>
      <c r="AB52" s="121">
        <f t="shared" si="14"/>
        <v>-70273.140004699322</v>
      </c>
      <c r="AC52" s="121">
        <f t="shared" si="14"/>
        <v>35874.380844581901</v>
      </c>
      <c r="AD52" s="121">
        <f t="shared" si="14"/>
        <v>70679.560982610303</v>
      </c>
      <c r="AE52" s="121">
        <f t="shared" si="14"/>
        <v>-106921.94285205839</v>
      </c>
      <c r="AF52" s="121">
        <f t="shared" si="14"/>
        <v>-6705.5136782739428</v>
      </c>
      <c r="AG52" s="121">
        <f t="shared" si="15"/>
        <v>103193.33529524878</v>
      </c>
      <c r="AH52" s="121">
        <f t="shared" si="15"/>
        <v>-80017.621218628978</v>
      </c>
      <c r="AI52" s="121">
        <f t="shared" si="15"/>
        <v>52126.733636075864</v>
      </c>
      <c r="AJ52" s="121">
        <f t="shared" si="15"/>
        <v>266636.05732498271</v>
      </c>
      <c r="AK52" s="121">
        <f t="shared" si="15"/>
        <v>627834.19162450067</v>
      </c>
      <c r="AL52" s="121">
        <f t="shared" si="15"/>
        <v>98529.247853050183</v>
      </c>
      <c r="AM52" s="121">
        <f t="shared" si="15"/>
        <v>-310697.78061914019</v>
      </c>
      <c r="AN52" s="121">
        <f t="shared" si="15"/>
        <v>27319.814396685084</v>
      </c>
      <c r="AO52" s="121">
        <f t="shared" si="16"/>
        <v>11860.049262711724</v>
      </c>
      <c r="AP52" s="121">
        <f t="shared" si="16"/>
        <v>13105.54701411568</v>
      </c>
      <c r="AQ52" s="121">
        <f t="shared" si="16"/>
        <v>25129.805461567616</v>
      </c>
      <c r="AR52" s="121">
        <f t="shared" si="16"/>
        <v>14134.28</v>
      </c>
      <c r="AS52" s="121">
        <f t="shared" si="16"/>
        <v>14272.72</v>
      </c>
      <c r="AT52" s="121">
        <f t="shared" si="16"/>
        <v>16638.022088695008</v>
      </c>
      <c r="AU52" s="121">
        <f t="shared" si="16"/>
        <v>14921.436004505029</v>
      </c>
      <c r="AV52" s="117">
        <f t="shared" si="14"/>
        <v>13045.761332</v>
      </c>
      <c r="AW52" s="121">
        <f t="shared" si="14"/>
        <v>12270.467825</v>
      </c>
      <c r="AX52" s="122">
        <f t="shared" si="14"/>
        <v>12777.175174</v>
      </c>
    </row>
    <row r="53" spans="1:50" x14ac:dyDescent="0.25">
      <c r="B53" s="106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04"/>
      <c r="AW53" s="105"/>
      <c r="AX53" s="108"/>
    </row>
    <row r="54" spans="1:50" x14ac:dyDescent="0.25">
      <c r="A54" s="76" t="s">
        <v>74</v>
      </c>
      <c r="B54" s="106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04"/>
      <c r="AW54" s="105"/>
      <c r="AX54" s="108"/>
    </row>
    <row r="55" spans="1:50" x14ac:dyDescent="0.25">
      <c r="A55" s="76" t="s">
        <v>0</v>
      </c>
      <c r="B55" s="117">
        <f>B48</f>
        <v>75112.546819702722</v>
      </c>
      <c r="C55" s="121">
        <f>B55+C48+B62</f>
        <v>-1631791.9130910337</v>
      </c>
      <c r="D55" s="121">
        <f t="shared" ref="D55:AW59" si="18">C55+D48+C62</f>
        <v>-2956472.5158880902</v>
      </c>
      <c r="E55" s="121">
        <f t="shared" si="18"/>
        <v>-3296130.2155727018</v>
      </c>
      <c r="F55" s="121">
        <f t="shared" si="18"/>
        <v>-3173347.3442944479</v>
      </c>
      <c r="G55" s="121">
        <f t="shared" si="18"/>
        <v>-3591631.9154162868</v>
      </c>
      <c r="H55" s="121">
        <f t="shared" si="18"/>
        <v>-3870790.9661779422</v>
      </c>
      <c r="I55" s="121">
        <f t="shared" si="18"/>
        <v>-3949863.4121495164</v>
      </c>
      <c r="J55" s="121">
        <f t="shared" si="18"/>
        <v>-4392190.221994414</v>
      </c>
      <c r="K55" s="121">
        <f t="shared" si="18"/>
        <v>-4161894.2742216163</v>
      </c>
      <c r="L55" s="121">
        <f t="shared" si="18"/>
        <v>-4073755.5278692907</v>
      </c>
      <c r="M55" s="121">
        <f t="shared" si="18"/>
        <v>-3647717.4976713061</v>
      </c>
      <c r="N55" s="121">
        <f t="shared" si="18"/>
        <v>-5055101.4124606345</v>
      </c>
      <c r="O55" s="121">
        <f t="shared" si="18"/>
        <v>-6219589.6563917473</v>
      </c>
      <c r="P55" s="121">
        <f t="shared" si="18"/>
        <v>-5770188.5571677489</v>
      </c>
      <c r="Q55" s="121">
        <f>P55+Q48+P62</f>
        <v>-5190630.3386301873</v>
      </c>
      <c r="R55" s="121">
        <f t="shared" si="18"/>
        <v>-4297913.1741480827</v>
      </c>
      <c r="S55" s="121">
        <f t="shared" si="18"/>
        <v>-3610141.860780885</v>
      </c>
      <c r="T55" s="121">
        <f t="shared" si="18"/>
        <v>-2940539.619925966</v>
      </c>
      <c r="U55" s="121">
        <f t="shared" si="18"/>
        <v>-2730367.5488556456</v>
      </c>
      <c r="V55" s="121">
        <f t="shared" si="18"/>
        <v>-2417382.0004600133</v>
      </c>
      <c r="W55" s="118">
        <f t="shared" si="18"/>
        <v>-1994468.7015315706</v>
      </c>
      <c r="X55" s="121">
        <f t="shared" si="18"/>
        <v>-1475633.1144606418</v>
      </c>
      <c r="Y55" s="121">
        <f t="shared" si="18"/>
        <v>-1806630.7024466009</v>
      </c>
      <c r="Z55" s="121">
        <f>Y55+Z48+Y62</f>
        <v>-2426885.7253350834</v>
      </c>
      <c r="AA55" s="121">
        <f t="shared" ref="AA55:AU59" si="19">Z55+AA48+Z62</f>
        <v>-4478086.38589375</v>
      </c>
      <c r="AB55" s="121">
        <f t="shared" si="19"/>
        <v>-6062402.6068480136</v>
      </c>
      <c r="AC55" s="121">
        <f t="shared" si="19"/>
        <v>-6575058.3276316542</v>
      </c>
      <c r="AD55" s="121">
        <f t="shared" si="19"/>
        <v>-6321429.9976130649</v>
      </c>
      <c r="AE55" s="121">
        <f t="shared" si="19"/>
        <v>-6572420.962191538</v>
      </c>
      <c r="AF55" s="121">
        <f t="shared" si="19"/>
        <v>-7483824.4156349814</v>
      </c>
      <c r="AG55" s="121">
        <f t="shared" si="19"/>
        <v>-8108949.5814577285</v>
      </c>
      <c r="AH55" s="121">
        <f t="shared" si="19"/>
        <v>-8313294.2810055846</v>
      </c>
      <c r="AI55" s="121">
        <f t="shared" si="19"/>
        <v>-7976808.758634435</v>
      </c>
      <c r="AJ55" s="121">
        <f t="shared" si="19"/>
        <v>-7428507.6986194467</v>
      </c>
      <c r="AK55" s="121">
        <f t="shared" si="19"/>
        <v>-5034544.7644735584</v>
      </c>
      <c r="AL55" s="121">
        <f t="shared" si="19"/>
        <v>-7934236.7489376403</v>
      </c>
      <c r="AM55" s="121">
        <f t="shared" si="19"/>
        <v>-6928093.3202689411</v>
      </c>
      <c r="AN55" s="121">
        <f t="shared" si="19"/>
        <v>-6130541.5762766087</v>
      </c>
      <c r="AO55" s="121">
        <f t="shared" si="19"/>
        <v>-5569447.3505093744</v>
      </c>
      <c r="AP55" s="121">
        <f t="shared" si="19"/>
        <v>-5005844.8799191015</v>
      </c>
      <c r="AQ55" s="121">
        <f t="shared" si="19"/>
        <v>-4161431.6714920518</v>
      </c>
      <c r="AR55" s="121">
        <f t="shared" si="19"/>
        <v>-3073773.6983315116</v>
      </c>
      <c r="AS55" s="121">
        <f t="shared" si="19"/>
        <v>-1970170.2981886112</v>
      </c>
      <c r="AT55" s="121">
        <f t="shared" si="19"/>
        <v>-982264.31920878193</v>
      </c>
      <c r="AU55" s="121">
        <f t="shared" si="19"/>
        <v>-270885.47120964754</v>
      </c>
      <c r="AV55" s="117">
        <f>AU55+AV48+AU62</f>
        <v>350253.33415770077</v>
      </c>
      <c r="AW55" s="121">
        <f t="shared" si="18"/>
        <v>1264721.995868596</v>
      </c>
      <c r="AX55" s="122">
        <f>AW55+AX48+AW62</f>
        <v>2452069.7115421966</v>
      </c>
    </row>
    <row r="56" spans="1:50" x14ac:dyDescent="0.25">
      <c r="A56" s="76" t="s">
        <v>4</v>
      </c>
      <c r="B56" s="117">
        <f t="shared" ref="B56:B59" si="20">B49</f>
        <v>41937.723530317249</v>
      </c>
      <c r="C56" s="121">
        <f t="shared" ref="C56:J59" si="21">B56+C49+B63</f>
        <v>-261842.78461240354</v>
      </c>
      <c r="D56" s="121">
        <f t="shared" si="21"/>
        <v>-520461.64393985894</v>
      </c>
      <c r="E56" s="121">
        <f t="shared" si="21"/>
        <v>-737768.07531221875</v>
      </c>
      <c r="F56" s="121">
        <f t="shared" si="21"/>
        <v>-794091.98292960343</v>
      </c>
      <c r="G56" s="121">
        <f t="shared" si="21"/>
        <v>-975689.66217563825</v>
      </c>
      <c r="H56" s="121">
        <f t="shared" si="21"/>
        <v>-1219652.140920114</v>
      </c>
      <c r="I56" s="121">
        <f t="shared" si="21"/>
        <v>-1396527.2821453912</v>
      </c>
      <c r="J56" s="121">
        <f t="shared" si="21"/>
        <v>-1555327.248548717</v>
      </c>
      <c r="K56" s="121">
        <f t="shared" si="18"/>
        <v>-1680053.9219130962</v>
      </c>
      <c r="L56" s="121">
        <f t="shared" si="18"/>
        <v>-1786959.7718395393</v>
      </c>
      <c r="M56" s="121">
        <f t="shared" si="18"/>
        <v>-1771623.3846728622</v>
      </c>
      <c r="N56" s="121">
        <f t="shared" si="18"/>
        <v>-1948607.8655492286</v>
      </c>
      <c r="O56" s="121">
        <f t="shared" si="18"/>
        <v>-2071108.8279715793</v>
      </c>
      <c r="P56" s="121">
        <f t="shared" si="18"/>
        <v>-2016659.7224790675</v>
      </c>
      <c r="Q56" s="121">
        <f t="shared" si="18"/>
        <v>-1936690.6013794204</v>
      </c>
      <c r="R56" s="121">
        <f t="shared" si="18"/>
        <v>-1783127.9804970715</v>
      </c>
      <c r="S56" s="121">
        <f t="shared" si="18"/>
        <v>-1633276.2294600415</v>
      </c>
      <c r="T56" s="121">
        <f t="shared" si="18"/>
        <v>-1576524.0498049886</v>
      </c>
      <c r="U56" s="121">
        <f t="shared" si="18"/>
        <v>-1611337.318765027</v>
      </c>
      <c r="V56" s="121">
        <f t="shared" si="18"/>
        <v>-1501756.2572819092</v>
      </c>
      <c r="W56" s="118">
        <f t="shared" si="18"/>
        <v>-1371802.5648176142</v>
      </c>
      <c r="X56" s="121">
        <f t="shared" si="18"/>
        <v>-1290901.1024405728</v>
      </c>
      <c r="Y56" s="121">
        <f t="shared" si="18"/>
        <v>-1231718.6530018363</v>
      </c>
      <c r="Z56" s="121">
        <f t="shared" si="18"/>
        <v>-1416862.9252986207</v>
      </c>
      <c r="AA56" s="121">
        <f t="shared" si="19"/>
        <v>-1936421.9686957635</v>
      </c>
      <c r="AB56" s="121">
        <f t="shared" si="19"/>
        <v>-2103882.594919729</v>
      </c>
      <c r="AC56" s="121">
        <f t="shared" si="19"/>
        <v>-2045939.1072817983</v>
      </c>
      <c r="AD56" s="121">
        <f t="shared" si="19"/>
        <v>-1923005.657619854</v>
      </c>
      <c r="AE56" s="121">
        <f t="shared" si="19"/>
        <v>-2120589.7043684106</v>
      </c>
      <c r="AF56" s="121">
        <f t="shared" si="19"/>
        <v>-2137072.576507187</v>
      </c>
      <c r="AG56" s="121">
        <f t="shared" si="19"/>
        <v>-1939263.5694440452</v>
      </c>
      <c r="AH56" s="121">
        <f t="shared" si="19"/>
        <v>-2093440.6221246533</v>
      </c>
      <c r="AI56" s="121">
        <f t="shared" si="19"/>
        <v>-2092564.4515331236</v>
      </c>
      <c r="AJ56" s="121">
        <f t="shared" si="19"/>
        <v>-1662615.2056034948</v>
      </c>
      <c r="AK56" s="121">
        <f t="shared" si="19"/>
        <v>-473066.78331610997</v>
      </c>
      <c r="AL56" s="121">
        <f t="shared" si="19"/>
        <v>-210477.97643541268</v>
      </c>
      <c r="AM56" s="121">
        <f t="shared" si="19"/>
        <v>-594904.93865936075</v>
      </c>
      <c r="AN56" s="121">
        <f t="shared" si="19"/>
        <v>-508462.35744902806</v>
      </c>
      <c r="AO56" s="121">
        <f t="shared" si="19"/>
        <v>-459952.08767814626</v>
      </c>
      <c r="AP56" s="121">
        <f t="shared" si="19"/>
        <v>-411107.15137331153</v>
      </c>
      <c r="AQ56" s="121">
        <f t="shared" si="19"/>
        <v>-332726.2932363993</v>
      </c>
      <c r="AR56" s="121">
        <f t="shared" si="19"/>
        <v>-264706.52473425964</v>
      </c>
      <c r="AS56" s="121">
        <f t="shared" si="19"/>
        <v>-196691.30455629167</v>
      </c>
      <c r="AT56" s="121">
        <f t="shared" si="19"/>
        <v>-129572.82050227992</v>
      </c>
      <c r="AU56" s="121">
        <f t="shared" si="19"/>
        <v>-71874.443862802829</v>
      </c>
      <c r="AV56" s="117">
        <f>AU56+AV49+AU63</f>
        <v>-21477.47395012882</v>
      </c>
      <c r="AW56" s="121">
        <f t="shared" si="18"/>
        <v>37994.477647060623</v>
      </c>
      <c r="AX56" s="122">
        <f t="shared" ref="AX56:AX59" si="22">AW56+AX49+AW63</f>
        <v>107577.6686627881</v>
      </c>
    </row>
    <row r="57" spans="1:50" x14ac:dyDescent="0.25">
      <c r="A57" s="76" t="s">
        <v>5</v>
      </c>
      <c r="B57" s="117">
        <f t="shared" si="20"/>
        <v>113584.22546721483</v>
      </c>
      <c r="C57" s="121">
        <f t="shared" si="21"/>
        <v>-531296.71353948524</v>
      </c>
      <c r="D57" s="121">
        <f t="shared" si="21"/>
        <v>-1082767.9258886282</v>
      </c>
      <c r="E57" s="121">
        <f t="shared" si="21"/>
        <v>-1573957.758459012</v>
      </c>
      <c r="F57" s="121">
        <f t="shared" si="21"/>
        <v>-1712020.2284342053</v>
      </c>
      <c r="G57" s="121">
        <f t="shared" si="21"/>
        <v>-2153873.6629819185</v>
      </c>
      <c r="H57" s="121">
        <f t="shared" si="21"/>
        <v>-2704709.6902995571</v>
      </c>
      <c r="I57" s="121">
        <f t="shared" si="21"/>
        <v>-3115635.9954009484</v>
      </c>
      <c r="J57" s="121">
        <f t="shared" si="21"/>
        <v>-3486355.664780865</v>
      </c>
      <c r="K57" s="121">
        <f t="shared" si="18"/>
        <v>-3791197.2019326282</v>
      </c>
      <c r="L57" s="121">
        <f t="shared" si="18"/>
        <v>-4047315.4905601889</v>
      </c>
      <c r="M57" s="121">
        <f t="shared" si="18"/>
        <v>-4014659.6752746766</v>
      </c>
      <c r="N57" s="121">
        <f t="shared" si="18"/>
        <v>-4379665.6124919141</v>
      </c>
      <c r="O57" s="121">
        <f t="shared" si="18"/>
        <v>-4638001.1081301356</v>
      </c>
      <c r="P57" s="121">
        <f t="shared" si="18"/>
        <v>-4531321.6309164492</v>
      </c>
      <c r="Q57" s="121">
        <f t="shared" si="18"/>
        <v>-4353759.1312086852</v>
      </c>
      <c r="R57" s="121">
        <f t="shared" si="18"/>
        <v>-3979992.0099632903</v>
      </c>
      <c r="S57" s="121">
        <f t="shared" si="18"/>
        <v>-3624087.7556066546</v>
      </c>
      <c r="T57" s="121">
        <f t="shared" si="18"/>
        <v>-3501609.1154895048</v>
      </c>
      <c r="U57" s="121">
        <f t="shared" si="18"/>
        <v>-3593204.4423276391</v>
      </c>
      <c r="V57" s="121">
        <f t="shared" si="18"/>
        <v>-3340020.6800699565</v>
      </c>
      <c r="W57" s="118">
        <f t="shared" si="18"/>
        <v>-3017630.6317514721</v>
      </c>
      <c r="X57" s="121">
        <f t="shared" si="18"/>
        <v>-2828043.3122145538</v>
      </c>
      <c r="Y57" s="121">
        <f t="shared" si="18"/>
        <v>-2708061.711802566</v>
      </c>
      <c r="Z57" s="121">
        <f t="shared" si="18"/>
        <v>-3095212.2430589697</v>
      </c>
      <c r="AA57" s="121">
        <f t="shared" si="19"/>
        <v>-4193640.4357826868</v>
      </c>
      <c r="AB57" s="121">
        <f t="shared" si="19"/>
        <v>-4554461.4559170362</v>
      </c>
      <c r="AC57" s="121">
        <f t="shared" si="19"/>
        <v>-4420842.0519402185</v>
      </c>
      <c r="AD57" s="121">
        <f t="shared" si="19"/>
        <v>-4136538.5869657826</v>
      </c>
      <c r="AE57" s="121">
        <f t="shared" si="19"/>
        <v>-4618588.1998134442</v>
      </c>
      <c r="AF57" s="121">
        <f t="shared" si="19"/>
        <v>-4666053.6841193065</v>
      </c>
      <c r="AG57" s="121">
        <f t="shared" si="19"/>
        <v>-4220354.4482130138</v>
      </c>
      <c r="AH57" s="121">
        <f t="shared" si="19"/>
        <v>-4599242.8547459133</v>
      </c>
      <c r="AI57" s="121">
        <f t="shared" si="19"/>
        <v>-4580082.0158026172</v>
      </c>
      <c r="AJ57" s="121">
        <f t="shared" si="19"/>
        <v>-3498287.6598705743</v>
      </c>
      <c r="AK57" s="121">
        <f t="shared" si="19"/>
        <v>-709907.44744848262</v>
      </c>
      <c r="AL57" s="121">
        <f t="shared" si="19"/>
        <v>-183498.81918507855</v>
      </c>
      <c r="AM57" s="121">
        <f t="shared" si="19"/>
        <v>-1036555.5421336385</v>
      </c>
      <c r="AN57" s="121">
        <f t="shared" si="19"/>
        <v>-859548.89931495488</v>
      </c>
      <c r="AO57" s="121">
        <f t="shared" si="19"/>
        <v>-758319.8304944546</v>
      </c>
      <c r="AP57" s="121">
        <f t="shared" si="19"/>
        <v>-651989.90869302745</v>
      </c>
      <c r="AQ57" s="121">
        <f t="shared" si="19"/>
        <v>-486371.12974640058</v>
      </c>
      <c r="AR57" s="121">
        <f t="shared" si="19"/>
        <v>-357152.59386200475</v>
      </c>
      <c r="AS57" s="121">
        <f t="shared" si="19"/>
        <v>-227563.96414458868</v>
      </c>
      <c r="AT57" s="121">
        <f t="shared" si="19"/>
        <v>-93355.802304611861</v>
      </c>
      <c r="AU57" s="121">
        <f t="shared" si="19"/>
        <v>26187.709709403229</v>
      </c>
      <c r="AV57" s="117">
        <f>AU57+AV50+AU64</f>
        <v>130026.07417481141</v>
      </c>
      <c r="AW57" s="144">
        <f t="shared" si="18"/>
        <v>241643.28616814929</v>
      </c>
      <c r="AX57" s="159">
        <f t="shared" si="22"/>
        <v>363763.5861108547</v>
      </c>
    </row>
    <row r="58" spans="1:50" x14ac:dyDescent="0.25">
      <c r="A58" s="76" t="s">
        <v>6</v>
      </c>
      <c r="B58" s="117">
        <f t="shared" si="20"/>
        <v>72668.642601876825</v>
      </c>
      <c r="C58" s="121">
        <f t="shared" si="21"/>
        <v>-195446.15950061393</v>
      </c>
      <c r="D58" s="121">
        <f t="shared" si="21"/>
        <v>-430521.30254209467</v>
      </c>
      <c r="E58" s="121">
        <f t="shared" si="21"/>
        <v>-635761.35243414284</v>
      </c>
      <c r="F58" s="121">
        <f t="shared" si="21"/>
        <v>-696364.78455817257</v>
      </c>
      <c r="G58" s="121">
        <f t="shared" si="21"/>
        <v>-884393.47326481657</v>
      </c>
      <c r="H58" s="121">
        <f t="shared" si="21"/>
        <v>-1114459.5834848818</v>
      </c>
      <c r="I58" s="121">
        <f t="shared" si="21"/>
        <v>-1287010.9648761735</v>
      </c>
      <c r="J58" s="121">
        <f t="shared" si="21"/>
        <v>-1443699.6573100085</v>
      </c>
      <c r="K58" s="121">
        <f t="shared" si="18"/>
        <v>-1576849.0977542945</v>
      </c>
      <c r="L58" s="121">
        <f t="shared" si="18"/>
        <v>-1689757.8284447622</v>
      </c>
      <c r="M58" s="121">
        <f t="shared" si="18"/>
        <v>-1676219.1198168555</v>
      </c>
      <c r="N58" s="121">
        <f t="shared" si="18"/>
        <v>-1822969.4932713327</v>
      </c>
      <c r="O58" s="121">
        <f t="shared" si="18"/>
        <v>-1947363.6293238821</v>
      </c>
      <c r="P58" s="121">
        <f t="shared" si="18"/>
        <v>-1901936.2601707664</v>
      </c>
      <c r="Q58" s="121">
        <f t="shared" si="18"/>
        <v>-1822519.0067556326</v>
      </c>
      <c r="R58" s="121">
        <f t="shared" si="18"/>
        <v>-1661871.6989457763</v>
      </c>
      <c r="S58" s="121">
        <f t="shared" si="18"/>
        <v>-1511908.5537559513</v>
      </c>
      <c r="T58" s="121">
        <f t="shared" si="18"/>
        <v>-1461725.3274544426</v>
      </c>
      <c r="U58" s="121">
        <f t="shared" si="18"/>
        <v>-1502299.1781094589</v>
      </c>
      <c r="V58" s="121">
        <f t="shared" si="18"/>
        <v>-1399883.9043175154</v>
      </c>
      <c r="W58" s="118">
        <f t="shared" si="18"/>
        <v>-1254713.9963591693</v>
      </c>
      <c r="X58" s="121">
        <f t="shared" si="18"/>
        <v>-1169460.4837683546</v>
      </c>
      <c r="Y58" s="121">
        <f t="shared" si="18"/>
        <v>-1120060.4048729234</v>
      </c>
      <c r="Z58" s="121">
        <f t="shared" si="18"/>
        <v>-1281655.8773834535</v>
      </c>
      <c r="AA58" s="121">
        <f t="shared" si="19"/>
        <v>-1697203.9825678326</v>
      </c>
      <c r="AB58" s="121">
        <f t="shared" si="19"/>
        <v>-1846831.4350721454</v>
      </c>
      <c r="AC58" s="121">
        <f t="shared" si="19"/>
        <v>-1783415.4450131643</v>
      </c>
      <c r="AD58" s="121">
        <f t="shared" si="19"/>
        <v>-1652474.2589381281</v>
      </c>
      <c r="AE58" s="121">
        <f t="shared" si="19"/>
        <v>-1853693.5653285577</v>
      </c>
      <c r="AF58" s="121">
        <f t="shared" si="19"/>
        <v>-1877122.8517145759</v>
      </c>
      <c r="AG58" s="121">
        <f t="shared" si="19"/>
        <v>-1700950.2844735114</v>
      </c>
      <c r="AH58" s="121">
        <f t="shared" si="19"/>
        <v>-1863705.9133047413</v>
      </c>
      <c r="AI58" s="121">
        <f t="shared" si="19"/>
        <v>-1863845.5125182047</v>
      </c>
      <c r="AJ58" s="121">
        <f t="shared" si="19"/>
        <v>-1393094.1234398303</v>
      </c>
      <c r="AK58" s="121">
        <f t="shared" si="19"/>
        <v>-187130.41172722419</v>
      </c>
      <c r="AL58" s="121">
        <f t="shared" si="19"/>
        <v>18508.814947894578</v>
      </c>
      <c r="AM58" s="121">
        <f t="shared" si="19"/>
        <v>-410951.93091649516</v>
      </c>
      <c r="AN58" s="121">
        <f t="shared" si="19"/>
        <v>-343515.92693324958</v>
      </c>
      <c r="AO58" s="121">
        <f t="shared" si="19"/>
        <v>-304751.41951655777</v>
      </c>
      <c r="AP58" s="121">
        <f t="shared" si="19"/>
        <v>-261990.5804593167</v>
      </c>
      <c r="AQ58" s="121">
        <f t="shared" si="19"/>
        <v>-198888.2821092706</v>
      </c>
      <c r="AR58" s="121">
        <f t="shared" si="19"/>
        <v>-152788.31886479331</v>
      </c>
      <c r="AS58" s="121">
        <f t="shared" si="19"/>
        <v>-107852.44088351303</v>
      </c>
      <c r="AT58" s="121">
        <f t="shared" si="19"/>
        <v>-57267.315085435017</v>
      </c>
      <c r="AU58" s="121">
        <f t="shared" si="19"/>
        <v>-13745.219597424488</v>
      </c>
      <c r="AV58" s="117">
        <f>AU58+AV51+AU65</f>
        <v>25231.372677591029</v>
      </c>
      <c r="AW58" s="121">
        <f t="shared" si="18"/>
        <v>64066.96994539797</v>
      </c>
      <c r="AX58" s="122">
        <f t="shared" si="22"/>
        <v>105584.09271318413</v>
      </c>
    </row>
    <row r="59" spans="1:50" x14ac:dyDescent="0.25">
      <c r="A59" s="76" t="s">
        <v>7</v>
      </c>
      <c r="B59" s="117">
        <f t="shared" si="20"/>
        <v>107422.73158088839</v>
      </c>
      <c r="C59" s="121">
        <f t="shared" si="21"/>
        <v>-102603.09627864123</v>
      </c>
      <c r="D59" s="121">
        <f t="shared" si="21"/>
        <v>-266192.11876350513</v>
      </c>
      <c r="E59" s="121">
        <f t="shared" si="21"/>
        <v>-429247.93640712806</v>
      </c>
      <c r="F59" s="121">
        <f t="shared" si="21"/>
        <v>-490051.62218834629</v>
      </c>
      <c r="G59" s="121">
        <f t="shared" si="21"/>
        <v>-647494.099263296</v>
      </c>
      <c r="H59" s="121">
        <f t="shared" si="21"/>
        <v>-832708.47017628711</v>
      </c>
      <c r="I59" s="121">
        <f t="shared" si="21"/>
        <v>-987901.0785363972</v>
      </c>
      <c r="J59" s="121">
        <f t="shared" si="21"/>
        <v>-1042454.3849465498</v>
      </c>
      <c r="K59" s="121">
        <f t="shared" si="18"/>
        <v>-1150548.0697495774</v>
      </c>
      <c r="L59" s="121">
        <f t="shared" si="18"/>
        <v>-1244006.0963877542</v>
      </c>
      <c r="M59" s="121">
        <f t="shared" si="18"/>
        <v>-1237266.4030997888</v>
      </c>
      <c r="N59" s="121">
        <f t="shared" si="18"/>
        <v>-1341451.3769098276</v>
      </c>
      <c r="O59" s="121">
        <f t="shared" si="18"/>
        <v>-1410153.167332262</v>
      </c>
      <c r="P59" s="121">
        <f t="shared" si="18"/>
        <v>-1368674.9095729161</v>
      </c>
      <c r="Q59" s="121">
        <f t="shared" si="18"/>
        <v>-1307314.3464314602</v>
      </c>
      <c r="R59" s="121">
        <f t="shared" si="18"/>
        <v>-1200458.7561085969</v>
      </c>
      <c r="S59" s="121">
        <f t="shared" si="18"/>
        <v>-1098825.3445630793</v>
      </c>
      <c r="T59" s="121">
        <f t="shared" si="18"/>
        <v>-1049072.2665230727</v>
      </c>
      <c r="U59" s="121">
        <f t="shared" si="18"/>
        <v>-1050130.1828277677</v>
      </c>
      <c r="V59" s="121">
        <f t="shared" si="18"/>
        <v>-968645.0411830896</v>
      </c>
      <c r="W59" s="118">
        <f t="shared" si="18"/>
        <v>-864748.34137750592</v>
      </c>
      <c r="X59" s="121">
        <f t="shared" si="18"/>
        <v>-795484.72086763626</v>
      </c>
      <c r="Y59" s="121">
        <f t="shared" si="18"/>
        <v>-752394.28972314438</v>
      </c>
      <c r="Z59" s="121">
        <f t="shared" si="18"/>
        <v>-813076.44635204761</v>
      </c>
      <c r="AA59" s="121">
        <f t="shared" si="19"/>
        <v>-972248.1354524499</v>
      </c>
      <c r="AB59" s="121">
        <f t="shared" si="19"/>
        <v>-1042873.8409883016</v>
      </c>
      <c r="AC59" s="121">
        <f t="shared" si="19"/>
        <v>-1007356.474967259</v>
      </c>
      <c r="AD59" s="121">
        <f t="shared" si="19"/>
        <v>-936930.03832235979</v>
      </c>
      <c r="AE59" s="121">
        <f t="shared" si="19"/>
        <v>-1043918.6499928451</v>
      </c>
      <c r="AF59" s="121">
        <f t="shared" si="19"/>
        <v>-1050789.6317366008</v>
      </c>
      <c r="AG59" s="121">
        <f t="shared" si="19"/>
        <v>-947989.39946955873</v>
      </c>
      <c r="AH59" s="121">
        <f t="shared" si="19"/>
        <v>-1028433.8513353165</v>
      </c>
      <c r="AI59" s="121">
        <f t="shared" si="19"/>
        <v>-976773.10107728071</v>
      </c>
      <c r="AJ59" s="121">
        <f t="shared" si="19"/>
        <v>-710570.63495982136</v>
      </c>
      <c r="AK59" s="121">
        <f t="shared" si="19"/>
        <v>-83035.390467865611</v>
      </c>
      <c r="AL59" s="121">
        <f t="shared" si="19"/>
        <v>15447.718493686467</v>
      </c>
      <c r="AM59" s="121">
        <f t="shared" si="19"/>
        <v>-295239.72358537465</v>
      </c>
      <c r="AN59" s="121">
        <f t="shared" si="19"/>
        <v>-268119.19870847382</v>
      </c>
      <c r="AO59" s="121">
        <f t="shared" si="19"/>
        <v>-256422.69590085963</v>
      </c>
      <c r="AP59" s="121">
        <f t="shared" si="19"/>
        <v>-243476.46623087738</v>
      </c>
      <c r="AQ59" s="121">
        <f t="shared" si="19"/>
        <v>-218500.00914624185</v>
      </c>
      <c r="AR59" s="121">
        <f t="shared" si="19"/>
        <v>-204479.77194851558</v>
      </c>
      <c r="AS59" s="121">
        <f t="shared" si="19"/>
        <v>-190314.24075617042</v>
      </c>
      <c r="AT59" s="121">
        <f t="shared" si="19"/>
        <v>-173797.47516564041</v>
      </c>
      <c r="AU59" s="121">
        <f t="shared" si="19"/>
        <v>-158985.4533616259</v>
      </c>
      <c r="AV59" s="117">
        <f>AU59+AV52+AU66</f>
        <v>-146040.40533969417</v>
      </c>
      <c r="AW59" s="121">
        <f t="shared" si="18"/>
        <v>-133862.45046046673</v>
      </c>
      <c r="AX59" s="122">
        <f t="shared" si="22"/>
        <v>-121170.07380227218</v>
      </c>
    </row>
    <row r="60" spans="1:50" x14ac:dyDescent="0.25">
      <c r="B60" s="106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04"/>
      <c r="AW60" s="105"/>
      <c r="AX60" s="108"/>
    </row>
    <row r="61" spans="1:50" x14ac:dyDescent="0.25">
      <c r="A61" s="76" t="s">
        <v>69</v>
      </c>
      <c r="B61" s="174">
        <f>0.803289%/12</f>
        <v>6.6940750000000007E-4</v>
      </c>
      <c r="C61" s="131">
        <f>0%/12</f>
        <v>0</v>
      </c>
      <c r="D61" s="131">
        <f>0.09%/12</f>
        <v>7.4999999999999993E-5</v>
      </c>
      <c r="E61" s="131">
        <f>0.098042%/12</f>
        <v>8.1701666666666678E-5</v>
      </c>
      <c r="F61" s="131">
        <f>0.09%/12</f>
        <v>7.4999999999999993E-5</v>
      </c>
      <c r="G61" s="131">
        <f>0.506939%/12</f>
        <v>4.2244916666666667E-4</v>
      </c>
      <c r="H61" s="131">
        <f t="shared" ref="H61" si="23">0.07%/12</f>
        <v>5.833333333333334E-5</v>
      </c>
      <c r="I61" s="131">
        <f>0.5%/12</f>
        <v>4.1666666666666669E-4</v>
      </c>
      <c r="J61" s="131">
        <f>0.5%/12</f>
        <v>4.1666666666666669E-4</v>
      </c>
      <c r="K61" s="131">
        <f>0.353499%/12</f>
        <v>2.945825E-4</v>
      </c>
      <c r="L61" s="131">
        <f>0.307793%/12</f>
        <v>2.5649416666666665E-4</v>
      </c>
      <c r="M61" s="160">
        <f>0.4363%/12</f>
        <v>3.6358333333333338E-4</v>
      </c>
      <c r="N61" s="160">
        <f>0.565043%/12</f>
        <v>4.7086916666666664E-4</v>
      </c>
      <c r="O61" s="160">
        <f>0.461977%/12</f>
        <v>3.8498083333333337E-4</v>
      </c>
      <c r="P61" s="160">
        <f>0.343445%/12</f>
        <v>2.8620416666666666E-4</v>
      </c>
      <c r="Q61" s="160">
        <f>0.323025%/12</f>
        <v>2.691875E-4</v>
      </c>
      <c r="R61" s="160">
        <f>0.298965%/12</f>
        <v>2.4913749999999998E-4</v>
      </c>
      <c r="S61" s="160">
        <f>0.306934%/12</f>
        <v>2.5577833333333334E-4</v>
      </c>
      <c r="T61" s="160">
        <f>0.298487%/12</f>
        <v>2.4873916666666668E-4</v>
      </c>
      <c r="U61" s="160">
        <f>0.311941%/12</f>
        <v>2.5995083333333339E-4</v>
      </c>
      <c r="V61" s="160">
        <f>0.264485%/12</f>
        <v>2.2040416666666669E-4</v>
      </c>
      <c r="W61" s="160">
        <f>0.272275%/12</f>
        <v>2.2689583333333332E-4</v>
      </c>
      <c r="X61" s="175">
        <f>0.320839%/12</f>
        <v>2.6736583333333331E-4</v>
      </c>
      <c r="Y61" s="175">
        <f>0.405173%/12</f>
        <v>3.3764416666666664E-4</v>
      </c>
      <c r="Z61" s="175">
        <f>0.491706%/12</f>
        <v>4.0975499999999998E-4</v>
      </c>
      <c r="AA61" s="175">
        <f>0.435155%/12</f>
        <v>3.6262916666666669E-4</v>
      </c>
      <c r="AB61" s="175">
        <f>0.410805%/12</f>
        <v>3.4233749999999997E-4</v>
      </c>
      <c r="AC61" s="175">
        <f>0.301531%/12</f>
        <v>2.512758333333333E-4</v>
      </c>
      <c r="AD61" s="175">
        <f>0.085388%/12</f>
        <v>7.1156666666666662E-5</v>
      </c>
      <c r="AE61" s="175">
        <f>0.190208%/12</f>
        <v>1.5850666666666666E-4</v>
      </c>
      <c r="AF61" s="175">
        <f>0.448923%/12</f>
        <v>3.7410250000000003E-4</v>
      </c>
      <c r="AG61" s="175">
        <f>0.540298%/12</f>
        <v>4.5024833333333326E-4</v>
      </c>
      <c r="AH61" s="175">
        <f>0.54372%/12</f>
        <v>4.5309999999999995E-4</v>
      </c>
      <c r="AI61" s="175">
        <f>0.532682%/12</f>
        <v>4.439016666666666E-4</v>
      </c>
      <c r="AJ61" s="175">
        <f>0.504857%/12</f>
        <v>4.2071416666666662E-4</v>
      </c>
      <c r="AK61" s="175">
        <f>0.666784%/12</f>
        <v>5.556533333333334E-4</v>
      </c>
      <c r="AL61" s="175">
        <f>0.803112%/12</f>
        <v>6.6926000000000008E-4</v>
      </c>
      <c r="AM61" s="175">
        <f>0.810011%/12</f>
        <v>6.7500916666666676E-4</v>
      </c>
      <c r="AN61" s="175">
        <f>0.731972%/12</f>
        <v>6.0997666666666656E-4</v>
      </c>
      <c r="AO61" s="175">
        <f>0.745569%/12</f>
        <v>6.2130750000000004E-4</v>
      </c>
      <c r="AP61" s="175">
        <f>0.755794%/12</f>
        <v>6.2982833333333329E-4</v>
      </c>
      <c r="AQ61" s="175">
        <f>0.626322%/12</f>
        <v>5.2193500000000006E-4</v>
      </c>
      <c r="AR61" s="175">
        <f>0.629043%/12</f>
        <v>5.2420250000000004E-4</v>
      </c>
      <c r="AS61" s="175">
        <f>0.764566%/12</f>
        <v>6.3713833333333325E-4</v>
      </c>
      <c r="AT61" s="175">
        <f>0.75546%/12</f>
        <v>6.2954999999999999E-4</v>
      </c>
      <c r="AU61" s="273">
        <f>0.76017%/12</f>
        <v>6.3347499999999999E-4</v>
      </c>
      <c r="AV61" s="162">
        <f>AU61</f>
        <v>6.3347499999999999E-4</v>
      </c>
      <c r="AW61" s="160">
        <f>AV61</f>
        <v>6.3347499999999999E-4</v>
      </c>
      <c r="AX61" s="161">
        <f>AW61</f>
        <v>6.3347499999999999E-4</v>
      </c>
    </row>
    <row r="62" spans="1:50" x14ac:dyDescent="0.25">
      <c r="A62" s="76" t="s">
        <v>0</v>
      </c>
      <c r="B62" s="117">
        <f>B55*B$61</f>
        <v>50.280902185210152</v>
      </c>
      <c r="C62" s="121">
        <f t="shared" ref="C62:AX66" si="24">C55*C$61</f>
        <v>0</v>
      </c>
      <c r="D62" s="121">
        <f t="shared" si="24"/>
        <v>-221.73543869160676</v>
      </c>
      <c r="E62" s="121">
        <f t="shared" si="24"/>
        <v>-269.29933216264908</v>
      </c>
      <c r="F62" s="121">
        <f t="shared" si="24"/>
        <v>-238.00105082208358</v>
      </c>
      <c r="G62" s="121">
        <f t="shared" si="24"/>
        <v>-1517.2819096410142</v>
      </c>
      <c r="H62" s="121">
        <f t="shared" si="24"/>
        <v>-225.79613969371331</v>
      </c>
      <c r="I62" s="121">
        <f t="shared" si="24"/>
        <v>-1645.7764217289653</v>
      </c>
      <c r="J62" s="121">
        <f t="shared" si="24"/>
        <v>-1830.0792591643392</v>
      </c>
      <c r="K62" s="121">
        <f t="shared" si="24"/>
        <v>-1226.0212200358892</v>
      </c>
      <c r="L62" s="144">
        <f t="shared" si="24"/>
        <v>-1044.8945293245604</v>
      </c>
      <c r="M62" s="144">
        <f t="shared" si="24"/>
        <v>-1326.2492868616591</v>
      </c>
      <c r="N62" s="144">
        <f t="shared" si="24"/>
        <v>-2380.2913895008282</v>
      </c>
      <c r="O62" s="144">
        <f t="shared" si="24"/>
        <v>-2394.4228089090752</v>
      </c>
      <c r="P62" s="144">
        <f t="shared" si="24"/>
        <v>-1651.4520075137311</v>
      </c>
      <c r="Q62" s="144">
        <f t="shared" si="24"/>
        <v>-1397.2528042800136</v>
      </c>
      <c r="R62" s="144">
        <f t="shared" si="24"/>
        <v>-1070.7713434243178</v>
      </c>
      <c r="S62" s="144">
        <f t="shared" si="24"/>
        <v>-923.3960682474335</v>
      </c>
      <c r="T62" s="144">
        <f t="shared" si="24"/>
        <v>-731.42737461070158</v>
      </c>
      <c r="U62" s="144">
        <f t="shared" si="24"/>
        <v>-709.76131963131593</v>
      </c>
      <c r="V62" s="144">
        <f t="shared" si="24"/>
        <v>-532.80106532638888</v>
      </c>
      <c r="W62" s="170">
        <f t="shared" si="24"/>
        <v>-452.53663809125698</v>
      </c>
      <c r="X62" s="144">
        <f t="shared" si="24"/>
        <v>-394.53387734203153</v>
      </c>
      <c r="Y62" s="144">
        <f t="shared" si="24"/>
        <v>-609.99831800199718</v>
      </c>
      <c r="Z62" s="144">
        <f>Z55*Z$61</f>
        <v>-994.4285603846771</v>
      </c>
      <c r="AA62" s="144">
        <f t="shared" si="24"/>
        <v>-1623.8847343779958</v>
      </c>
      <c r="AB62" s="144">
        <f t="shared" si="24"/>
        <v>-2075.3877524218315</v>
      </c>
      <c r="AC62" s="144">
        <f t="shared" si="24"/>
        <v>-1652.1532604909166</v>
      </c>
      <c r="AD62" s="144">
        <f t="shared" si="24"/>
        <v>-449.81188719682029</v>
      </c>
      <c r="AE62" s="144">
        <f t="shared" si="24"/>
        <v>-1041.7725386471066</v>
      </c>
      <c r="AF62" s="144">
        <f t="shared" si="24"/>
        <v>-2799.7174234500858</v>
      </c>
      <c r="AG62" s="144">
        <f t="shared" si="24"/>
        <v>-3651.0410341353727</v>
      </c>
      <c r="AH62" s="144">
        <f t="shared" si="24"/>
        <v>-3766.75363872363</v>
      </c>
      <c r="AI62" s="144">
        <f t="shared" si="24"/>
        <v>-3540.9187026390896</v>
      </c>
      <c r="AJ62" s="144">
        <f t="shared" si="24"/>
        <v>-3125.2784260015978</v>
      </c>
      <c r="AK62" s="144">
        <f t="shared" si="24"/>
        <v>-2797.4615801956147</v>
      </c>
      <c r="AL62" s="144">
        <f t="shared" si="24"/>
        <v>-5310.067286594006</v>
      </c>
      <c r="AM62" s="144">
        <f t="shared" si="24"/>
        <v>-4676.526498703638</v>
      </c>
      <c r="AN62" s="144">
        <f t="shared" si="24"/>
        <v>-3739.4873155586174</v>
      </c>
      <c r="AO62" s="144">
        <f t="shared" si="24"/>
        <v>-3460.3394097266032</v>
      </c>
      <c r="AP62" s="144">
        <f t="shared" si="24"/>
        <v>-3152.8229376446475</v>
      </c>
      <c r="AQ62" s="144">
        <f t="shared" si="24"/>
        <v>-2171.9968394602042</v>
      </c>
      <c r="AR62" s="144">
        <f t="shared" si="24"/>
        <v>-1611.2798570996242</v>
      </c>
      <c r="AS62" s="144">
        <f t="shared" si="24"/>
        <v>-1255.271020170728</v>
      </c>
      <c r="AT62" s="144">
        <f t="shared" si="24"/>
        <v>-618.38450215788862</v>
      </c>
      <c r="AU62" s="144">
        <f t="shared" si="24"/>
        <v>-171.59917387453146</v>
      </c>
      <c r="AV62" s="117">
        <f>AV55*AV$61</f>
        <v>221.87673085554948</v>
      </c>
      <c r="AW62" s="121">
        <f t="shared" si="24"/>
        <v>801.1697663328589</v>
      </c>
      <c r="AX62" s="122">
        <f t="shared" si="24"/>
        <v>1553.324860519193</v>
      </c>
    </row>
    <row r="63" spans="1:50" x14ac:dyDescent="0.25">
      <c r="A63" s="76" t="s">
        <v>4</v>
      </c>
      <c r="B63" s="117">
        <f t="shared" ref="B63:J66" si="25">B56*B$61</f>
        <v>28.073426664120849</v>
      </c>
      <c r="C63" s="121">
        <f t="shared" si="25"/>
        <v>0</v>
      </c>
      <c r="D63" s="121">
        <f t="shared" si="25"/>
        <v>-39.034623295489418</v>
      </c>
      <c r="E63" s="121">
        <f t="shared" si="25"/>
        <v>-60.27688136646713</v>
      </c>
      <c r="F63" s="121">
        <f t="shared" si="25"/>
        <v>-59.556898719720252</v>
      </c>
      <c r="G63" s="121">
        <f t="shared" si="25"/>
        <v>-412.17928471137992</v>
      </c>
      <c r="H63" s="121">
        <f t="shared" si="25"/>
        <v>-71.146374887006658</v>
      </c>
      <c r="I63" s="121">
        <f t="shared" si="25"/>
        <v>-581.88636756057974</v>
      </c>
      <c r="J63" s="121">
        <f t="shared" si="25"/>
        <v>-648.05302022863214</v>
      </c>
      <c r="K63" s="121">
        <f t="shared" si="24"/>
        <v>-494.91448445196465</v>
      </c>
      <c r="L63" s="144">
        <f t="shared" si="24"/>
        <v>-458.34475754483941</v>
      </c>
      <c r="M63" s="144">
        <f t="shared" si="24"/>
        <v>-644.13273561064159</v>
      </c>
      <c r="N63" s="144">
        <f t="shared" si="24"/>
        <v>-917.53936181127722</v>
      </c>
      <c r="O63" s="144">
        <f t="shared" si="24"/>
        <v>-797.33720251652198</v>
      </c>
      <c r="P63" s="144">
        <f t="shared" si="24"/>
        <v>-577.1764153223528</v>
      </c>
      <c r="Q63" s="144">
        <f t="shared" si="24"/>
        <v>-521.33290125882274</v>
      </c>
      <c r="R63" s="144">
        <f t="shared" si="24"/>
        <v>-444.24404724108911</v>
      </c>
      <c r="S63" s="144">
        <f t="shared" si="24"/>
        <v>-417.75667184424032</v>
      </c>
      <c r="T63" s="144">
        <f t="shared" si="24"/>
        <v>-392.14327837845138</v>
      </c>
      <c r="U63" s="144">
        <f t="shared" si="24"/>
        <v>-418.86847879406781</v>
      </c>
      <c r="V63" s="144">
        <f t="shared" si="24"/>
        <v>-330.99333642267152</v>
      </c>
      <c r="W63" s="170">
        <f t="shared" si="24"/>
        <v>-311.25628611309656</v>
      </c>
      <c r="X63" s="144">
        <f t="shared" si="24"/>
        <v>-345.14284900494243</v>
      </c>
      <c r="Y63" s="144">
        <f t="shared" si="24"/>
        <v>-415.88261816059412</v>
      </c>
      <c r="Z63" s="144">
        <f t="shared" si="24"/>
        <v>-580.56666795573631</v>
      </c>
      <c r="AA63" s="144">
        <f t="shared" si="24"/>
        <v>-702.2030848231708</v>
      </c>
      <c r="AB63" s="144">
        <f t="shared" si="24"/>
        <v>-720.23790783833272</v>
      </c>
      <c r="AC63" s="144">
        <f t="shared" si="24"/>
        <v>-514.09505413148986</v>
      </c>
      <c r="AD63" s="144">
        <f t="shared" si="24"/>
        <v>-136.83467257737007</v>
      </c>
      <c r="AE63" s="144">
        <f t="shared" si="24"/>
        <v>-336.12760540708888</v>
      </c>
      <c r="AF63" s="144">
        <f t="shared" si="24"/>
        <v>-799.48419355277997</v>
      </c>
      <c r="AG63" s="144">
        <f t="shared" si="24"/>
        <v>-873.15019003623217</v>
      </c>
      <c r="AH63" s="144">
        <f t="shared" si="24"/>
        <v>-948.53794588468031</v>
      </c>
      <c r="AI63" s="144">
        <f t="shared" si="24"/>
        <v>-928.8928476429727</v>
      </c>
      <c r="AJ63" s="144">
        <f t="shared" si="24"/>
        <v>-699.48577071280283</v>
      </c>
      <c r="AK63" s="144">
        <f t="shared" si="24"/>
        <v>-262.86113503887424</v>
      </c>
      <c r="AL63" s="144">
        <f t="shared" si="24"/>
        <v>-140.86449050916431</v>
      </c>
      <c r="AM63" s="144">
        <f t="shared" si="24"/>
        <v>-401.5662868903396</v>
      </c>
      <c r="AN63" s="144">
        <f t="shared" si="24"/>
        <v>-310.15017392223325</v>
      </c>
      <c r="AO63" s="144">
        <f t="shared" si="24"/>
        <v>-285.77168171508987</v>
      </c>
      <c r="AP63" s="144">
        <f t="shared" si="24"/>
        <v>-258.92693197086714</v>
      </c>
      <c r="AQ63" s="144">
        <f t="shared" si="24"/>
        <v>-173.66149786034009</v>
      </c>
      <c r="AR63" s="144">
        <f t="shared" si="24"/>
        <v>-138.75982203201076</v>
      </c>
      <c r="AS63" s="144">
        <f t="shared" si="24"/>
        <v>-125.31956996615473</v>
      </c>
      <c r="AT63" s="144">
        <f t="shared" si="24"/>
        <v>-81.572569147210331</v>
      </c>
      <c r="AU63" s="144">
        <f t="shared" si="24"/>
        <v>-45.530663325989025</v>
      </c>
      <c r="AV63" s="117">
        <f t="shared" si="24"/>
        <v>-13.605442810557854</v>
      </c>
      <c r="AW63" s="121">
        <f t="shared" si="24"/>
        <v>24.068551727471728</v>
      </c>
      <c r="AX63" s="122">
        <f t="shared" si="24"/>
        <v>68.147763656159697</v>
      </c>
    </row>
    <row r="64" spans="1:50" x14ac:dyDescent="0.25">
      <c r="A64" s="76" t="s">
        <v>5</v>
      </c>
      <c r="B64" s="117">
        <f t="shared" si="25"/>
        <v>76.034132409444624</v>
      </c>
      <c r="C64" s="121">
        <f t="shared" si="25"/>
        <v>0</v>
      </c>
      <c r="D64" s="121">
        <f t="shared" si="25"/>
        <v>-81.207594441647117</v>
      </c>
      <c r="E64" s="121">
        <f t="shared" si="25"/>
        <v>-128.59497212903207</v>
      </c>
      <c r="F64" s="121">
        <f t="shared" si="25"/>
        <v>-128.40151713256537</v>
      </c>
      <c r="G64" s="121">
        <f t="shared" si="25"/>
        <v>-909.90213403199232</v>
      </c>
      <c r="H64" s="121">
        <f t="shared" si="25"/>
        <v>-157.77473193414085</v>
      </c>
      <c r="I64" s="121">
        <f t="shared" si="25"/>
        <v>-1298.1816647503952</v>
      </c>
      <c r="J64" s="121">
        <f t="shared" si="25"/>
        <v>-1452.6481936586938</v>
      </c>
      <c r="K64" s="121">
        <f t="shared" si="24"/>
        <v>-1116.8203497383183</v>
      </c>
      <c r="L64" s="144">
        <f t="shared" si="24"/>
        <v>-1038.1128139883267</v>
      </c>
      <c r="M64" s="144">
        <f t="shared" si="24"/>
        <v>-1459.6633469352846</v>
      </c>
      <c r="N64" s="144">
        <f>N57*N$61</f>
        <v>-2062.2494972327236</v>
      </c>
      <c r="O64" s="144">
        <f>O57*O$61</f>
        <v>-1785.5415316088631</v>
      </c>
      <c r="P64" s="144">
        <f t="shared" si="24"/>
        <v>-1296.8831312750833</v>
      </c>
      <c r="Q64" s="144">
        <f t="shared" si="24"/>
        <v>-1171.9775361322379</v>
      </c>
      <c r="R64" s="144">
        <f t="shared" si="24"/>
        <v>-991.5652593822291</v>
      </c>
      <c r="S64" s="144">
        <f t="shared" si="24"/>
        <v>-926.96312598281077</v>
      </c>
      <c r="T64" s="144">
        <f t="shared" si="24"/>
        <v>-870.98733337926319</v>
      </c>
      <c r="U64" s="144">
        <f t="shared" si="24"/>
        <v>-934.0564891201052</v>
      </c>
      <c r="V64" s="144">
        <f t="shared" si="24"/>
        <v>-736.15447464025215</v>
      </c>
      <c r="W64" s="170">
        <f t="shared" si="24"/>
        <v>-684.68781688344336</v>
      </c>
      <c r="X64" s="144">
        <f t="shared" si="24"/>
        <v>-756.12215687300431</v>
      </c>
      <c r="Y64" s="144">
        <f t="shared" si="24"/>
        <v>-914.36123996348419</v>
      </c>
      <c r="Z64" s="144">
        <f t="shared" si="24"/>
        <v>-1268.278692654628</v>
      </c>
      <c r="AA64" s="144">
        <f t="shared" si="24"/>
        <v>-1520.7363365275125</v>
      </c>
      <c r="AB64" s="144">
        <f t="shared" si="24"/>
        <v>-1559.1629486649981</v>
      </c>
      <c r="AC64" s="144">
        <f t="shared" si="24"/>
        <v>-1110.8507706363216</v>
      </c>
      <c r="AD64" s="144">
        <f t="shared" si="24"/>
        <v>-294.34229738652851</v>
      </c>
      <c r="AE64" s="144">
        <f t="shared" si="24"/>
        <v>-732.07702025842957</v>
      </c>
      <c r="AF64" s="144">
        <f t="shared" si="24"/>
        <v>-1745.582348363243</v>
      </c>
      <c r="AG64" s="144">
        <f t="shared" si="24"/>
        <v>-1900.2075563838289</v>
      </c>
      <c r="AH64" s="144">
        <f t="shared" si="24"/>
        <v>-2083.9169374853732</v>
      </c>
      <c r="AI64" s="144">
        <f t="shared" si="24"/>
        <v>-2033.1060402848079</v>
      </c>
      <c r="AJ64" s="144">
        <f t="shared" si="24"/>
        <v>-1471.779177582732</v>
      </c>
      <c r="AK64" s="144">
        <f t="shared" si="24"/>
        <v>-394.46243953290758</v>
      </c>
      <c r="AL64" s="144">
        <f t="shared" si="24"/>
        <v>-122.80841972780568</v>
      </c>
      <c r="AM64" s="144">
        <f t="shared" si="24"/>
        <v>-699.68449269934229</v>
      </c>
      <c r="AN64" s="144">
        <f t="shared" si="24"/>
        <v>-524.30477244113843</v>
      </c>
      <c r="AO64" s="144">
        <f t="shared" si="24"/>
        <v>-471.14979808493337</v>
      </c>
      <c r="AP64" s="144">
        <f t="shared" si="24"/>
        <v>-410.64171754228164</v>
      </c>
      <c r="AQ64" s="144">
        <f t="shared" si="24"/>
        <v>-253.85411560418763</v>
      </c>
      <c r="AR64" s="144">
        <f t="shared" si="24"/>
        <v>-187.22028258394755</v>
      </c>
      <c r="AS64" s="144">
        <f t="shared" si="24"/>
        <v>-144.98972484180965</v>
      </c>
      <c r="AT64" s="144">
        <f t="shared" si="24"/>
        <v>-58.772145340868398</v>
      </c>
      <c r="AU64" s="144">
        <f t="shared" si="24"/>
        <v>16.58925940816421</v>
      </c>
      <c r="AV64" s="117">
        <f t="shared" si="24"/>
        <v>82.368267337888653</v>
      </c>
      <c r="AW64" s="121">
        <f t="shared" si="24"/>
        <v>153.07498070536838</v>
      </c>
      <c r="AX64" s="122">
        <f t="shared" si="24"/>
        <v>230.43513771157367</v>
      </c>
    </row>
    <row r="65" spans="1:50" x14ac:dyDescent="0.25">
      <c r="A65" s="76" t="s">
        <v>6</v>
      </c>
      <c r="B65" s="117">
        <f t="shared" si="25"/>
        <v>48.644934372515863</v>
      </c>
      <c r="C65" s="121">
        <f t="shared" si="25"/>
        <v>0</v>
      </c>
      <c r="D65" s="121">
        <f t="shared" si="25"/>
        <v>-32.289097690657094</v>
      </c>
      <c r="E65" s="121">
        <f t="shared" si="25"/>
        <v>-51.942762096123531</v>
      </c>
      <c r="F65" s="121">
        <f t="shared" si="25"/>
        <v>-52.227358841862937</v>
      </c>
      <c r="G65" s="121">
        <f t="shared" si="25"/>
        <v>-373.61128578616069</v>
      </c>
      <c r="H65" s="121">
        <f t="shared" si="25"/>
        <v>-65.010142369951438</v>
      </c>
      <c r="I65" s="121">
        <f t="shared" si="25"/>
        <v>-536.25456869840571</v>
      </c>
      <c r="J65" s="121">
        <f t="shared" si="25"/>
        <v>-601.54152387917031</v>
      </c>
      <c r="K65" s="121">
        <f t="shared" si="24"/>
        <v>-464.51214933920448</v>
      </c>
      <c r="L65" s="144">
        <f t="shared" si="24"/>
        <v>-433.41302607541553</v>
      </c>
      <c r="M65" s="144">
        <f t="shared" si="24"/>
        <v>-609.44533498007843</v>
      </c>
      <c r="N65" s="144">
        <f t="shared" si="24"/>
        <v>-858.380126155428</v>
      </c>
      <c r="O65" s="144">
        <f t="shared" si="24"/>
        <v>-749.69767282013265</v>
      </c>
      <c r="P65" s="144">
        <f t="shared" si="24"/>
        <v>-544.34208239529073</v>
      </c>
      <c r="Q65" s="144">
        <f t="shared" si="24"/>
        <v>-490.59933513103186</v>
      </c>
      <c r="R65" s="144">
        <f t="shared" si="24"/>
        <v>-414.0345603961033</v>
      </c>
      <c r="S65" s="144">
        <f t="shared" si="24"/>
        <v>-386.71345003210763</v>
      </c>
      <c r="T65" s="144">
        <f t="shared" si="24"/>
        <v>-363.58833984657855</v>
      </c>
      <c r="U65" s="144">
        <f t="shared" si="24"/>
        <v>-390.5239232655357</v>
      </c>
      <c r="V65" s="144">
        <f t="shared" si="24"/>
        <v>-308.54024536118175</v>
      </c>
      <c r="W65" s="170">
        <f t="shared" si="24"/>
        <v>-284.68937779891064</v>
      </c>
      <c r="X65" s="144">
        <f t="shared" si="24"/>
        <v>-312.67377679312926</v>
      </c>
      <c r="Y65" s="144">
        <f t="shared" si="24"/>
        <v>-378.18186201964744</v>
      </c>
      <c r="Z65" s="144">
        <f t="shared" si="24"/>
        <v>-525.16490403725697</v>
      </c>
      <c r="AA65" s="144">
        <f t="shared" si="24"/>
        <v>-615.45566586192103</v>
      </c>
      <c r="AB65" s="144">
        <f t="shared" si="24"/>
        <v>-632.23965640401047</v>
      </c>
      <c r="AC65" s="144">
        <f t="shared" si="24"/>
        <v>-448.12920212522033</v>
      </c>
      <c r="AD65" s="144">
        <f t="shared" si="24"/>
        <v>-117.5845600185074</v>
      </c>
      <c r="AE65" s="144">
        <f t="shared" si="24"/>
        <v>-293.82278806167858</v>
      </c>
      <c r="AF65" s="144">
        <f t="shared" si="24"/>
        <v>-702.2363516335522</v>
      </c>
      <c r="AG65" s="144">
        <f t="shared" si="24"/>
        <v>-765.85003066705758</v>
      </c>
      <c r="AH65" s="144">
        <f t="shared" si="24"/>
        <v>-844.44514931837818</v>
      </c>
      <c r="AI65" s="144">
        <f t="shared" si="24"/>
        <v>-827.3641294160185</v>
      </c>
      <c r="AJ65" s="144">
        <f t="shared" si="24"/>
        <v>-586.09443323121855</v>
      </c>
      <c r="AK65" s="144">
        <f t="shared" si="24"/>
        <v>-103.97963704427123</v>
      </c>
      <c r="AL65" s="144">
        <f t="shared" si="24"/>
        <v>12.387209492027926</v>
      </c>
      <c r="AM65" s="144">
        <f t="shared" si="24"/>
        <v>-277.39632042800099</v>
      </c>
      <c r="AN65" s="144">
        <f t="shared" si="24"/>
        <v>-209.53670005765377</v>
      </c>
      <c r="AO65" s="144">
        <f t="shared" si="24"/>
        <v>-189.34434258128374</v>
      </c>
      <c r="AP65" s="144">
        <f t="shared" si="24"/>
        <v>-165.00909063972401</v>
      </c>
      <c r="AQ65" s="144">
        <f t="shared" si="24"/>
        <v>-103.80675552270216</v>
      </c>
      <c r="AR65" s="144">
        <f t="shared" si="24"/>
        <v>-80.092018719721821</v>
      </c>
      <c r="AS65" s="144">
        <f t="shared" si="24"/>
        <v>-68.716924430453346</v>
      </c>
      <c r="AT65" s="144">
        <f t="shared" si="24"/>
        <v>-36.052638212035617</v>
      </c>
      <c r="AU65" s="144">
        <f t="shared" si="24"/>
        <v>-8.7072529844784778</v>
      </c>
      <c r="AV65" s="117">
        <f t="shared" si="24"/>
        <v>15.983443806936977</v>
      </c>
      <c r="AW65" s="121">
        <f t="shared" si="24"/>
        <v>40.584823786160982</v>
      </c>
      <c r="AX65" s="122">
        <f t="shared" si="24"/>
        <v>66.884883131484315</v>
      </c>
    </row>
    <row r="66" spans="1:50" ht="15.75" thickBot="1" x14ac:dyDescent="0.3">
      <c r="A66" s="76" t="s">
        <v>7</v>
      </c>
      <c r="B66" s="117">
        <f t="shared" si="25"/>
        <v>71.909582190733545</v>
      </c>
      <c r="C66" s="121">
        <f t="shared" si="25"/>
        <v>0</v>
      </c>
      <c r="D66" s="121">
        <f t="shared" si="25"/>
        <v>-19.964408907262882</v>
      </c>
      <c r="E66" s="121">
        <f t="shared" si="25"/>
        <v>-35.070271817689715</v>
      </c>
      <c r="F66" s="121">
        <f t="shared" si="25"/>
        <v>-36.753871664125967</v>
      </c>
      <c r="G66" s="121">
        <f t="shared" si="25"/>
        <v>-273.53334265536336</v>
      </c>
      <c r="H66" s="121">
        <f t="shared" si="25"/>
        <v>-48.574660760283422</v>
      </c>
      <c r="I66" s="121">
        <f t="shared" si="25"/>
        <v>-411.6254493901655</v>
      </c>
      <c r="J66" s="121">
        <f t="shared" si="25"/>
        <v>-434.35599372772913</v>
      </c>
      <c r="K66" s="121">
        <f t="shared" si="24"/>
        <v>-338.93132675700491</v>
      </c>
      <c r="L66" s="144">
        <f t="shared" si="24"/>
        <v>-319.08030702123</v>
      </c>
      <c r="M66" s="144">
        <f t="shared" si="24"/>
        <v>-449.84944306036493</v>
      </c>
      <c r="N66" s="144">
        <f t="shared" si="24"/>
        <v>-631.64809196938302</v>
      </c>
      <c r="O66" s="144">
        <f t="shared" si="24"/>
        <v>-542.88194148721368</v>
      </c>
      <c r="P66" s="144">
        <f t="shared" si="24"/>
        <v>-391.7204619318918</v>
      </c>
      <c r="Q66" s="144">
        <f t="shared" si="24"/>
        <v>-351.91268063001871</v>
      </c>
      <c r="R66" s="144">
        <f t="shared" si="24"/>
        <v>-299.07929335000551</v>
      </c>
      <c r="S66" s="144">
        <f t="shared" si="24"/>
        <v>-281.05571525677016</v>
      </c>
      <c r="T66" s="144">
        <f t="shared" si="24"/>
        <v>-260.94536134806037</v>
      </c>
      <c r="U66" s="144">
        <f t="shared" si="24"/>
        <v>-272.98221613456394</v>
      </c>
      <c r="V66" s="144">
        <f t="shared" si="24"/>
        <v>-213.49340309775789</v>
      </c>
      <c r="W66" s="170">
        <f t="shared" si="24"/>
        <v>-196.207795540467</v>
      </c>
      <c r="X66" s="144">
        <f t="shared" si="24"/>
        <v>-212.68543529870962</v>
      </c>
      <c r="Y66" s="144">
        <f t="shared" si="24"/>
        <v>-254.04154295832964</v>
      </c>
      <c r="Z66" s="144">
        <f t="shared" si="24"/>
        <v>-333.16213927498325</v>
      </c>
      <c r="AA66" s="144">
        <f t="shared" si="24"/>
        <v>-352.56553115234237</v>
      </c>
      <c r="AB66" s="144">
        <f t="shared" si="24"/>
        <v>-357.01482353933267</v>
      </c>
      <c r="AC66" s="144">
        <f t="shared" si="24"/>
        <v>-253.12433771112711</v>
      </c>
      <c r="AD66" s="144">
        <f t="shared" si="24"/>
        <v>-66.668818426891377</v>
      </c>
      <c r="AE66" s="144">
        <f t="shared" si="24"/>
        <v>-165.46806548153256</v>
      </c>
      <c r="AF66" s="144">
        <f t="shared" si="24"/>
        <v>-393.10302820674173</v>
      </c>
      <c r="AG66" s="144">
        <f t="shared" si="24"/>
        <v>-426.83064712883629</v>
      </c>
      <c r="AH66" s="144">
        <f t="shared" si="24"/>
        <v>-465.98337804003188</v>
      </c>
      <c r="AI66" s="144">
        <f t="shared" si="24"/>
        <v>-433.59120752337333</v>
      </c>
      <c r="AJ66" s="144">
        <f t="shared" si="24"/>
        <v>-298.94713254492541</v>
      </c>
      <c r="AK66" s="144">
        <f t="shared" si="24"/>
        <v>-46.138891498104428</v>
      </c>
      <c r="AL66" s="144">
        <f t="shared" si="24"/>
        <v>10.338540079084606</v>
      </c>
      <c r="AM66" s="144">
        <f t="shared" si="24"/>
        <v>-199.28951978426079</v>
      </c>
      <c r="AN66" s="144">
        <f t="shared" si="24"/>
        <v>-163.54645509753246</v>
      </c>
      <c r="AO66" s="144">
        <f t="shared" si="24"/>
        <v>-159.31734413342335</v>
      </c>
      <c r="AP66" s="144">
        <f t="shared" si="24"/>
        <v>-153.34837693208311</v>
      </c>
      <c r="AQ66" s="144">
        <f t="shared" si="24"/>
        <v>-114.04280227374376</v>
      </c>
      <c r="AR66" s="144">
        <f t="shared" si="24"/>
        <v>-107.18880765484175</v>
      </c>
      <c r="AS66" s="144">
        <f t="shared" si="24"/>
        <v>-121.25649816498515</v>
      </c>
      <c r="AT66" s="144">
        <f t="shared" si="24"/>
        <v>-109.41420049052891</v>
      </c>
      <c r="AU66" s="144">
        <f t="shared" si="24"/>
        <v>-100.71331006825596</v>
      </c>
      <c r="AV66" s="117">
        <f t="shared" si="24"/>
        <v>-92.512945772562759</v>
      </c>
      <c r="AW66" s="121">
        <f t="shared" si="24"/>
        <v>-84.798515805444154</v>
      </c>
      <c r="AX66" s="122">
        <f t="shared" si="24"/>
        <v>-76.758212501894363</v>
      </c>
    </row>
    <row r="67" spans="1:50" ht="16.5" thickTop="1" thickBot="1" x14ac:dyDescent="0.3">
      <c r="A67" s="133" t="s">
        <v>75</v>
      </c>
      <c r="B67" s="137">
        <f>SUM(B62:B66)+SUM(B55:B59)-B70</f>
        <v>0</v>
      </c>
      <c r="C67" s="138">
        <f t="shared" ref="C67:J67" si="26">SUM(C62:C66)+SUM(C55:C59)-C70</f>
        <v>0</v>
      </c>
      <c r="D67" s="138">
        <f t="shared" si="26"/>
        <v>0</v>
      </c>
      <c r="E67" s="138">
        <f t="shared" si="26"/>
        <v>0</v>
      </c>
      <c r="F67" s="138">
        <f t="shared" si="26"/>
        <v>0</v>
      </c>
      <c r="G67" s="138">
        <f t="shared" si="26"/>
        <v>0</v>
      </c>
      <c r="H67" s="138">
        <f>SUM(H62:H66)+SUM(H55:H59)-H70</f>
        <v>0</v>
      </c>
      <c r="I67" s="138">
        <f t="shared" si="26"/>
        <v>0</v>
      </c>
      <c r="J67" s="138">
        <f t="shared" si="26"/>
        <v>0</v>
      </c>
      <c r="K67" s="138">
        <f t="shared" ref="K67" si="27">SUM(K62:K66)+SUM(K55:K59)-K70</f>
        <v>0</v>
      </c>
      <c r="L67" s="135">
        <f t="shared" ref="L67" si="28">SUM(L62:L66)+SUM(L55:L59)-L70</f>
        <v>0</v>
      </c>
      <c r="M67" s="135">
        <f t="shared" ref="M67:N67" si="29">SUM(M62:M66)+SUM(M55:M59)-M70</f>
        <v>0</v>
      </c>
      <c r="N67" s="135">
        <f t="shared" si="29"/>
        <v>0</v>
      </c>
      <c r="O67" s="135">
        <f>SUM(O62:O66)+SUM(O55:O59)-O70</f>
        <v>0</v>
      </c>
      <c r="P67" s="135">
        <f t="shared" ref="P67" si="30">SUM(P62:P66)+SUM(P55:P59)-P70</f>
        <v>0</v>
      </c>
      <c r="Q67" s="135">
        <f>SUM(Q62:Q66)+SUM(Q55:Q59)-Q70</f>
        <v>0</v>
      </c>
      <c r="R67" s="135">
        <f t="shared" ref="R67" si="31">SUM(R62:R66)+SUM(R55:R59)-R70</f>
        <v>0</v>
      </c>
      <c r="S67" s="135">
        <f t="shared" ref="S67" si="32">SUM(S62:S66)+SUM(S55:S59)-S70</f>
        <v>0</v>
      </c>
      <c r="T67" s="135">
        <f t="shared" ref="T67:AH67" si="33">SUM(T62:T66)+SUM(T55:T59)-T70</f>
        <v>0</v>
      </c>
      <c r="U67" s="135">
        <f t="shared" si="33"/>
        <v>0</v>
      </c>
      <c r="V67" s="135">
        <f t="shared" si="33"/>
        <v>0</v>
      </c>
      <c r="W67" s="176">
        <f t="shared" si="33"/>
        <v>0</v>
      </c>
      <c r="X67" s="176">
        <f t="shared" si="33"/>
        <v>0</v>
      </c>
      <c r="Y67" s="176">
        <f t="shared" si="33"/>
        <v>0</v>
      </c>
      <c r="Z67" s="176">
        <f t="shared" si="33"/>
        <v>0</v>
      </c>
      <c r="AA67" s="176">
        <f t="shared" si="33"/>
        <v>0</v>
      </c>
      <c r="AB67" s="176">
        <f t="shared" si="33"/>
        <v>0</v>
      </c>
      <c r="AC67" s="176">
        <f t="shared" si="33"/>
        <v>0</v>
      </c>
      <c r="AD67" s="176">
        <f t="shared" si="33"/>
        <v>0</v>
      </c>
      <c r="AE67" s="176">
        <f t="shared" si="33"/>
        <v>0</v>
      </c>
      <c r="AF67" s="176">
        <f t="shared" si="33"/>
        <v>0</v>
      </c>
      <c r="AG67" s="176">
        <f t="shared" si="33"/>
        <v>0</v>
      </c>
      <c r="AH67" s="176">
        <f t="shared" si="33"/>
        <v>0</v>
      </c>
      <c r="AI67" s="176">
        <f>SUM(AI62:AI66)+SUM(AI55:AI59)-AI70</f>
        <v>0</v>
      </c>
      <c r="AJ67" s="176">
        <f t="shared" ref="AJ67:AU67" si="34">SUM(AJ62:AJ66)+SUM(AJ55:AJ59)-AJ70</f>
        <v>0</v>
      </c>
      <c r="AK67" s="176">
        <f t="shared" si="34"/>
        <v>7.4505805969238281E-9</v>
      </c>
      <c r="AL67" s="176">
        <f t="shared" si="34"/>
        <v>8.3819031715393066E-9</v>
      </c>
      <c r="AM67" s="176">
        <f t="shared" si="34"/>
        <v>0</v>
      </c>
      <c r="AN67" s="176">
        <f t="shared" si="34"/>
        <v>9.3132257461547852E-9</v>
      </c>
      <c r="AO67" s="176">
        <f t="shared" si="34"/>
        <v>9.3132257461547852E-9</v>
      </c>
      <c r="AP67" s="176">
        <f t="shared" si="34"/>
        <v>7.4505805969238281E-9</v>
      </c>
      <c r="AQ67" s="176">
        <f t="shared" si="34"/>
        <v>8.3819031715393066E-9</v>
      </c>
      <c r="AR67" s="176">
        <f t="shared" si="34"/>
        <v>8.8475644588470459E-9</v>
      </c>
      <c r="AS67" s="176">
        <f t="shared" si="34"/>
        <v>8.3819031715393066E-9</v>
      </c>
      <c r="AT67" s="176">
        <f t="shared" si="34"/>
        <v>8.8475644588470459E-9</v>
      </c>
      <c r="AU67" s="176">
        <f t="shared" si="34"/>
        <v>9.0221874415874481E-9</v>
      </c>
      <c r="AV67" s="134">
        <f>SUM(AV62:AV66)+SUM(AV55:AV59)-AV70</f>
        <v>9.1386027634143829E-9</v>
      </c>
      <c r="AW67" s="135">
        <f t="shared" ref="AW67:AX67" si="35">SUM(AW62:AW66)+SUM(AW55:AW59)-AW70</f>
        <v>8.6147338151931763E-9</v>
      </c>
      <c r="AX67" s="136">
        <f t="shared" si="35"/>
        <v>8.8475644588470459E-9</v>
      </c>
    </row>
    <row r="68" spans="1:50" ht="16.5" thickTop="1" thickBot="1" x14ac:dyDescent="0.3">
      <c r="A68" s="133" t="s">
        <v>76</v>
      </c>
      <c r="B68" s="137">
        <f>SUM(B62:B66)-B45</f>
        <v>-176.85702217797495</v>
      </c>
      <c r="C68" s="138">
        <f>SUM(C62:C66)-C45</f>
        <v>3539.64</v>
      </c>
      <c r="D68" s="138">
        <f t="shared" ref="D68:J68" si="36">SUM(D62:D66)-D45</f>
        <v>2392.5488369733366</v>
      </c>
      <c r="E68" s="138">
        <f t="shared" si="36"/>
        <v>7799.0857804280386</v>
      </c>
      <c r="F68" s="138">
        <f t="shared" si="36"/>
        <v>4294.1893028196419</v>
      </c>
      <c r="G68" s="138">
        <f>SUM(G62:G66)-G45</f>
        <v>-17849.307956825909</v>
      </c>
      <c r="H68" s="138">
        <f t="shared" si="36"/>
        <v>6.9479503549043784</v>
      </c>
      <c r="I68" s="138">
        <f t="shared" si="36"/>
        <v>-6.9544721285110427</v>
      </c>
      <c r="J68" s="138">
        <f t="shared" si="36"/>
        <v>2.0093414350412786E-3</v>
      </c>
      <c r="K68" s="138">
        <f t="shared" ref="K68:AX68" si="37">SUM(K62:K66)-K45</f>
        <v>4.6967761818450526E-4</v>
      </c>
      <c r="L68" s="138">
        <f t="shared" si="37"/>
        <v>0.15456604562814391</v>
      </c>
      <c r="M68" s="135">
        <f t="shared" si="37"/>
        <v>-1.4744802865607198E-4</v>
      </c>
      <c r="N68" s="135">
        <f t="shared" si="37"/>
        <v>1.5333303590523428E-3</v>
      </c>
      <c r="O68" s="135">
        <f t="shared" si="37"/>
        <v>-1.1573418059924734E-3</v>
      </c>
      <c r="P68" s="135">
        <f t="shared" si="37"/>
        <v>-4.0984383504110156E-3</v>
      </c>
      <c r="Q68" s="135">
        <f>SUM(Q62:Q66)-Q45</f>
        <v>4.7425678753825196E-3</v>
      </c>
      <c r="R68" s="135">
        <f t="shared" si="37"/>
        <v>-4.5037937447887089E-3</v>
      </c>
      <c r="S68" s="135">
        <f t="shared" si="37"/>
        <v>-5.0313633623773057E-3</v>
      </c>
      <c r="T68" s="135">
        <f t="shared" si="37"/>
        <v>-1.6875630549293419E-3</v>
      </c>
      <c r="U68" s="135">
        <f t="shared" si="37"/>
        <v>-2.4269455884677882E-3</v>
      </c>
      <c r="V68" s="135">
        <f t="shared" si="37"/>
        <v>-2.5248482520510152E-3</v>
      </c>
      <c r="W68" s="176">
        <f t="shared" si="37"/>
        <v>2.0855728253081907E-3</v>
      </c>
      <c r="X68" s="176">
        <f t="shared" si="37"/>
        <v>1.9046881830036E-3</v>
      </c>
      <c r="Y68" s="176">
        <f t="shared" si="37"/>
        <v>4.418895947310375E-3</v>
      </c>
      <c r="Z68" s="176">
        <f t="shared" si="37"/>
        <v>-9.6430728126506438E-4</v>
      </c>
      <c r="AA68" s="176">
        <f t="shared" si="37"/>
        <v>4.6472570575133432E-3</v>
      </c>
      <c r="AB68" s="176">
        <f t="shared" si="37"/>
        <v>-3.0888685050740605E-3</v>
      </c>
      <c r="AC68" s="176">
        <f t="shared" si="37"/>
        <v>-2.6250950759276748E-3</v>
      </c>
      <c r="AD68" s="176">
        <f t="shared" si="37"/>
        <v>-2.2356061176651565E-3</v>
      </c>
      <c r="AE68" s="176">
        <f t="shared" si="37"/>
        <v>1.9821441637759563E-3</v>
      </c>
      <c r="AF68" s="176">
        <f t="shared" si="37"/>
        <v>-3.3452064017183147E-3</v>
      </c>
      <c r="AG68" s="176">
        <f t="shared" ref="AG68:AH68" si="38">SUM(AG62:AG66)-AG45</f>
        <v>5.4164867287909146E-4</v>
      </c>
      <c r="AH68" s="176">
        <f t="shared" si="38"/>
        <v>2.9505479060389916E-3</v>
      </c>
      <c r="AI68" s="176">
        <f>SUM(AI62:AI66)-AI45</f>
        <v>-2.9275062624947168E-3</v>
      </c>
      <c r="AJ68" s="176">
        <f t="shared" ref="AJ68:AT68" si="39">SUM(AJ62:AJ66)-AJ45</f>
        <v>-4.9400732768845046E-3</v>
      </c>
      <c r="AK68" s="176">
        <f t="shared" si="39"/>
        <v>-3.6833097719863872E-3</v>
      </c>
      <c r="AL68" s="176">
        <f t="shared" si="39"/>
        <v>-4.4472598628999549E-3</v>
      </c>
      <c r="AM68" s="176">
        <f t="shared" si="39"/>
        <v>-3.1185055813693907E-3</v>
      </c>
      <c r="AN68" s="176">
        <f t="shared" si="39"/>
        <v>4.5829228256479837E-3</v>
      </c>
      <c r="AO68" s="176">
        <f t="shared" si="39"/>
        <v>-2.5762413333723089E-3</v>
      </c>
      <c r="AP68" s="176">
        <f t="shared" si="39"/>
        <v>9.4527039709646488E-4</v>
      </c>
      <c r="AQ68" s="176">
        <f t="shared" si="39"/>
        <v>-2.0107211776121403E-3</v>
      </c>
      <c r="AR68" s="176">
        <f t="shared" si="39"/>
        <v>-7.8809014621583628E-4</v>
      </c>
      <c r="AS68" s="176">
        <f t="shared" si="39"/>
        <v>-3.7375741310370358E-3</v>
      </c>
      <c r="AT68" s="176">
        <f t="shared" si="39"/>
        <v>3.9446514681458211E-3</v>
      </c>
      <c r="AU68" s="176">
        <f>SUM(AU62:AU66)-AU45</f>
        <v>-1.1408450907310907E-3</v>
      </c>
      <c r="AV68" s="134">
        <f>SUM(AV62:AV66)-AV45</f>
        <v>5.3417254491705535E-5</v>
      </c>
      <c r="AW68" s="135">
        <f t="shared" si="37"/>
        <v>-3.9325358420683187E-4</v>
      </c>
      <c r="AX68" s="136">
        <f t="shared" si="37"/>
        <v>4.4325165160898905E-3</v>
      </c>
    </row>
    <row r="69" spans="1:50" ht="15.75" thickTop="1" x14ac:dyDescent="0.25">
      <c r="B69" s="106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04"/>
      <c r="AW69" s="105"/>
      <c r="AX69" s="108"/>
    </row>
    <row r="70" spans="1:50" x14ac:dyDescent="0.25">
      <c r="A70" s="76" t="s">
        <v>77</v>
      </c>
      <c r="B70" s="117">
        <f>(SUM(B19:B22)-SUM(B39:B43))+SUM(B62:B66)+A72</f>
        <v>411000.81297782238</v>
      </c>
      <c r="C70" s="121">
        <f>(SUM(C19:C22)-SUM(C39:C43))+SUM(C62:C66)+B70</f>
        <v>-2722980.6670221779</v>
      </c>
      <c r="D70" s="121">
        <f t="shared" ref="D70:AX70" si="40">(SUM(D19:D22)-SUM(D39:D43))+SUM(D62:D66)+C70</f>
        <v>-5256809.7381852046</v>
      </c>
      <c r="E70" s="121">
        <f t="shared" si="40"/>
        <v>-6673410.5224047769</v>
      </c>
      <c r="F70" s="121">
        <f t="shared" si="40"/>
        <v>-6866390.9031019574</v>
      </c>
      <c r="G70" s="121">
        <f t="shared" si="40"/>
        <v>-8256569.3210587827</v>
      </c>
      <c r="H70" s="121">
        <f>(SUM(H19:H22)-SUM(H39:H43))+SUM(H62:H66)+G70</f>
        <v>-9742889.1531084273</v>
      </c>
      <c r="I70" s="121">
        <f t="shared" si="40"/>
        <v>-10741412.457580555</v>
      </c>
      <c r="J70" s="121">
        <f t="shared" si="40"/>
        <v>-11924993.855571214</v>
      </c>
      <c r="K70" s="121">
        <f t="shared" si="40"/>
        <v>-12364183.765101537</v>
      </c>
      <c r="L70" s="121">
        <f t="shared" si="40"/>
        <v>-12845088.560535492</v>
      </c>
      <c r="M70" s="121">
        <f t="shared" si="40"/>
        <v>-12351975.420682941</v>
      </c>
      <c r="N70" s="121">
        <f t="shared" si="40"/>
        <v>-14554645.86914961</v>
      </c>
      <c r="O70" s="121">
        <f t="shared" si="40"/>
        <v>-16292486.270306952</v>
      </c>
      <c r="P70" s="121">
        <f t="shared" si="40"/>
        <v>-15593242.654405391</v>
      </c>
      <c r="Q70" s="121">
        <f t="shared" si="40"/>
        <v>-14614846.499662824</v>
      </c>
      <c r="R70" s="121">
        <f t="shared" si="40"/>
        <v>-12926583.314166619</v>
      </c>
      <c r="S70" s="121">
        <f t="shared" si="40"/>
        <v>-11481175.629197981</v>
      </c>
      <c r="T70" s="121">
        <f t="shared" si="40"/>
        <v>-10532089.470885543</v>
      </c>
      <c r="U70" s="121">
        <f t="shared" si="40"/>
        <v>-10490064.863312488</v>
      </c>
      <c r="V70" s="121">
        <f t="shared" si="40"/>
        <v>-9629809.8658373374</v>
      </c>
      <c r="W70" s="118">
        <f t="shared" si="40"/>
        <v>-8505293.6137517635</v>
      </c>
      <c r="X70" s="121">
        <f t="shared" ref="X70" si="41">(SUM(X19:X22)-SUM(X39:X43))+SUM(X62:X66)+W70</f>
        <v>-7561543.8918470759</v>
      </c>
      <c r="Y70" s="121">
        <f t="shared" ref="Y70" si="42">(SUM(Y19:Y22)-SUM(Y39:Y43))+SUM(Y62:Y66)+X70</f>
        <v>-7621438.2274281802</v>
      </c>
      <c r="Z70" s="121">
        <f t="shared" ref="Z70:AH70" si="43">(SUM(Z19:Z22)-SUM(Z39:Z43))+SUM(Z62:Z66)+Y70</f>
        <v>-9037394.8183924872</v>
      </c>
      <c r="AA70" s="121">
        <f t="shared" si="43"/>
        <v>-13282415.753745232</v>
      </c>
      <c r="AB70" s="121">
        <f t="shared" si="43"/>
        <v>-15615795.976834102</v>
      </c>
      <c r="AC70" s="121">
        <f t="shared" si="43"/>
        <v>-15836589.759459198</v>
      </c>
      <c r="AD70" s="121">
        <f t="shared" si="43"/>
        <v>-14971443.781694803</v>
      </c>
      <c r="AE70" s="121">
        <f t="shared" si="43"/>
        <v>-16211780.349712659</v>
      </c>
      <c r="AF70" s="121">
        <f t="shared" si="43"/>
        <v>-17221303.283057865</v>
      </c>
      <c r="AG70" s="121">
        <f t="shared" si="43"/>
        <v>-16925124.362516217</v>
      </c>
      <c r="AH70" s="121">
        <f t="shared" si="43"/>
        <v>-17906227.159565669</v>
      </c>
      <c r="AI70" s="121">
        <f>(SUM(AI19:AI22)-SUM(AI39:AI43))+SUM(AI62:AI66)+AH70</f>
        <v>-17497837.712493174</v>
      </c>
      <c r="AJ70" s="121">
        <f t="shared" ref="AJ70:AT70" si="44">(SUM(AJ19:AJ22)-SUM(AJ39:AJ43))+SUM(AJ62:AJ66)+AI70</f>
        <v>-14699256.907433249</v>
      </c>
      <c r="AK70" s="121">
        <f t="shared" si="44"/>
        <v>-6491289.7011165582</v>
      </c>
      <c r="AL70" s="121">
        <f t="shared" si="44"/>
        <v>-8299808.0255638184</v>
      </c>
      <c r="AM70" s="121">
        <f t="shared" si="44"/>
        <v>-9271999.9186823238</v>
      </c>
      <c r="AN70" s="121">
        <f t="shared" si="44"/>
        <v>-8115134.9840994012</v>
      </c>
      <c r="AO70" s="121">
        <f t="shared" si="44"/>
        <v>-7353459.3066756427</v>
      </c>
      <c r="AP70" s="121">
        <f t="shared" si="44"/>
        <v>-6578549.7357303724</v>
      </c>
      <c r="AQ70" s="121">
        <f t="shared" si="44"/>
        <v>-5400734.7477410939</v>
      </c>
      <c r="AR70" s="121">
        <f t="shared" si="44"/>
        <v>-4055025.4485291839</v>
      </c>
      <c r="AS70" s="121">
        <f t="shared" si="44"/>
        <v>-2694307.8022667579</v>
      </c>
      <c r="AT70" s="121">
        <f t="shared" si="44"/>
        <v>-1437161.9283221066</v>
      </c>
      <c r="AU70" s="121">
        <f t="shared" ref="AU70" si="45">(SUM(AU19:AU22)-SUM(AU39:AU43))+SUM(AU62:AU66)+AT70</f>
        <v>-489612.83946295164</v>
      </c>
      <c r="AV70" s="117">
        <f>(SUM(AV19:AV22)-SUM(AV39:AV43))+SUM(AV62:AV66)+AU70</f>
        <v>338207.01177368837</v>
      </c>
      <c r="AW70" s="121">
        <f t="shared" si="40"/>
        <v>1475498.3787754746</v>
      </c>
      <c r="AX70" s="122">
        <f t="shared" si="40"/>
        <v>2909667.0196592584</v>
      </c>
    </row>
    <row r="71" spans="1:50" x14ac:dyDescent="0.25">
      <c r="A71" s="76" t="s">
        <v>78</v>
      </c>
      <c r="B71" s="106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4"/>
      <c r="AW71" s="105"/>
      <c r="AX71" s="108"/>
    </row>
    <row r="72" spans="1:50" ht="15.75" thickBot="1" x14ac:dyDescent="0.3">
      <c r="A72" s="110">
        <v>0</v>
      </c>
      <c r="B72" s="163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3"/>
      <c r="AW72" s="164"/>
      <c r="AX72" s="142"/>
    </row>
    <row r="73" spans="1:50" x14ac:dyDescent="0.25">
      <c r="B73" s="49"/>
    </row>
    <row r="74" spans="1:50" s="50" customFormat="1" x14ac:dyDescent="0.25">
      <c r="B74" s="177"/>
      <c r="C74" s="178"/>
      <c r="D74" s="178"/>
      <c r="E74" s="178"/>
      <c r="F74" s="178"/>
      <c r="G74" s="178"/>
      <c r="H74" s="178"/>
      <c r="I74" s="178"/>
      <c r="J74" s="178"/>
      <c r="K74" s="178"/>
      <c r="AO74" s="212"/>
      <c r="AP74" s="212"/>
      <c r="AQ74" s="213"/>
      <c r="AR74" s="213"/>
      <c r="AS74" s="213"/>
      <c r="AT74" s="213"/>
    </row>
    <row r="75" spans="1:50" s="50" customFormat="1" x14ac:dyDescent="0.25"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  <c r="AU75" s="178"/>
      <c r="AV75" s="179"/>
      <c r="AW75" s="179"/>
      <c r="AX75" s="179"/>
    </row>
    <row r="76" spans="1:50" s="50" customFormat="1" x14ac:dyDescent="0.25">
      <c r="C76" s="180"/>
      <c r="D76" s="180"/>
      <c r="E76" s="180"/>
      <c r="F76" s="180"/>
      <c r="G76" s="180"/>
      <c r="H76" s="180"/>
    </row>
    <row r="77" spans="1:50" s="50" customFormat="1" x14ac:dyDescent="0.25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</row>
    <row r="80" spans="1:50" x14ac:dyDescent="0.25">
      <c r="C80" s="56"/>
      <c r="D80" s="56"/>
      <c r="E80" s="56"/>
      <c r="F80" s="56"/>
      <c r="G80" s="56"/>
      <c r="H80" s="56"/>
    </row>
  </sheetData>
  <mergeCells count="1">
    <mergeCell ref="AV17:AX17"/>
  </mergeCells>
  <pageMargins left="0.7" right="0.7" top="0.75" bottom="0.75" header="0.3" footer="0.3"/>
  <pageSetup paperSize="5" scale="17" fitToHeight="0" orientation="landscape" r:id="rId1"/>
  <headerFooter scaleWithDoc="0">
    <oddFooter>&amp;R&amp;"Arial,Bold"&amp;12Schedule WRD-2, 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"/>
  <sheetViews>
    <sheetView tabSelected="1" workbookViewId="0">
      <selection activeCell="A16" sqref="A16"/>
    </sheetView>
  </sheetViews>
  <sheetFormatPr defaultRowHeight="15" x14ac:dyDescent="0.25"/>
  <cols>
    <col min="1" max="1" width="17.5703125" customWidth="1"/>
    <col min="2" max="2" width="23.7109375" customWidth="1"/>
    <col min="3" max="3" width="15.140625" customWidth="1"/>
    <col min="4" max="4" width="16.140625" customWidth="1"/>
    <col min="5" max="5" width="13.85546875" bestFit="1" customWidth="1"/>
  </cols>
  <sheetData>
    <row r="1" spans="1:10" x14ac:dyDescent="0.25">
      <c r="A1" s="8" t="s">
        <v>117</v>
      </c>
      <c r="D1" s="50"/>
    </row>
    <row r="2" spans="1:10" x14ac:dyDescent="0.25">
      <c r="B2" s="79" t="s">
        <v>64</v>
      </c>
      <c r="C2" s="79"/>
      <c r="E2" s="58" t="s">
        <v>27</v>
      </c>
      <c r="F2" s="50"/>
      <c r="G2" s="50"/>
      <c r="H2" s="50"/>
      <c r="I2" s="50"/>
      <c r="J2" s="50"/>
    </row>
    <row r="3" spans="1:10" x14ac:dyDescent="0.25">
      <c r="B3" s="6" t="s">
        <v>66</v>
      </c>
      <c r="E3" s="58" t="s">
        <v>65</v>
      </c>
      <c r="F3" s="50"/>
    </row>
    <row r="4" spans="1:10" x14ac:dyDescent="0.25">
      <c r="A4" s="22" t="s">
        <v>0</v>
      </c>
      <c r="B4" s="46">
        <v>7626247.7400000002</v>
      </c>
      <c r="C4" s="4"/>
      <c r="F4" s="50"/>
      <c r="G4" s="50"/>
      <c r="H4" s="50"/>
      <c r="I4" s="50"/>
      <c r="J4" s="50"/>
    </row>
    <row r="5" spans="1:10" x14ac:dyDescent="0.25">
      <c r="A5" s="22" t="s">
        <v>4</v>
      </c>
      <c r="B5" s="46">
        <v>1071820.81</v>
      </c>
      <c r="E5" s="3"/>
    </row>
    <row r="6" spans="1:10" x14ac:dyDescent="0.25">
      <c r="A6" s="22" t="s">
        <v>5</v>
      </c>
      <c r="B6" s="46">
        <v>3354804.41</v>
      </c>
      <c r="C6" s="4"/>
      <c r="E6" s="3"/>
    </row>
    <row r="7" spans="1:10" x14ac:dyDescent="0.25">
      <c r="A7" s="22" t="s">
        <v>6</v>
      </c>
      <c r="B7" s="46">
        <v>1217761.8</v>
      </c>
      <c r="C7" s="4"/>
    </row>
    <row r="8" spans="1:10" ht="15.75" thickBot="1" x14ac:dyDescent="0.3">
      <c r="A8" s="22" t="s">
        <v>7</v>
      </c>
      <c r="B8" s="46">
        <v>672332.54</v>
      </c>
      <c r="C8" s="4"/>
    </row>
    <row r="9" spans="1:10" ht="16.5" thickTop="1" thickBot="1" x14ac:dyDescent="0.3">
      <c r="A9" s="77" t="s">
        <v>9</v>
      </c>
      <c r="B9" s="71">
        <f>SUM(B4:B8)</f>
        <v>13942967.300000001</v>
      </c>
      <c r="C9" s="4"/>
    </row>
    <row r="10" spans="1:10" ht="15.75" thickTop="1" x14ac:dyDescent="0.25">
      <c r="C10" s="4"/>
      <c r="D10" s="56"/>
    </row>
    <row r="11" spans="1:10" x14ac:dyDescent="0.25">
      <c r="C11" s="4"/>
    </row>
    <row r="12" spans="1:10" x14ac:dyDescent="0.25">
      <c r="C12" s="4"/>
      <c r="D12" s="4"/>
    </row>
    <row r="13" spans="1:10" x14ac:dyDescent="0.25">
      <c r="D13" s="4"/>
    </row>
    <row r="17" spans="5:27" x14ac:dyDescent="0.25">
      <c r="R17" s="1"/>
      <c r="S17" s="1"/>
      <c r="T17" s="1"/>
      <c r="U17" s="1"/>
      <c r="V17" s="1"/>
      <c r="W17" s="1"/>
      <c r="X17" s="1"/>
      <c r="Y17" s="1"/>
      <c r="Z17" s="1"/>
      <c r="AA17" s="1"/>
    </row>
    <row r="25" spans="5:27" x14ac:dyDescent="0.25">
      <c r="E25" s="59"/>
    </row>
    <row r="47" spans="2:2" x14ac:dyDescent="0.25">
      <c r="B47" s="7"/>
    </row>
    <row r="51" spans="2:4" x14ac:dyDescent="0.25">
      <c r="B51" s="7"/>
      <c r="D51" s="7"/>
    </row>
    <row r="52" spans="2:4" x14ac:dyDescent="0.25">
      <c r="C52" s="7"/>
    </row>
    <row r="55" spans="2:4" x14ac:dyDescent="0.25">
      <c r="D55" s="7"/>
    </row>
    <row r="56" spans="2:4" x14ac:dyDescent="0.25">
      <c r="C56" s="7"/>
    </row>
  </sheetData>
  <pageMargins left="0.7" right="0.7" top="0.75" bottom="0.75" header="0.3" footer="0.3"/>
  <pageSetup paperSize="5" fitToHeight="0" orientation="landscape" r:id="rId1"/>
  <headerFooter scaleWithDoc="0">
    <oddFooter>&amp;R&amp;"Arial,Bold"&amp;12Schedule WRD-2,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9"/>
  <sheetViews>
    <sheetView tabSelected="1" zoomScaleNormal="100" workbookViewId="0">
      <selection activeCell="A16" sqref="A16"/>
    </sheetView>
  </sheetViews>
  <sheetFormatPr defaultRowHeight="15" x14ac:dyDescent="0.25"/>
  <cols>
    <col min="1" max="1" width="17.5703125" style="76" customWidth="1"/>
    <col min="2" max="2" width="15.140625" style="76" customWidth="1"/>
    <col min="3" max="3" width="14.5703125" style="76" customWidth="1"/>
    <col min="4" max="4" width="15.140625" style="76" customWidth="1"/>
    <col min="5" max="5" width="16.140625" style="76" customWidth="1"/>
    <col min="6" max="6" width="14.28515625" style="76" bestFit="1" customWidth="1"/>
    <col min="7" max="7" width="16" style="76" customWidth="1"/>
    <col min="8" max="9" width="14.28515625" style="76" bestFit="1" customWidth="1"/>
    <col min="10" max="10" width="15.5703125" style="76" customWidth="1"/>
    <col min="11" max="11" width="14" style="76" customWidth="1"/>
    <col min="12" max="15" width="17.28515625" style="76" customWidth="1"/>
    <col min="16" max="16384" width="9.140625" style="76"/>
  </cols>
  <sheetData>
    <row r="2" spans="1:13" x14ac:dyDescent="0.25">
      <c r="B2" s="260" t="s">
        <v>141</v>
      </c>
      <c r="H2" s="3" t="s">
        <v>27</v>
      </c>
    </row>
    <row r="3" spans="1:13" x14ac:dyDescent="0.25">
      <c r="B3" s="89" t="s">
        <v>68</v>
      </c>
      <c r="C3" s="89" t="s">
        <v>81</v>
      </c>
      <c r="D3" s="259" t="s">
        <v>99</v>
      </c>
      <c r="E3" s="89" t="s">
        <v>69</v>
      </c>
      <c r="F3" s="89" t="s">
        <v>70</v>
      </c>
      <c r="H3" s="58" t="s">
        <v>98</v>
      </c>
      <c r="I3" s="50"/>
      <c r="J3" s="50"/>
    </row>
    <row r="4" spans="1:13" x14ac:dyDescent="0.25">
      <c r="A4" s="77" t="s">
        <v>0</v>
      </c>
      <c r="B4" s="24">
        <f>SUM(B26:N26)</f>
        <v>1788678.2403000002</v>
      </c>
      <c r="C4" s="24">
        <f>SUM(B19:N19)</f>
        <v>2369554.4779942208</v>
      </c>
      <c r="D4" s="24">
        <f>C4-B4</f>
        <v>580876.23769422062</v>
      </c>
      <c r="E4" s="24">
        <f>SUM(B50:N50)</f>
        <v>1525.9176386766587</v>
      </c>
      <c r="F4" s="42">
        <f>D4+E4</f>
        <v>582402.15533289732</v>
      </c>
      <c r="H4" s="3" t="s">
        <v>136</v>
      </c>
      <c r="I4" s="50"/>
      <c r="J4" s="50"/>
    </row>
    <row r="5" spans="1:13" x14ac:dyDescent="0.25">
      <c r="A5" s="77" t="s">
        <v>4</v>
      </c>
      <c r="B5" s="24">
        <f>SUM(B27:N27)</f>
        <v>107831.00107499999</v>
      </c>
      <c r="C5" s="24">
        <f>SUM(B20:N20)</f>
        <v>181007.07091369634</v>
      </c>
      <c r="D5" s="24">
        <f>C5-B5</f>
        <v>73176.069838696349</v>
      </c>
      <c r="E5" s="24">
        <f>SUM(B51:N51)</f>
        <v>78.691291251068463</v>
      </c>
      <c r="F5" s="42">
        <f t="shared" ref="F5:F8" si="0">D5+E5</f>
        <v>73254.761129947423</v>
      </c>
      <c r="H5" s="58" t="s">
        <v>137</v>
      </c>
      <c r="I5" s="50"/>
      <c r="J5" s="50"/>
    </row>
    <row r="6" spans="1:13" x14ac:dyDescent="0.25">
      <c r="A6" s="77" t="s">
        <v>5</v>
      </c>
      <c r="B6" s="24">
        <f>SUM(B28:N28)</f>
        <v>342903.92242199997</v>
      </c>
      <c r="C6" s="24">
        <f>SUM(B21:N21)</f>
        <v>425612.97818589013</v>
      </c>
      <c r="D6" s="24">
        <f>C6-B6</f>
        <v>82709.055763890152</v>
      </c>
      <c r="E6" s="24">
        <f>SUM(B52:N52)</f>
        <v>-124.20097129123553</v>
      </c>
      <c r="F6" s="42">
        <f t="shared" si="0"/>
        <v>82584.854792598911</v>
      </c>
      <c r="H6" s="58" t="s">
        <v>138</v>
      </c>
      <c r="I6" s="50"/>
      <c r="J6" s="50"/>
    </row>
    <row r="7" spans="1:13" x14ac:dyDescent="0.25">
      <c r="A7" s="77" t="s">
        <v>6</v>
      </c>
      <c r="B7" s="24">
        <f>SUM(B29:N29)</f>
        <v>143030.05662399996</v>
      </c>
      <c r="C7" s="24">
        <f>SUM(B22:N22)</f>
        <v>71531.88886720936</v>
      </c>
      <c r="D7" s="24">
        <f>C7-B7</f>
        <v>-71498.167756790601</v>
      </c>
      <c r="E7" s="24">
        <f>SUM(B53:N53)</f>
        <v>-306.15982370545379</v>
      </c>
      <c r="F7" s="42">
        <f t="shared" si="0"/>
        <v>-71804.327580496058</v>
      </c>
      <c r="H7" s="58" t="s">
        <v>87</v>
      </c>
      <c r="I7" s="50"/>
      <c r="J7" s="50"/>
    </row>
    <row r="8" spans="1:13" ht="15.75" thickBot="1" x14ac:dyDescent="0.3">
      <c r="A8" s="77" t="s">
        <v>7</v>
      </c>
      <c r="B8" s="24">
        <f>SUM(B30:N30)</f>
        <v>69547.526740000001</v>
      </c>
      <c r="C8" s="24">
        <f>SUM(B23:N23)</f>
        <v>37669.834038983507</v>
      </c>
      <c r="D8" s="24">
        <f>C8-B8</f>
        <v>-31877.692701016495</v>
      </c>
      <c r="E8" s="24">
        <f>SUM(B54:N54)</f>
        <v>-139.80237308158109</v>
      </c>
      <c r="F8" s="42">
        <f t="shared" si="0"/>
        <v>-32017.495074098075</v>
      </c>
      <c r="H8" s="58" t="s">
        <v>134</v>
      </c>
    </row>
    <row r="9" spans="1:13" ht="16.5" thickTop="1" thickBot="1" x14ac:dyDescent="0.3">
      <c r="B9" s="91">
        <f t="shared" ref="B9:F9" si="1">SUM(B4:B8)</f>
        <v>2451990.7471610005</v>
      </c>
      <c r="C9" s="91">
        <f t="shared" si="1"/>
        <v>3085376.25</v>
      </c>
      <c r="D9" s="91">
        <f t="shared" si="1"/>
        <v>633385.50283899996</v>
      </c>
      <c r="E9" s="91">
        <f t="shared" si="1"/>
        <v>1034.4457618494566</v>
      </c>
      <c r="F9" s="91">
        <f t="shared" si="1"/>
        <v>634419.94860084937</v>
      </c>
      <c r="H9" s="58"/>
    </row>
    <row r="10" spans="1:13" ht="16.5" thickTop="1" thickBot="1" x14ac:dyDescent="0.3">
      <c r="D10" s="39" t="s">
        <v>26</v>
      </c>
      <c r="E10" s="21">
        <f>E9-SUM(B33:N33)</f>
        <v>5.7618494565758738E-3</v>
      </c>
      <c r="I10" s="50"/>
      <c r="J10" s="50"/>
    </row>
    <row r="11" spans="1:13" ht="15.75" thickTop="1" x14ac:dyDescent="0.25">
      <c r="D11" s="4"/>
      <c r="E11" s="4"/>
    </row>
    <row r="12" spans="1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ht="15.75" thickBot="1" x14ac:dyDescent="0.3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25" ht="15.75" thickBot="1" x14ac:dyDescent="0.3">
      <c r="B17" s="92"/>
      <c r="C17" s="93"/>
      <c r="D17" s="94" t="s">
        <v>97</v>
      </c>
      <c r="E17" s="93"/>
      <c r="F17" s="93"/>
      <c r="G17" s="93"/>
      <c r="H17" s="93"/>
      <c r="I17" s="93"/>
      <c r="J17" s="93"/>
      <c r="K17" s="93"/>
      <c r="L17" s="293" t="s">
        <v>71</v>
      </c>
      <c r="M17" s="294"/>
      <c r="N17" s="295"/>
    </row>
    <row r="18" spans="1:25" x14ac:dyDescent="0.25">
      <c r="A18" s="76" t="s">
        <v>79</v>
      </c>
      <c r="B18" s="95">
        <v>42370</v>
      </c>
      <c r="C18" s="96">
        <f>EDATE(B18,1)</f>
        <v>42401</v>
      </c>
      <c r="D18" s="96">
        <f t="shared" ref="D18:N18" si="2">EDATE(C18,1)</f>
        <v>42430</v>
      </c>
      <c r="E18" s="96">
        <f t="shared" si="2"/>
        <v>42461</v>
      </c>
      <c r="F18" s="96">
        <f t="shared" si="2"/>
        <v>42491</v>
      </c>
      <c r="G18" s="96">
        <f t="shared" si="2"/>
        <v>42522</v>
      </c>
      <c r="H18" s="96">
        <f t="shared" si="2"/>
        <v>42552</v>
      </c>
      <c r="I18" s="96">
        <f t="shared" si="2"/>
        <v>42583</v>
      </c>
      <c r="J18" s="96">
        <f t="shared" si="2"/>
        <v>42614</v>
      </c>
      <c r="K18" s="96">
        <f t="shared" si="2"/>
        <v>42644</v>
      </c>
      <c r="L18" s="95">
        <f>EDATE(K18,1)</f>
        <v>42675</v>
      </c>
      <c r="M18" s="96">
        <f t="shared" si="2"/>
        <v>42705</v>
      </c>
      <c r="N18" s="97">
        <f t="shared" si="2"/>
        <v>42736</v>
      </c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76" t="s">
        <v>0</v>
      </c>
      <c r="B19" s="98">
        <v>0</v>
      </c>
      <c r="C19" s="99">
        <v>0</v>
      </c>
      <c r="D19" s="99">
        <v>0</v>
      </c>
      <c r="E19" s="99">
        <v>1328.78</v>
      </c>
      <c r="F19" s="99">
        <v>9526.5300000000007</v>
      </c>
      <c r="G19" s="283">
        <v>120352.88</v>
      </c>
      <c r="H19" s="99">
        <v>256080.65000000002</v>
      </c>
      <c r="I19" s="99">
        <v>373393.34435846674</v>
      </c>
      <c r="J19" s="99">
        <v>671736.21363575384</v>
      </c>
      <c r="K19" s="99">
        <v>120839.85</v>
      </c>
      <c r="L19" s="281">
        <v>182499.96</v>
      </c>
      <c r="M19" s="280">
        <v>302372.28000000003</v>
      </c>
      <c r="N19" s="282">
        <v>331423.99</v>
      </c>
      <c r="O19" s="50"/>
    </row>
    <row r="20" spans="1:25" x14ac:dyDescent="0.25">
      <c r="A20" s="76" t="s">
        <v>4</v>
      </c>
      <c r="B20" s="98">
        <v>0</v>
      </c>
      <c r="C20" s="99">
        <v>0</v>
      </c>
      <c r="D20" s="99">
        <v>0</v>
      </c>
      <c r="E20" s="99">
        <v>0</v>
      </c>
      <c r="F20" s="99">
        <v>0</v>
      </c>
      <c r="G20" s="283">
        <v>4167.9399999999996</v>
      </c>
      <c r="H20" s="99">
        <v>13357.940000000002</v>
      </c>
      <c r="I20" s="99">
        <v>14670.985238775314</v>
      </c>
      <c r="J20" s="99">
        <v>22602.465674921033</v>
      </c>
      <c r="K20" s="99">
        <v>23670.86</v>
      </c>
      <c r="L20" s="281">
        <v>26488.82</v>
      </c>
      <c r="M20" s="280">
        <v>34203.56</v>
      </c>
      <c r="N20" s="282">
        <v>41844.5</v>
      </c>
      <c r="O20" s="50"/>
    </row>
    <row r="21" spans="1:25" x14ac:dyDescent="0.25">
      <c r="A21" s="76" t="s">
        <v>5</v>
      </c>
      <c r="B21" s="98">
        <v>0</v>
      </c>
      <c r="C21" s="99">
        <v>0</v>
      </c>
      <c r="D21" s="99">
        <v>0</v>
      </c>
      <c r="E21" s="99">
        <v>0</v>
      </c>
      <c r="F21" s="99">
        <v>0</v>
      </c>
      <c r="G21" s="283">
        <v>6853.38</v>
      </c>
      <c r="H21" s="99">
        <v>24493.5</v>
      </c>
      <c r="I21" s="99">
        <v>33902.946879751129</v>
      </c>
      <c r="J21" s="99">
        <v>57130.941306139037</v>
      </c>
      <c r="K21" s="99">
        <v>48568.43</v>
      </c>
      <c r="L21" s="281">
        <v>57697.24</v>
      </c>
      <c r="M21" s="280">
        <v>85525.88</v>
      </c>
      <c r="N21" s="282">
        <v>111440.66</v>
      </c>
      <c r="O21" s="50"/>
    </row>
    <row r="22" spans="1:25" x14ac:dyDescent="0.25">
      <c r="A22" s="76" t="s">
        <v>6</v>
      </c>
      <c r="B22" s="98">
        <v>0</v>
      </c>
      <c r="C22" s="99">
        <v>0</v>
      </c>
      <c r="D22" s="99">
        <v>0</v>
      </c>
      <c r="E22" s="99">
        <v>0</v>
      </c>
      <c r="F22" s="99">
        <v>0</v>
      </c>
      <c r="G22" s="283">
        <v>526.23</v>
      </c>
      <c r="H22" s="99">
        <v>1707.2399999999998</v>
      </c>
      <c r="I22" s="99">
        <v>2230.0207254609436</v>
      </c>
      <c r="J22" s="99">
        <v>4794.6581417484167</v>
      </c>
      <c r="K22" s="99">
        <v>4373.8599999999997</v>
      </c>
      <c r="L22" s="281">
        <v>8655.43</v>
      </c>
      <c r="M22" s="280">
        <v>19458.29</v>
      </c>
      <c r="N22" s="282">
        <v>29786.16</v>
      </c>
      <c r="O22" s="50"/>
    </row>
    <row r="23" spans="1:25" x14ac:dyDescent="0.25">
      <c r="A23" s="76" t="s">
        <v>7</v>
      </c>
      <c r="B23" s="98">
        <v>0</v>
      </c>
      <c r="C23" s="99">
        <v>0</v>
      </c>
      <c r="D23" s="99">
        <v>0</v>
      </c>
      <c r="E23" s="99">
        <v>0</v>
      </c>
      <c r="F23" s="99">
        <v>0</v>
      </c>
      <c r="G23" s="283">
        <v>0</v>
      </c>
      <c r="H23" s="99">
        <v>360.22</v>
      </c>
      <c r="I23" s="99">
        <v>1356.5027975457876</v>
      </c>
      <c r="J23" s="99">
        <v>2255.3712414377201</v>
      </c>
      <c r="K23" s="99">
        <v>1897.72</v>
      </c>
      <c r="L23" s="281">
        <v>4624.66</v>
      </c>
      <c r="M23" s="280">
        <v>10635.41</v>
      </c>
      <c r="N23" s="282">
        <v>16539.95</v>
      </c>
      <c r="O23" s="50"/>
    </row>
    <row r="24" spans="1:25" x14ac:dyDescent="0.25">
      <c r="B24" s="104"/>
      <c r="C24" s="105"/>
      <c r="D24" s="105"/>
      <c r="E24" s="105"/>
      <c r="F24" s="105"/>
      <c r="G24" s="114"/>
      <c r="H24" s="105"/>
      <c r="I24" s="105"/>
      <c r="J24" s="105"/>
      <c r="K24" s="105"/>
      <c r="L24" s="106"/>
      <c r="M24" s="107"/>
      <c r="N24" s="108"/>
    </row>
    <row r="25" spans="1:25" x14ac:dyDescent="0.25">
      <c r="A25" s="76" t="s">
        <v>80</v>
      </c>
      <c r="B25" s="104"/>
      <c r="C25" s="105"/>
      <c r="D25" s="109" t="s">
        <v>72</v>
      </c>
      <c r="E25" s="105"/>
      <c r="F25" s="105"/>
      <c r="G25" s="114"/>
      <c r="H25" s="105"/>
      <c r="I25" s="105"/>
      <c r="J25" s="105"/>
      <c r="K25" s="105"/>
      <c r="L25" s="106"/>
      <c r="M25" s="107"/>
      <c r="N25" s="108"/>
      <c r="O25" s="123" t="s">
        <v>96</v>
      </c>
    </row>
    <row r="26" spans="1:25" x14ac:dyDescent="0.25">
      <c r="A26" s="76" t="s">
        <v>0</v>
      </c>
      <c r="B26" s="98">
        <v>0</v>
      </c>
      <c r="C26" s="99">
        <v>0</v>
      </c>
      <c r="D26" s="99">
        <v>0</v>
      </c>
      <c r="E26" s="99">
        <v>0</v>
      </c>
      <c r="F26" s="99">
        <v>12454.76</v>
      </c>
      <c r="G26" s="99">
        <v>191642.45</v>
      </c>
      <c r="H26" s="99">
        <v>257925.06</v>
      </c>
      <c r="I26" s="99">
        <v>258848.42</v>
      </c>
      <c r="J26" s="99">
        <v>234125.18</v>
      </c>
      <c r="K26" s="99">
        <v>166948.49</v>
      </c>
      <c r="L26" s="281">
        <f>+PCR!L32*TDR!$O$26</f>
        <v>152179.614428</v>
      </c>
      <c r="M26" s="280">
        <f>+PCR!M32*TDR!$O$26</f>
        <v>223929.491947</v>
      </c>
      <c r="N26" s="282">
        <f>+PCR!N32*TDR!$O$26</f>
        <v>290624.77392499999</v>
      </c>
      <c r="O26" s="111">
        <v>1.9100000000000001E-4</v>
      </c>
      <c r="P26" s="112"/>
    </row>
    <row r="27" spans="1:25" x14ac:dyDescent="0.25">
      <c r="A27" s="76" t="s">
        <v>4</v>
      </c>
      <c r="B27" s="98">
        <v>0</v>
      </c>
      <c r="C27" s="99">
        <v>0</v>
      </c>
      <c r="D27" s="99">
        <v>0</v>
      </c>
      <c r="E27" s="99">
        <v>0</v>
      </c>
      <c r="F27" s="99">
        <v>856.28</v>
      </c>
      <c r="G27" s="99">
        <v>12419.27</v>
      </c>
      <c r="H27" s="99">
        <v>14760.05</v>
      </c>
      <c r="I27" s="99">
        <v>14736.25</v>
      </c>
      <c r="J27" s="99">
        <v>14174.52</v>
      </c>
      <c r="K27" s="99">
        <v>12053.27</v>
      </c>
      <c r="L27" s="281">
        <f>+PCR!L33*TDR!$O$27</f>
        <v>10913.040990000001</v>
      </c>
      <c r="M27" s="280">
        <f>+PCR!M33*TDR!$O$27</f>
        <v>12869.471475</v>
      </c>
      <c r="N27" s="282">
        <f>+PCR!N33*TDR!$O$27</f>
        <v>15048.848610000001</v>
      </c>
      <c r="O27" s="111">
        <v>4.5000000000000003E-5</v>
      </c>
      <c r="P27" s="112"/>
    </row>
    <row r="28" spans="1:25" x14ac:dyDescent="0.25">
      <c r="A28" s="76" t="s">
        <v>5</v>
      </c>
      <c r="B28" s="98">
        <v>0</v>
      </c>
      <c r="C28" s="99">
        <v>0</v>
      </c>
      <c r="D28" s="99">
        <v>0</v>
      </c>
      <c r="E28" s="99">
        <v>0</v>
      </c>
      <c r="F28" s="99">
        <v>2460.2199999999998</v>
      </c>
      <c r="G28" s="99">
        <v>40611.43</v>
      </c>
      <c r="H28" s="99">
        <v>46133.34</v>
      </c>
      <c r="I28" s="99">
        <v>46227.56</v>
      </c>
      <c r="J28" s="99">
        <v>46423.360000000001</v>
      </c>
      <c r="K28" s="99">
        <v>40852.160000000003</v>
      </c>
      <c r="L28" s="281">
        <f>+PCR!L34*TDR!$O$28</f>
        <v>36993.965878000003</v>
      </c>
      <c r="M28" s="280">
        <f>+PCR!M34*TDR!$O$28</f>
        <v>39742.300638000001</v>
      </c>
      <c r="N28" s="282">
        <f>+PCR!N34*TDR!$O$28</f>
        <v>43459.585906</v>
      </c>
      <c r="O28" s="111">
        <v>6.2000000000000003E-5</v>
      </c>
      <c r="P28" s="112"/>
    </row>
    <row r="29" spans="1:25" x14ac:dyDescent="0.25">
      <c r="A29" s="76" t="s">
        <v>6</v>
      </c>
      <c r="B29" s="98">
        <v>0</v>
      </c>
      <c r="C29" s="99">
        <v>0</v>
      </c>
      <c r="D29" s="99">
        <v>0</v>
      </c>
      <c r="E29" s="99">
        <v>0</v>
      </c>
      <c r="F29" s="99">
        <v>1621.85</v>
      </c>
      <c r="G29" s="99">
        <v>15413.06</v>
      </c>
      <c r="H29" s="99">
        <v>19333.560000000001</v>
      </c>
      <c r="I29" s="99">
        <v>18858.009999999998</v>
      </c>
      <c r="J29" s="99">
        <v>20468.599999999999</v>
      </c>
      <c r="K29" s="99">
        <v>17365.72</v>
      </c>
      <c r="L29" s="281">
        <f>+PCR!L35*TDR!$O$29</f>
        <v>16331.679532</v>
      </c>
      <c r="M29" s="280">
        <f>+PCR!M35*TDR!$O$29</f>
        <v>16262.270656000001</v>
      </c>
      <c r="N29" s="282">
        <f>+PCR!N35*TDR!$O$29</f>
        <v>17375.306435999999</v>
      </c>
      <c r="O29" s="111">
        <v>6.2000000000000003E-5</v>
      </c>
      <c r="P29" s="112"/>
    </row>
    <row r="30" spans="1:25" x14ac:dyDescent="0.25">
      <c r="A30" s="76" t="s">
        <v>7</v>
      </c>
      <c r="B30" s="98">
        <v>0</v>
      </c>
      <c r="C30" s="99">
        <v>0</v>
      </c>
      <c r="D30" s="99">
        <v>0</v>
      </c>
      <c r="E30" s="99">
        <v>0</v>
      </c>
      <c r="F30" s="99"/>
      <c r="G30" s="99">
        <v>4867.8</v>
      </c>
      <c r="H30" s="99">
        <v>9528.7800000000007</v>
      </c>
      <c r="I30" s="99">
        <v>9622.07</v>
      </c>
      <c r="J30" s="99">
        <v>10571.65</v>
      </c>
      <c r="K30" s="99">
        <v>9276.2800000000007</v>
      </c>
      <c r="L30" s="281">
        <f>+PCR!L36*TDR!$O$30</f>
        <v>8794.8952800000006</v>
      </c>
      <c r="M30" s="280">
        <f>+PCR!M36*TDR!$O$30</f>
        <v>8272.2255000000005</v>
      </c>
      <c r="N30" s="282">
        <f>+PCR!N36*TDR!$O$30</f>
        <v>8613.8259600000001</v>
      </c>
      <c r="O30" s="111">
        <v>6.0000000000000002E-5</v>
      </c>
      <c r="P30" s="112"/>
    </row>
    <row r="31" spans="1:25" x14ac:dyDescent="0.25">
      <c r="B31" s="113"/>
      <c r="C31" s="114"/>
      <c r="D31" s="114"/>
      <c r="E31" s="114"/>
      <c r="F31" s="114"/>
      <c r="G31" s="114"/>
      <c r="H31" s="114"/>
      <c r="I31" s="114"/>
      <c r="J31" s="114"/>
      <c r="K31" s="114"/>
      <c r="L31" s="113"/>
      <c r="M31" s="114"/>
      <c r="N31" s="108"/>
      <c r="P31" s="4"/>
    </row>
    <row r="32" spans="1:25" x14ac:dyDescent="0.25">
      <c r="B32" s="113"/>
      <c r="C32" s="114"/>
      <c r="D32" s="109" t="s">
        <v>72</v>
      </c>
      <c r="E32" s="114"/>
      <c r="F32" s="114"/>
      <c r="G32" s="114"/>
      <c r="H32" s="114"/>
      <c r="I32" s="114"/>
      <c r="J32" s="114"/>
      <c r="K32" s="114"/>
      <c r="L32" s="113"/>
      <c r="M32" s="114"/>
      <c r="N32" s="119"/>
      <c r="O32" s="4"/>
    </row>
    <row r="33" spans="1:14" ht="15.75" thickBot="1" x14ac:dyDescent="0.3">
      <c r="A33" s="123" t="s">
        <v>95</v>
      </c>
      <c r="B33" s="124">
        <v>0</v>
      </c>
      <c r="C33" s="125">
        <v>0</v>
      </c>
      <c r="D33" s="125">
        <v>0</v>
      </c>
      <c r="E33" s="125">
        <v>0.83</v>
      </c>
      <c r="F33" s="125">
        <v>-4.12</v>
      </c>
      <c r="G33" s="284">
        <v>-72.86</v>
      </c>
      <c r="H33" s="125">
        <v>-100.31</v>
      </c>
      <c r="I33" s="125">
        <v>-72.75</v>
      </c>
      <c r="J33" s="125">
        <v>200.51</v>
      </c>
      <c r="K33" s="125">
        <v>172.02</v>
      </c>
      <c r="L33" s="101">
        <v>206.81</v>
      </c>
      <c r="M33" s="102">
        <v>302.68</v>
      </c>
      <c r="N33" s="204">
        <v>401.63</v>
      </c>
    </row>
    <row r="34" spans="1:14" x14ac:dyDescent="0.25">
      <c r="B34" s="19"/>
      <c r="C34" s="127"/>
      <c r="D34" s="127"/>
      <c r="E34" s="127"/>
      <c r="F34" s="127"/>
      <c r="G34" s="285"/>
      <c r="H34" s="127"/>
      <c r="I34" s="127"/>
      <c r="J34" s="127"/>
      <c r="K34" s="127"/>
      <c r="L34" s="19"/>
      <c r="M34" s="127"/>
      <c r="N34" s="128"/>
    </row>
    <row r="35" spans="1:14" x14ac:dyDescent="0.25">
      <c r="A35" s="76" t="s">
        <v>73</v>
      </c>
      <c r="B35" s="129"/>
      <c r="C35" s="51"/>
      <c r="D35" s="51"/>
      <c r="E35" s="51"/>
      <c r="F35" s="51"/>
      <c r="G35" s="286"/>
      <c r="H35" s="51"/>
      <c r="I35" s="51"/>
      <c r="J35" s="51"/>
      <c r="K35" s="52"/>
      <c r="L35" s="104"/>
      <c r="M35" s="105"/>
      <c r="N35" s="108"/>
    </row>
    <row r="36" spans="1:14" x14ac:dyDescent="0.25">
      <c r="A36" s="76" t="s">
        <v>0</v>
      </c>
      <c r="B36" s="117">
        <f>B19-B26</f>
        <v>0</v>
      </c>
      <c r="C36" s="121">
        <f t="shared" ref="C36:K36" si="3">C19-C26</f>
        <v>0</v>
      </c>
      <c r="D36" s="121">
        <f t="shared" si="3"/>
        <v>0</v>
      </c>
      <c r="E36" s="121">
        <f t="shared" si="3"/>
        <v>1328.78</v>
      </c>
      <c r="F36" s="121">
        <f>F19-F26</f>
        <v>-2928.2299999999996</v>
      </c>
      <c r="G36" s="144">
        <f>G19-G26</f>
        <v>-71289.570000000007</v>
      </c>
      <c r="H36" s="121">
        <f t="shared" si="3"/>
        <v>-1844.4099999999744</v>
      </c>
      <c r="I36" s="121">
        <f t="shared" si="3"/>
        <v>114544.92435846673</v>
      </c>
      <c r="J36" s="121">
        <f t="shared" si="3"/>
        <v>437611.03363575385</v>
      </c>
      <c r="K36" s="121">
        <f t="shared" si="3"/>
        <v>-46108.639999999985</v>
      </c>
      <c r="L36" s="117">
        <f t="shared" ref="L36:N36" si="4">L19-L26</f>
        <v>30320.345571999991</v>
      </c>
      <c r="M36" s="121">
        <f t="shared" si="4"/>
        <v>78442.788053000026</v>
      </c>
      <c r="N36" s="122">
        <f t="shared" si="4"/>
        <v>40799.216075000004</v>
      </c>
    </row>
    <row r="37" spans="1:14" x14ac:dyDescent="0.25">
      <c r="A37" s="76" t="s">
        <v>4</v>
      </c>
      <c r="B37" s="117">
        <f t="shared" ref="B37:K40" si="5">B20-B27</f>
        <v>0</v>
      </c>
      <c r="C37" s="121">
        <f t="shared" si="5"/>
        <v>0</v>
      </c>
      <c r="D37" s="121">
        <f t="shared" si="5"/>
        <v>0</v>
      </c>
      <c r="E37" s="121">
        <f t="shared" si="5"/>
        <v>0</v>
      </c>
      <c r="F37" s="121">
        <f t="shared" si="5"/>
        <v>-856.28</v>
      </c>
      <c r="G37" s="144">
        <f t="shared" si="5"/>
        <v>-8251.3300000000017</v>
      </c>
      <c r="H37" s="121">
        <f t="shared" si="5"/>
        <v>-1402.1099999999969</v>
      </c>
      <c r="I37" s="121">
        <f t="shared" si="5"/>
        <v>-65.264761224685572</v>
      </c>
      <c r="J37" s="121">
        <f t="shared" si="5"/>
        <v>8427.9456749210331</v>
      </c>
      <c r="K37" s="121">
        <f t="shared" si="5"/>
        <v>11617.59</v>
      </c>
      <c r="L37" s="117">
        <f t="shared" ref="L37:N37" si="6">L20-L27</f>
        <v>15575.779009999998</v>
      </c>
      <c r="M37" s="121">
        <f t="shared" si="6"/>
        <v>21334.088524999999</v>
      </c>
      <c r="N37" s="122">
        <f t="shared" si="6"/>
        <v>26795.651389999999</v>
      </c>
    </row>
    <row r="38" spans="1:14" x14ac:dyDescent="0.25">
      <c r="A38" s="76" t="s">
        <v>5</v>
      </c>
      <c r="B38" s="117">
        <f t="shared" si="5"/>
        <v>0</v>
      </c>
      <c r="C38" s="121">
        <f t="shared" si="5"/>
        <v>0</v>
      </c>
      <c r="D38" s="121">
        <f t="shared" si="5"/>
        <v>0</v>
      </c>
      <c r="E38" s="121">
        <f t="shared" si="5"/>
        <v>0</v>
      </c>
      <c r="F38" s="121">
        <f t="shared" si="5"/>
        <v>-2460.2199999999998</v>
      </c>
      <c r="G38" s="144">
        <f t="shared" si="5"/>
        <v>-33758.050000000003</v>
      </c>
      <c r="H38" s="121">
        <f t="shared" si="5"/>
        <v>-21639.839999999997</v>
      </c>
      <c r="I38" s="121">
        <f t="shared" si="5"/>
        <v>-12324.613120248869</v>
      </c>
      <c r="J38" s="121">
        <f t="shared" si="5"/>
        <v>10707.581306139036</v>
      </c>
      <c r="K38" s="121">
        <f t="shared" si="5"/>
        <v>7716.2699999999968</v>
      </c>
      <c r="L38" s="117">
        <f t="shared" ref="L38:N38" si="7">L21-L28</f>
        <v>20703.274121999995</v>
      </c>
      <c r="M38" s="121">
        <f t="shared" si="7"/>
        <v>45783.579362000004</v>
      </c>
      <c r="N38" s="122">
        <f t="shared" si="7"/>
        <v>67981.074094000011</v>
      </c>
    </row>
    <row r="39" spans="1:14" x14ac:dyDescent="0.25">
      <c r="A39" s="76" t="s">
        <v>6</v>
      </c>
      <c r="B39" s="117">
        <f t="shared" si="5"/>
        <v>0</v>
      </c>
      <c r="C39" s="121">
        <f t="shared" si="5"/>
        <v>0</v>
      </c>
      <c r="D39" s="121">
        <f t="shared" si="5"/>
        <v>0</v>
      </c>
      <c r="E39" s="121">
        <f t="shared" si="5"/>
        <v>0</v>
      </c>
      <c r="F39" s="121">
        <f t="shared" si="5"/>
        <v>-1621.85</v>
      </c>
      <c r="G39" s="144">
        <f t="shared" si="5"/>
        <v>-14886.83</v>
      </c>
      <c r="H39" s="121">
        <f t="shared" si="5"/>
        <v>-17626.32</v>
      </c>
      <c r="I39" s="121">
        <f t="shared" si="5"/>
        <v>-16627.989274539053</v>
      </c>
      <c r="J39" s="121">
        <f>J22-J29</f>
        <v>-15673.941858251583</v>
      </c>
      <c r="K39" s="121">
        <f t="shared" si="5"/>
        <v>-12991.86</v>
      </c>
      <c r="L39" s="117">
        <f t="shared" ref="L39:N39" si="8">L22-L29</f>
        <v>-7676.2495319999998</v>
      </c>
      <c r="M39" s="121">
        <f t="shared" si="8"/>
        <v>3196.0193440000003</v>
      </c>
      <c r="N39" s="122">
        <f t="shared" si="8"/>
        <v>12410.853564000001</v>
      </c>
    </row>
    <row r="40" spans="1:14" x14ac:dyDescent="0.25">
      <c r="A40" s="76" t="s">
        <v>7</v>
      </c>
      <c r="B40" s="117">
        <f t="shared" si="5"/>
        <v>0</v>
      </c>
      <c r="C40" s="121">
        <f t="shared" si="5"/>
        <v>0</v>
      </c>
      <c r="D40" s="121">
        <f t="shared" si="5"/>
        <v>0</v>
      </c>
      <c r="E40" s="121">
        <f t="shared" si="5"/>
        <v>0</v>
      </c>
      <c r="F40" s="121">
        <f t="shared" si="5"/>
        <v>0</v>
      </c>
      <c r="G40" s="144">
        <f t="shared" si="5"/>
        <v>-4867.8</v>
      </c>
      <c r="H40" s="121">
        <f t="shared" si="5"/>
        <v>-9168.5600000000013</v>
      </c>
      <c r="I40" s="121">
        <f t="shared" si="5"/>
        <v>-8265.5672024542127</v>
      </c>
      <c r="J40" s="121">
        <f t="shared" si="5"/>
        <v>-8316.2787585622791</v>
      </c>
      <c r="K40" s="121">
        <f t="shared" si="5"/>
        <v>-7378.56</v>
      </c>
      <c r="L40" s="117">
        <f t="shared" ref="L40:N40" si="9">L23-L30</f>
        <v>-4170.2352800000008</v>
      </c>
      <c r="M40" s="121">
        <f t="shared" si="9"/>
        <v>2363.1844999999994</v>
      </c>
      <c r="N40" s="122">
        <f t="shared" si="9"/>
        <v>7926.1240400000006</v>
      </c>
    </row>
    <row r="41" spans="1:14" x14ac:dyDescent="0.25">
      <c r="B41" s="104"/>
      <c r="C41" s="105"/>
      <c r="D41" s="105"/>
      <c r="E41" s="105"/>
      <c r="F41" s="107"/>
      <c r="G41" s="114"/>
      <c r="H41" s="105"/>
      <c r="I41" s="105"/>
      <c r="J41" s="105"/>
      <c r="K41" s="105"/>
      <c r="L41" s="104"/>
      <c r="M41" s="105"/>
      <c r="N41" s="108"/>
    </row>
    <row r="42" spans="1:14" x14ac:dyDescent="0.25">
      <c r="A42" s="76" t="s">
        <v>74</v>
      </c>
      <c r="B42" s="104"/>
      <c r="C42" s="105"/>
      <c r="D42" s="105"/>
      <c r="E42" s="105"/>
      <c r="F42" s="107"/>
      <c r="G42" s="114"/>
      <c r="H42" s="105"/>
      <c r="I42" s="105"/>
      <c r="J42" s="105"/>
      <c r="K42" s="105"/>
      <c r="L42" s="104"/>
      <c r="M42" s="105"/>
      <c r="N42" s="108"/>
    </row>
    <row r="43" spans="1:14" x14ac:dyDescent="0.25">
      <c r="A43" s="76" t="s">
        <v>0</v>
      </c>
      <c r="B43" s="117">
        <f>B36</f>
        <v>0</v>
      </c>
      <c r="C43" s="121">
        <f>B43+C36+B50</f>
        <v>0</v>
      </c>
      <c r="D43" s="121">
        <f t="shared" ref="D43:J43" si="10">C43+D36+C50</f>
        <v>0</v>
      </c>
      <c r="E43" s="121">
        <f t="shared" si="10"/>
        <v>1328.78</v>
      </c>
      <c r="F43" s="121">
        <f>E43+F36+E50</f>
        <v>-1598.6244190201496</v>
      </c>
      <c r="G43" s="144">
        <f t="shared" si="10"/>
        <v>-72889.201277973625</v>
      </c>
      <c r="H43" s="121">
        <f t="shared" si="10"/>
        <v>-74771.654703242617</v>
      </c>
      <c r="I43" s="121">
        <f t="shared" si="10"/>
        <v>39734.074166899532</v>
      </c>
      <c r="J43" s="121">
        <f t="shared" si="10"/>
        <v>477370.42390444461</v>
      </c>
      <c r="K43" s="121">
        <f>J43+K36+J50</f>
        <v>431562.31245481368</v>
      </c>
      <c r="L43" s="117">
        <f t="shared" ref="L43:N47" si="11">K43+L36+K50</f>
        <v>462156.04196269595</v>
      </c>
      <c r="M43" s="121">
        <f t="shared" si="11"/>
        <v>540891.59431437834</v>
      </c>
      <c r="N43" s="122">
        <f t="shared" si="11"/>
        <v>582033.45169208664</v>
      </c>
    </row>
    <row r="44" spans="1:14" x14ac:dyDescent="0.25">
      <c r="A44" s="76" t="s">
        <v>4</v>
      </c>
      <c r="B44" s="117">
        <f>B37</f>
        <v>0</v>
      </c>
      <c r="C44" s="121">
        <f t="shared" ref="C44:K47" si="12">B44+C37+B51</f>
        <v>0</v>
      </c>
      <c r="D44" s="121">
        <f t="shared" si="12"/>
        <v>0</v>
      </c>
      <c r="E44" s="121">
        <f t="shared" si="12"/>
        <v>0</v>
      </c>
      <c r="F44" s="121">
        <f t="shared" si="12"/>
        <v>-856.28</v>
      </c>
      <c r="G44" s="144">
        <f t="shared" si="12"/>
        <v>-9108.1493094052694</v>
      </c>
      <c r="H44" s="121">
        <f t="shared" si="12"/>
        <v>-10515.013171315071</v>
      </c>
      <c r="I44" s="121">
        <f t="shared" si="12"/>
        <v>-10585.789928731692</v>
      </c>
      <c r="J44" s="121">
        <f t="shared" si="12"/>
        <v>-2164.588866362868</v>
      </c>
      <c r="K44" s="121">
        <f t="shared" si="12"/>
        <v>9451.6384167163123</v>
      </c>
      <c r="L44" s="117">
        <f t="shared" si="11"/>
        <v>25033.40480336234</v>
      </c>
      <c r="M44" s="121">
        <f t="shared" si="11"/>
        <v>46383.351364470152</v>
      </c>
      <c r="N44" s="122">
        <f t="shared" si="11"/>
        <v>73208.385447975772</v>
      </c>
    </row>
    <row r="45" spans="1:14" x14ac:dyDescent="0.25">
      <c r="A45" s="76" t="s">
        <v>5</v>
      </c>
      <c r="B45" s="117">
        <f t="shared" ref="B45:B47" si="13">B38</f>
        <v>0</v>
      </c>
      <c r="C45" s="121">
        <f t="shared" si="12"/>
        <v>0</v>
      </c>
      <c r="D45" s="121">
        <f t="shared" si="12"/>
        <v>0</v>
      </c>
      <c r="E45" s="121">
        <f t="shared" si="12"/>
        <v>0</v>
      </c>
      <c r="F45" s="121">
        <f t="shared" si="12"/>
        <v>-2460.2199999999998</v>
      </c>
      <c r="G45" s="144">
        <f t="shared" si="12"/>
        <v>-36219.819516262236</v>
      </c>
      <c r="H45" s="121">
        <f t="shared" si="12"/>
        <v>-57878.563907761454</v>
      </c>
      <c r="I45" s="121">
        <f t="shared" si="12"/>
        <v>-70233.517115907176</v>
      </c>
      <c r="J45" s="121">
        <f t="shared" si="12"/>
        <v>-59570.684275807507</v>
      </c>
      <c r="K45" s="121">
        <f t="shared" si="12"/>
        <v>-51891.917000093345</v>
      </c>
      <c r="L45" s="117">
        <f t="shared" si="11"/>
        <v>-31221.515110214983</v>
      </c>
      <c r="M45" s="121">
        <f t="shared" si="11"/>
        <v>14542.286202500578</v>
      </c>
      <c r="N45" s="122">
        <f t="shared" si="11"/>
        <v>82532.572471252715</v>
      </c>
    </row>
    <row r="46" spans="1:14" x14ac:dyDescent="0.25">
      <c r="A46" s="76" t="s">
        <v>6</v>
      </c>
      <c r="B46" s="117">
        <f t="shared" si="13"/>
        <v>0</v>
      </c>
      <c r="C46" s="121">
        <f t="shared" si="12"/>
        <v>0</v>
      </c>
      <c r="D46" s="121">
        <f t="shared" si="12"/>
        <v>0</v>
      </c>
      <c r="E46" s="121">
        <f t="shared" si="12"/>
        <v>0</v>
      </c>
      <c r="F46" s="121">
        <f t="shared" si="12"/>
        <v>-1621.85</v>
      </c>
      <c r="G46" s="144">
        <f t="shared" si="12"/>
        <v>-16509.701487082417</v>
      </c>
      <c r="H46" s="121">
        <f t="shared" si="12"/>
        <v>-34144.638478128072</v>
      </c>
      <c r="I46" s="121">
        <f t="shared" si="12"/>
        <v>-50790.526457518958</v>
      </c>
      <c r="J46" s="121">
        <f t="shared" si="12"/>
        <v>-66496.828907146817</v>
      </c>
      <c r="K46" s="121">
        <f t="shared" si="12"/>
        <v>-79530.551985785307</v>
      </c>
      <c r="L46" s="117">
        <f t="shared" si="11"/>
        <v>-87257.1821342045</v>
      </c>
      <c r="M46" s="121">
        <f t="shared" si="11"/>
        <v>-84116.438033656959</v>
      </c>
      <c r="N46" s="122">
        <f t="shared" si="11"/>
        <v>-71758.870130240321</v>
      </c>
    </row>
    <row r="47" spans="1:14" x14ac:dyDescent="0.25">
      <c r="A47" s="76" t="s">
        <v>7</v>
      </c>
      <c r="B47" s="117">
        <f t="shared" si="13"/>
        <v>0</v>
      </c>
      <c r="C47" s="121">
        <f t="shared" si="12"/>
        <v>0</v>
      </c>
      <c r="D47" s="121">
        <f t="shared" si="12"/>
        <v>0</v>
      </c>
      <c r="E47" s="121">
        <f t="shared" si="12"/>
        <v>0</v>
      </c>
      <c r="F47" s="121">
        <f t="shared" si="12"/>
        <v>0</v>
      </c>
      <c r="G47" s="144">
        <f t="shared" si="12"/>
        <v>-4867.8</v>
      </c>
      <c r="H47" s="121">
        <f t="shared" si="12"/>
        <v>-14038.900675193001</v>
      </c>
      <c r="I47" s="121">
        <f t="shared" si="12"/>
        <v>-22311.827104478401</v>
      </c>
      <c r="J47" s="121">
        <f t="shared" si="12"/>
        <v>-30642.321583375648</v>
      </c>
      <c r="K47" s="121">
        <f t="shared" si="12"/>
        <v>-38040.172456928456</v>
      </c>
      <c r="L47" s="117">
        <f t="shared" si="11"/>
        <v>-42234.505235175609</v>
      </c>
      <c r="M47" s="121">
        <f t="shared" si="11"/>
        <v>-39898.075238379468</v>
      </c>
      <c r="N47" s="122">
        <f t="shared" si="11"/>
        <v>-31997.225631591096</v>
      </c>
    </row>
    <row r="48" spans="1:14" x14ac:dyDescent="0.25">
      <c r="B48" s="104"/>
      <c r="C48" s="105"/>
      <c r="D48" s="105"/>
      <c r="E48" s="105"/>
      <c r="F48" s="107"/>
      <c r="G48" s="114"/>
      <c r="H48" s="105"/>
      <c r="I48" s="105"/>
      <c r="J48" s="105"/>
      <c r="K48" s="105"/>
      <c r="L48" s="104"/>
      <c r="M48" s="105"/>
      <c r="N48" s="108"/>
    </row>
    <row r="49" spans="1:14" x14ac:dyDescent="0.25">
      <c r="A49" s="76" t="s">
        <v>69</v>
      </c>
      <c r="B49" s="130">
        <f>PCR!B61</f>
        <v>0</v>
      </c>
      <c r="C49" s="131">
        <f>PCR!C61</f>
        <v>0</v>
      </c>
      <c r="D49" s="131">
        <f>PCR!D61</f>
        <v>6.0997666666666656E-4</v>
      </c>
      <c r="E49" s="131">
        <f>PCR!E61</f>
        <v>6.2130750000000004E-4</v>
      </c>
      <c r="F49" s="131">
        <f>PCR!F61</f>
        <v>6.2982833333333329E-4</v>
      </c>
      <c r="G49" s="287">
        <f>PCR!G61</f>
        <v>5.2193500000000006E-4</v>
      </c>
      <c r="H49" s="131">
        <f>PCR!H61</f>
        <v>5.2420250000000004E-4</v>
      </c>
      <c r="I49" s="131">
        <f>PCR!I61</f>
        <v>6.3713833333333325E-4</v>
      </c>
      <c r="J49" s="131">
        <f>PCR!J61</f>
        <v>6.2954999999999999E-4</v>
      </c>
      <c r="K49" s="132">
        <f>PCR!K61</f>
        <v>6.3347499999999999E-4</v>
      </c>
      <c r="L49" s="276">
        <f>PCR!L61</f>
        <v>6.3347499999999999E-4</v>
      </c>
      <c r="M49" s="277">
        <f>PCR!M61</f>
        <v>6.3347499999999999E-4</v>
      </c>
      <c r="N49" s="278">
        <f>PCR!N61</f>
        <v>6.3347499999999999E-4</v>
      </c>
    </row>
    <row r="50" spans="1:14" x14ac:dyDescent="0.25">
      <c r="A50" s="76" t="s">
        <v>0</v>
      </c>
      <c r="B50" s="117">
        <f t="shared" ref="B50:K50" si="14">B43*B$49</f>
        <v>0</v>
      </c>
      <c r="C50" s="121">
        <f t="shared" si="14"/>
        <v>0</v>
      </c>
      <c r="D50" s="121">
        <f t="shared" si="14"/>
        <v>0</v>
      </c>
      <c r="E50" s="121">
        <f t="shared" si="14"/>
        <v>0.82558097985000001</v>
      </c>
      <c r="F50" s="121">
        <f t="shared" si="14"/>
        <v>-1.006858953457429</v>
      </c>
      <c r="G50" s="144">
        <f t="shared" si="14"/>
        <v>-38.043425269019167</v>
      </c>
      <c r="H50" s="121">
        <f t="shared" si="14"/>
        <v>-39.195488324576544</v>
      </c>
      <c r="I50" s="121">
        <f t="shared" si="14"/>
        <v>25.316101791241419</v>
      </c>
      <c r="J50" s="121">
        <f t="shared" si="14"/>
        <v>300.5285503690431</v>
      </c>
      <c r="K50" s="121">
        <f t="shared" si="14"/>
        <v>273.3839358823131</v>
      </c>
      <c r="L50" s="117">
        <f t="shared" ref="L50:N50" si="15">L43*L$49</f>
        <v>292.76429868231884</v>
      </c>
      <c r="M50" s="121">
        <f t="shared" si="15"/>
        <v>342.64130270830083</v>
      </c>
      <c r="N50" s="122">
        <f t="shared" si="15"/>
        <v>368.70364081064457</v>
      </c>
    </row>
    <row r="51" spans="1:14" x14ac:dyDescent="0.25">
      <c r="A51" s="76" t="s">
        <v>4</v>
      </c>
      <c r="B51" s="117">
        <f t="shared" ref="B51:K51" si="16">B44*B$49</f>
        <v>0</v>
      </c>
      <c r="C51" s="121">
        <f t="shared" si="16"/>
        <v>0</v>
      </c>
      <c r="D51" s="121">
        <f t="shared" si="16"/>
        <v>0</v>
      </c>
      <c r="E51" s="121">
        <f t="shared" si="16"/>
        <v>0</v>
      </c>
      <c r="F51" s="121">
        <f t="shared" si="16"/>
        <v>-0.5393094052666666</v>
      </c>
      <c r="G51" s="144">
        <f t="shared" si="16"/>
        <v>-4.7538619098044395</v>
      </c>
      <c r="H51" s="121">
        <f t="shared" si="16"/>
        <v>-5.511996191936289</v>
      </c>
      <c r="I51" s="121">
        <f t="shared" si="16"/>
        <v>-6.7446125522088947</v>
      </c>
      <c r="J51" s="121">
        <f t="shared" si="16"/>
        <v>-1.3627169208187435</v>
      </c>
      <c r="K51" s="121">
        <f t="shared" si="16"/>
        <v>5.9873766460293663</v>
      </c>
      <c r="L51" s="117">
        <f t="shared" ref="L51:N51" si="17">L44*L$49</f>
        <v>15.858036107809959</v>
      </c>
      <c r="M51" s="121">
        <f t="shared" si="17"/>
        <v>29.38269350560773</v>
      </c>
      <c r="N51" s="122">
        <f t="shared" si="17"/>
        <v>46.375681971656448</v>
      </c>
    </row>
    <row r="52" spans="1:14" x14ac:dyDescent="0.25">
      <c r="A52" s="76" t="s">
        <v>5</v>
      </c>
      <c r="B52" s="117">
        <f t="shared" ref="B52:K52" si="18">B45*B$49</f>
        <v>0</v>
      </c>
      <c r="C52" s="121">
        <f t="shared" si="18"/>
        <v>0</v>
      </c>
      <c r="D52" s="121">
        <f t="shared" si="18"/>
        <v>0</v>
      </c>
      <c r="E52" s="121">
        <f t="shared" si="18"/>
        <v>0</v>
      </c>
      <c r="F52" s="121">
        <f t="shared" si="18"/>
        <v>-1.5495162622333332</v>
      </c>
      <c r="G52" s="144">
        <f t="shared" si="18"/>
        <v>-18.904391499220331</v>
      </c>
      <c r="H52" s="121">
        <f t="shared" si="18"/>
        <v>-30.340087896858325</v>
      </c>
      <c r="I52" s="121">
        <f t="shared" si="18"/>
        <v>-44.74846603936723</v>
      </c>
      <c r="J52" s="121">
        <f t="shared" si="18"/>
        <v>-37.502724285834617</v>
      </c>
      <c r="K52" s="121">
        <f t="shared" si="18"/>
        <v>-32.872232121634134</v>
      </c>
      <c r="L52" s="117">
        <f t="shared" ref="L52:N52" si="19">L45*L$49</f>
        <v>-19.778049284443437</v>
      </c>
      <c r="M52" s="121">
        <f t="shared" si="19"/>
        <v>9.2121747521290533</v>
      </c>
      <c r="N52" s="122">
        <f t="shared" si="19"/>
        <v>52.282321346226816</v>
      </c>
    </row>
    <row r="53" spans="1:14" x14ac:dyDescent="0.25">
      <c r="A53" s="76" t="s">
        <v>6</v>
      </c>
      <c r="B53" s="117">
        <f t="shared" ref="B53:K53" si="20">B46*B$49</f>
        <v>0</v>
      </c>
      <c r="C53" s="121">
        <f t="shared" si="20"/>
        <v>0</v>
      </c>
      <c r="D53" s="121">
        <f t="shared" si="20"/>
        <v>0</v>
      </c>
      <c r="E53" s="121">
        <f t="shared" si="20"/>
        <v>0</v>
      </c>
      <c r="F53" s="121">
        <f t="shared" si="20"/>
        <v>-1.0214870824166666</v>
      </c>
      <c r="G53" s="144">
        <f t="shared" si="20"/>
        <v>-8.6169910456603631</v>
      </c>
      <c r="H53" s="121">
        <f t="shared" si="20"/>
        <v>-17.898704851830932</v>
      </c>
      <c r="I53" s="121">
        <f t="shared" si="20"/>
        <v>-32.360591376266193</v>
      </c>
      <c r="J53" s="121">
        <f>J46*J$49</f>
        <v>-41.863078638494279</v>
      </c>
      <c r="K53" s="121">
        <f t="shared" si="20"/>
        <v>-50.380616419195348</v>
      </c>
      <c r="L53" s="117">
        <f t="shared" ref="L53:N53" si="21">L46*L$49</f>
        <v>-55.275243452465197</v>
      </c>
      <c r="M53" s="121">
        <f t="shared" si="21"/>
        <v>-53.285660583370841</v>
      </c>
      <c r="N53" s="122">
        <f t="shared" si="21"/>
        <v>-45.457450255753983</v>
      </c>
    </row>
    <row r="54" spans="1:14" ht="15.75" thickBot="1" x14ac:dyDescent="0.3">
      <c r="A54" s="76" t="s">
        <v>7</v>
      </c>
      <c r="B54" s="117">
        <f t="shared" ref="B54:K54" si="22">B47*B$49</f>
        <v>0</v>
      </c>
      <c r="C54" s="121">
        <f t="shared" si="22"/>
        <v>0</v>
      </c>
      <c r="D54" s="121">
        <f t="shared" si="22"/>
        <v>0</v>
      </c>
      <c r="E54" s="121">
        <f t="shared" si="22"/>
        <v>0</v>
      </c>
      <c r="F54" s="121">
        <f t="shared" si="22"/>
        <v>0</v>
      </c>
      <c r="G54" s="144">
        <f t="shared" si="22"/>
        <v>-2.5406751930000002</v>
      </c>
      <c r="H54" s="121">
        <f t="shared" si="22"/>
        <v>-7.3592268311878595</v>
      </c>
      <c r="I54" s="121">
        <f t="shared" si="22"/>
        <v>-14.215720334968859</v>
      </c>
      <c r="J54" s="121">
        <f t="shared" si="22"/>
        <v>-19.290873552814137</v>
      </c>
      <c r="K54" s="121">
        <f t="shared" si="22"/>
        <v>-24.097498247152753</v>
      </c>
      <c r="L54" s="117">
        <f t="shared" ref="L54:N54" si="23">L47*L$49</f>
        <v>-26.75450320385287</v>
      </c>
      <c r="M54" s="121">
        <f t="shared" si="23"/>
        <v>-25.274433211632434</v>
      </c>
      <c r="N54" s="122">
        <f t="shared" si="23"/>
        <v>-20.269442506972169</v>
      </c>
    </row>
    <row r="55" spans="1:14" ht="16.5" thickTop="1" thickBot="1" x14ac:dyDescent="0.3">
      <c r="A55" s="133" t="s">
        <v>75</v>
      </c>
      <c r="B55" s="134">
        <f>SUM(B50:B54)+SUM(B43:B47)-B58</f>
        <v>0</v>
      </c>
      <c r="C55" s="135">
        <f>SUM(C50:C54)+SUM(C43:C47)-C58</f>
        <v>0</v>
      </c>
      <c r="D55" s="135">
        <f t="shared" ref="D55:J55" si="24">SUM(D50:D54)+SUM(D43:D47)-D58</f>
        <v>0</v>
      </c>
      <c r="E55" s="135">
        <f t="shared" si="24"/>
        <v>0</v>
      </c>
      <c r="F55" s="135">
        <f>SUM(F50:F54)+SUM(F43:F47)-F58</f>
        <v>0</v>
      </c>
      <c r="G55" s="135">
        <f>SUM(G50:G54)+SUM(G43:G47)-G58</f>
        <v>0</v>
      </c>
      <c r="H55" s="135">
        <f t="shared" si="24"/>
        <v>0</v>
      </c>
      <c r="I55" s="135">
        <f t="shared" si="24"/>
        <v>0</v>
      </c>
      <c r="J55" s="135">
        <f t="shared" si="24"/>
        <v>0</v>
      </c>
      <c r="K55" s="135">
        <f>SUM(K50:K54)+SUM(K43:K47)-K58</f>
        <v>0</v>
      </c>
      <c r="L55" s="134">
        <f>SUM(L50:L54)+SUM(L43:L47)-L58</f>
        <v>0</v>
      </c>
      <c r="M55" s="135">
        <f t="shared" ref="M55:N55" si="25">SUM(M50:M54)+SUM(M43:M47)-M58</f>
        <v>0</v>
      </c>
      <c r="N55" s="136">
        <f t="shared" si="25"/>
        <v>0</v>
      </c>
    </row>
    <row r="56" spans="1:14" ht="16.5" thickTop="1" thickBot="1" x14ac:dyDescent="0.3">
      <c r="A56" s="133" t="s">
        <v>76</v>
      </c>
      <c r="B56" s="137">
        <f>SUM(B50:B54)-B33</f>
        <v>0</v>
      </c>
      <c r="C56" s="138">
        <f t="shared" ref="C56:I56" si="26">SUM(C50:C54)-C33</f>
        <v>0</v>
      </c>
      <c r="D56" s="138">
        <f t="shared" si="26"/>
        <v>0</v>
      </c>
      <c r="E56" s="138">
        <f t="shared" si="26"/>
        <v>-4.4190201499999526E-3</v>
      </c>
      <c r="F56" s="138">
        <f t="shared" si="26"/>
        <v>2.8282966259043363E-3</v>
      </c>
      <c r="G56" s="135">
        <f t="shared" si="26"/>
        <v>6.5508329569752277E-4</v>
      </c>
      <c r="H56" s="138">
        <f t="shared" si="26"/>
        <v>4.4959036100635785E-3</v>
      </c>
      <c r="I56" s="138">
        <f t="shared" si="26"/>
        <v>-3.2885115697638412E-3</v>
      </c>
      <c r="J56" s="138">
        <f>SUM(J50:J54)-J33</f>
        <v>-8.430289186662776E-4</v>
      </c>
      <c r="K56" s="138">
        <f>SUM(K50:K54)-K33</f>
        <v>9.6574036021479515E-4</v>
      </c>
      <c r="L56" s="134">
        <f t="shared" ref="L56:N56" si="27">SUM(L50:L54)-L33</f>
        <v>4.5388493672646746E-3</v>
      </c>
      <c r="M56" s="135">
        <f t="shared" si="27"/>
        <v>-3.9228289656421111E-3</v>
      </c>
      <c r="N56" s="136">
        <f t="shared" si="27"/>
        <v>4.7513658016669069E-3</v>
      </c>
    </row>
    <row r="57" spans="1:14" ht="15.75" thickTop="1" x14ac:dyDescent="0.25">
      <c r="B57" s="104"/>
      <c r="C57" s="105"/>
      <c r="D57" s="105"/>
      <c r="E57" s="105"/>
      <c r="F57" s="105"/>
      <c r="G57" s="114"/>
      <c r="H57" s="105"/>
      <c r="I57" s="105"/>
      <c r="J57" s="105"/>
      <c r="K57" s="105"/>
      <c r="L57" s="104"/>
      <c r="M57" s="105"/>
      <c r="N57" s="108"/>
    </row>
    <row r="58" spans="1:14" x14ac:dyDescent="0.25">
      <c r="A58" s="76" t="s">
        <v>77</v>
      </c>
      <c r="B58" s="117">
        <f>(B19-SUM(B26:B30))+SUM(B50:B54)+A60</f>
        <v>0</v>
      </c>
      <c r="C58" s="121">
        <f t="shared" ref="C58:N58" si="28">(SUM(C19:C23)-SUM(C26:C30))+SUM(C50:C54)+B58</f>
        <v>0</v>
      </c>
      <c r="D58" s="121">
        <f t="shared" si="28"/>
        <v>0</v>
      </c>
      <c r="E58" s="121">
        <f>(SUM(E19:E23)-SUM(E26:E30))+SUM(E50:E54)+D58</f>
        <v>1329.6055809798499</v>
      </c>
      <c r="F58" s="121">
        <f t="shared" si="28"/>
        <v>-6541.091590723524</v>
      </c>
      <c r="G58" s="144">
        <f t="shared" si="28"/>
        <v>-139667.53093564021</v>
      </c>
      <c r="H58" s="121">
        <f t="shared" si="28"/>
        <v>-191449.07643973659</v>
      </c>
      <c r="I58" s="121">
        <f t="shared" si="28"/>
        <v>-114260.33972824828</v>
      </c>
      <c r="J58" s="121">
        <f t="shared" si="28"/>
        <v>318696.50942872278</v>
      </c>
      <c r="K58" s="118">
        <f t="shared" si="28"/>
        <v>271723.33039446315</v>
      </c>
      <c r="L58" s="117">
        <f t="shared" si="28"/>
        <v>326683.05882531247</v>
      </c>
      <c r="M58" s="121">
        <f t="shared" si="28"/>
        <v>478105.39468648343</v>
      </c>
      <c r="N58" s="122">
        <f t="shared" si="28"/>
        <v>634419.94860084937</v>
      </c>
    </row>
    <row r="59" spans="1:14" x14ac:dyDescent="0.25">
      <c r="A59" s="76" t="s">
        <v>78</v>
      </c>
      <c r="B59" s="104"/>
      <c r="C59" s="105"/>
      <c r="D59" s="105"/>
      <c r="E59" s="105"/>
      <c r="F59" s="105"/>
      <c r="G59" s="105"/>
      <c r="H59" s="105"/>
      <c r="I59" s="105"/>
      <c r="J59" s="105"/>
      <c r="K59" s="105"/>
      <c r="L59" s="104"/>
      <c r="M59" s="105"/>
      <c r="N59" s="108"/>
    </row>
    <row r="60" spans="1:14" ht="15.75" thickBot="1" x14ac:dyDescent="0.3">
      <c r="A60" s="110">
        <v>0</v>
      </c>
      <c r="B60" s="140"/>
      <c r="C60" s="141"/>
      <c r="D60" s="141"/>
      <c r="E60" s="141"/>
      <c r="F60" s="141"/>
      <c r="G60" s="141"/>
      <c r="H60" s="141"/>
      <c r="I60" s="141"/>
      <c r="J60" s="141"/>
      <c r="K60" s="141"/>
      <c r="L60" s="140"/>
      <c r="M60" s="141"/>
      <c r="N60" s="142"/>
    </row>
    <row r="62" spans="1:14" x14ac:dyDescent="0.25">
      <c r="E62" s="57"/>
      <c r="F62" s="57"/>
      <c r="G62" s="57"/>
      <c r="H62" s="57"/>
      <c r="I62" s="57"/>
      <c r="J62" s="57"/>
      <c r="K62" s="57"/>
      <c r="L62" s="57"/>
      <c r="M62" s="57"/>
      <c r="N62" s="57"/>
    </row>
    <row r="64" spans="1:14" x14ac:dyDescent="0.25">
      <c r="E64" s="57"/>
      <c r="F64" s="57"/>
      <c r="G64" s="57"/>
      <c r="H64" s="57"/>
      <c r="I64" s="57"/>
      <c r="J64" s="57"/>
      <c r="K64" s="57"/>
      <c r="L64" s="57"/>
      <c r="M64" s="57"/>
      <c r="N64" s="57"/>
    </row>
    <row r="65" spans="2:8" x14ac:dyDescent="0.25">
      <c r="B65" s="56"/>
      <c r="C65" s="56"/>
      <c r="D65" s="56"/>
      <c r="E65" s="56"/>
      <c r="F65" s="56"/>
      <c r="G65" s="56"/>
      <c r="H65" s="56"/>
    </row>
    <row r="69" spans="2:8" x14ac:dyDescent="0.25">
      <c r="C69" s="56"/>
      <c r="D69" s="56"/>
      <c r="E69" s="56"/>
      <c r="F69" s="56"/>
      <c r="G69" s="56"/>
      <c r="H69" s="56"/>
    </row>
  </sheetData>
  <mergeCells count="1">
    <mergeCell ref="L17:N17"/>
  </mergeCells>
  <pageMargins left="0.7" right="0.7" top="0.75" bottom="0.75" header="0.3" footer="0.3"/>
  <pageSetup paperSize="5" scale="65" fitToHeight="0" orientation="landscape" r:id="rId1"/>
  <headerFooter scaleWithDoc="0">
    <oddFooter>&amp;R&amp;"Arial,Bold"&amp;12Schedule WRD-2,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I87"/>
  <sheetViews>
    <sheetView tabSelected="1" zoomScaleNormal="100" workbookViewId="0">
      <pane xSplit="1" ySplit="18" topLeftCell="B19" activePane="bottomRight" state="frozen"/>
      <selection activeCell="A16" sqref="A16"/>
      <selection pane="topRight" activeCell="A16" sqref="A16"/>
      <selection pane="bottomLeft" activeCell="A16" sqref="A16"/>
      <selection pane="bottomRight" activeCell="A16" sqref="A16"/>
    </sheetView>
  </sheetViews>
  <sheetFormatPr defaultRowHeight="15" x14ac:dyDescent="0.25"/>
  <cols>
    <col min="1" max="1" width="17.5703125" style="76" customWidth="1"/>
    <col min="2" max="2" width="15.140625" style="76" customWidth="1"/>
    <col min="3" max="3" width="14.5703125" style="76" customWidth="1"/>
    <col min="4" max="4" width="15.140625" style="76" customWidth="1"/>
    <col min="5" max="5" width="16.140625" style="76" customWidth="1"/>
    <col min="6" max="6" width="14.28515625" style="76" bestFit="1" customWidth="1"/>
    <col min="7" max="7" width="16" style="76" customWidth="1"/>
    <col min="8" max="9" width="14.28515625" style="76" bestFit="1" customWidth="1"/>
    <col min="10" max="10" width="15.5703125" style="76" customWidth="1"/>
    <col min="11" max="11" width="14" style="76" customWidth="1"/>
    <col min="12" max="12" width="17" style="76" bestFit="1" customWidth="1"/>
    <col min="13" max="51" width="17.28515625" style="76" customWidth="1"/>
    <col min="52" max="16384" width="9.140625" style="76"/>
  </cols>
  <sheetData>
    <row r="2" spans="1:50" x14ac:dyDescent="0.25">
      <c r="B2" s="260" t="s">
        <v>140</v>
      </c>
      <c r="I2" s="3" t="s">
        <v>27</v>
      </c>
    </row>
    <row r="3" spans="1:50" x14ac:dyDescent="0.25">
      <c r="B3" s="165" t="s">
        <v>68</v>
      </c>
      <c r="C3" s="165" t="s">
        <v>100</v>
      </c>
      <c r="D3" s="165" t="s">
        <v>101</v>
      </c>
      <c r="E3" s="165" t="s">
        <v>99</v>
      </c>
      <c r="F3" s="165" t="s">
        <v>69</v>
      </c>
      <c r="G3" s="165" t="s">
        <v>116</v>
      </c>
      <c r="I3" s="58" t="s">
        <v>102</v>
      </c>
      <c r="J3" s="50"/>
      <c r="K3" s="50"/>
      <c r="L3" s="50"/>
      <c r="N3" s="165"/>
    </row>
    <row r="4" spans="1:50" x14ac:dyDescent="0.25">
      <c r="A4" s="77" t="s">
        <v>0</v>
      </c>
      <c r="B4" s="24">
        <f>SUM(B22:AX22)</f>
        <v>87620884.301380068</v>
      </c>
      <c r="C4" s="90">
        <f>SUM(B29:AX29)</f>
        <v>642317.57999999984</v>
      </c>
      <c r="D4" s="24">
        <f>SUM(B40:AX40)</f>
        <v>95362857.058370993</v>
      </c>
      <c r="E4" s="24">
        <f>D4-B4</f>
        <v>7741972.7569909245</v>
      </c>
      <c r="F4" s="24">
        <f>SUM(B64:AX64)</f>
        <v>-72559.875776906498</v>
      </c>
      <c r="G4" s="42">
        <f>E4+F4</f>
        <v>7669412.881214018</v>
      </c>
      <c r="I4" s="3" t="s">
        <v>144</v>
      </c>
      <c r="J4" s="50"/>
      <c r="K4" s="50"/>
      <c r="L4" s="50"/>
    </row>
    <row r="5" spans="1:50" x14ac:dyDescent="0.25">
      <c r="A5" s="77" t="s">
        <v>4</v>
      </c>
      <c r="B5" s="24">
        <f>SUM(B23:AX23)</f>
        <v>8918611.0451950002</v>
      </c>
      <c r="C5" s="90">
        <f>SUM(B30:AX30)</f>
        <v>60815.650000000096</v>
      </c>
      <c r="D5" s="24">
        <f>SUM(B41:AX41)</f>
        <v>9485696.353171356</v>
      </c>
      <c r="E5" s="24">
        <f t="shared" ref="E5:E8" si="0">D5-B5</f>
        <v>567085.30797635578</v>
      </c>
      <c r="F5" s="24">
        <f>SUM(B65:AX65)</f>
        <v>68842.662641192102</v>
      </c>
      <c r="G5" s="42">
        <f t="shared" ref="G5:G8" si="1">E5+F5</f>
        <v>635927.97061754786</v>
      </c>
      <c r="I5" s="58" t="s">
        <v>103</v>
      </c>
      <c r="J5" s="50"/>
      <c r="K5" s="50"/>
      <c r="L5" s="50"/>
    </row>
    <row r="6" spans="1:50" x14ac:dyDescent="0.25">
      <c r="A6" s="77" t="s">
        <v>5</v>
      </c>
      <c r="B6" s="24">
        <f>SUM(B24:AX24)</f>
        <v>39426085.022472002</v>
      </c>
      <c r="C6" s="90">
        <f>SUM(B31:AX31)</f>
        <v>258821.08000000013</v>
      </c>
      <c r="D6" s="24">
        <f>SUM(B42:AX42)</f>
        <v>40073980.10567683</v>
      </c>
      <c r="E6" s="24">
        <f t="shared" si="0"/>
        <v>647895.0832048282</v>
      </c>
      <c r="F6" s="24">
        <f>SUM(B66:AX66)</f>
        <v>185327.39471812575</v>
      </c>
      <c r="G6" s="42">
        <f t="shared" si="1"/>
        <v>833222.4779229539</v>
      </c>
      <c r="I6" s="58" t="s">
        <v>104</v>
      </c>
      <c r="J6" s="50"/>
      <c r="K6" s="50"/>
      <c r="L6" s="50"/>
    </row>
    <row r="7" spans="1:50" x14ac:dyDescent="0.25">
      <c r="A7" s="77" t="s">
        <v>6</v>
      </c>
      <c r="B7" s="24">
        <f>SUM(B25:AX25)</f>
        <v>15198780.305943999</v>
      </c>
      <c r="C7" s="90">
        <f>SUM(B32:AX32)</f>
        <v>118710.42000000011</v>
      </c>
      <c r="D7" s="24">
        <f>SUM(B43:AX43)</f>
        <v>17608862.934257451</v>
      </c>
      <c r="E7" s="24">
        <f t="shared" si="0"/>
        <v>2410082.628313452</v>
      </c>
      <c r="F7" s="24">
        <f>SUM(B67:AX67)</f>
        <v>76621.819928086945</v>
      </c>
      <c r="G7" s="42">
        <f t="shared" si="1"/>
        <v>2486704.4482415388</v>
      </c>
      <c r="I7" s="3" t="s">
        <v>145</v>
      </c>
      <c r="J7" s="50"/>
      <c r="K7" s="50"/>
      <c r="L7" s="50"/>
    </row>
    <row r="8" spans="1:50" ht="15.75" thickBot="1" x14ac:dyDescent="0.3">
      <c r="A8" s="77" t="s">
        <v>7</v>
      </c>
      <c r="B8" s="24">
        <f>SUM(B26:AX26)</f>
        <v>8887514.2216160018</v>
      </c>
      <c r="C8" s="90">
        <f>SUM(B33:AX33)</f>
        <v>76004.320000000094</v>
      </c>
      <c r="D8" s="24">
        <f>SUM(B44:AX44)</f>
        <v>10744418.888523355</v>
      </c>
      <c r="E8" s="24">
        <f t="shared" si="0"/>
        <v>1856904.6669073533</v>
      </c>
      <c r="F8" s="24">
        <f>SUM(B68:AX68)</f>
        <v>-7542.0546819155925</v>
      </c>
      <c r="G8" s="42">
        <f t="shared" si="1"/>
        <v>1849362.6122254378</v>
      </c>
      <c r="I8" s="58" t="s">
        <v>105</v>
      </c>
    </row>
    <row r="9" spans="1:50" ht="16.5" thickTop="1" thickBot="1" x14ac:dyDescent="0.3">
      <c r="B9" s="91">
        <f>SUM(B4:B8)</f>
        <v>160051874.89660707</v>
      </c>
      <c r="C9" s="90">
        <f>SUM(C4:C8)</f>
        <v>1156669.0500000003</v>
      </c>
      <c r="D9" s="91">
        <f>SUM(D4:D8)</f>
        <v>173275815.33999997</v>
      </c>
      <c r="E9" s="91">
        <f>SUM(E4:E8)</f>
        <v>13223940.443392914</v>
      </c>
      <c r="F9" s="24">
        <f t="shared" ref="F9" si="2">SUM(F4:F8)</f>
        <v>250689.9468285827</v>
      </c>
      <c r="G9" s="91">
        <f>SUM(G4:G8)</f>
        <v>13474630.390221497</v>
      </c>
      <c r="I9" s="58" t="s">
        <v>134</v>
      </c>
      <c r="O9" s="5"/>
    </row>
    <row r="10" spans="1:50" ht="16.5" thickTop="1" thickBot="1" x14ac:dyDescent="0.3">
      <c r="E10" s="39" t="s">
        <v>26</v>
      </c>
      <c r="F10" s="21">
        <f>F9-SUM(B47:AX47)</f>
        <v>-3.1714173674117774E-3</v>
      </c>
      <c r="I10" s="58" t="s">
        <v>106</v>
      </c>
      <c r="J10" s="50"/>
      <c r="K10" s="50"/>
      <c r="L10" s="50"/>
    </row>
    <row r="11" spans="1:50" ht="15.75" thickTop="1" x14ac:dyDescent="0.25">
      <c r="E11" s="4"/>
      <c r="F11" s="4"/>
    </row>
    <row r="12" spans="1:50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</row>
    <row r="13" spans="1:50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</row>
    <row r="14" spans="1:50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</row>
    <row r="16" spans="1:50" ht="15.75" thickBot="1" x14ac:dyDescent="0.3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</row>
    <row r="17" spans="1:61" ht="15.75" thickBot="1" x14ac:dyDescent="0.3">
      <c r="B17" s="92"/>
      <c r="C17" s="93"/>
      <c r="D17" s="94" t="s">
        <v>107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293" t="s">
        <v>71</v>
      </c>
      <c r="AW17" s="294"/>
      <c r="AX17" s="295"/>
    </row>
    <row r="18" spans="1:61" x14ac:dyDescent="0.25">
      <c r="A18" s="76" t="s">
        <v>108</v>
      </c>
      <c r="B18" s="95">
        <v>41275</v>
      </c>
      <c r="C18" s="96">
        <f t="shared" ref="C18:AU18" si="3">EDATE(B18,1)</f>
        <v>41306</v>
      </c>
      <c r="D18" s="96">
        <f t="shared" si="3"/>
        <v>41334</v>
      </c>
      <c r="E18" s="96">
        <f t="shared" si="3"/>
        <v>41365</v>
      </c>
      <c r="F18" s="96">
        <f t="shared" si="3"/>
        <v>41395</v>
      </c>
      <c r="G18" s="96">
        <f t="shared" si="3"/>
        <v>41426</v>
      </c>
      <c r="H18" s="96">
        <f t="shared" si="3"/>
        <v>41456</v>
      </c>
      <c r="I18" s="96">
        <f t="shared" si="3"/>
        <v>41487</v>
      </c>
      <c r="J18" s="96">
        <f t="shared" si="3"/>
        <v>41518</v>
      </c>
      <c r="K18" s="96">
        <f t="shared" si="3"/>
        <v>41548</v>
      </c>
      <c r="L18" s="96">
        <f t="shared" si="3"/>
        <v>41579</v>
      </c>
      <c r="M18" s="96">
        <f t="shared" si="3"/>
        <v>41609</v>
      </c>
      <c r="N18" s="96">
        <f t="shared" si="3"/>
        <v>41640</v>
      </c>
      <c r="O18" s="96">
        <f t="shared" si="3"/>
        <v>41671</v>
      </c>
      <c r="P18" s="96">
        <f t="shared" si="3"/>
        <v>41699</v>
      </c>
      <c r="Q18" s="96">
        <f t="shared" si="3"/>
        <v>41730</v>
      </c>
      <c r="R18" s="96">
        <f t="shared" si="3"/>
        <v>41760</v>
      </c>
      <c r="S18" s="96">
        <f t="shared" si="3"/>
        <v>41791</v>
      </c>
      <c r="T18" s="96">
        <f t="shared" si="3"/>
        <v>41821</v>
      </c>
      <c r="U18" s="96">
        <f t="shared" si="3"/>
        <v>41852</v>
      </c>
      <c r="V18" s="96">
        <f t="shared" si="3"/>
        <v>41883</v>
      </c>
      <c r="W18" s="96">
        <f t="shared" si="3"/>
        <v>41913</v>
      </c>
      <c r="X18" s="96">
        <f t="shared" si="3"/>
        <v>41944</v>
      </c>
      <c r="Y18" s="96">
        <f t="shared" si="3"/>
        <v>41974</v>
      </c>
      <c r="Z18" s="96">
        <f t="shared" si="3"/>
        <v>42005</v>
      </c>
      <c r="AA18" s="96">
        <f t="shared" si="3"/>
        <v>42036</v>
      </c>
      <c r="AB18" s="96">
        <f t="shared" si="3"/>
        <v>42064</v>
      </c>
      <c r="AC18" s="96">
        <f t="shared" si="3"/>
        <v>42095</v>
      </c>
      <c r="AD18" s="96">
        <f t="shared" si="3"/>
        <v>42125</v>
      </c>
      <c r="AE18" s="96">
        <f t="shared" si="3"/>
        <v>42156</v>
      </c>
      <c r="AF18" s="96">
        <f t="shared" si="3"/>
        <v>42186</v>
      </c>
      <c r="AG18" s="96">
        <f t="shared" si="3"/>
        <v>42217</v>
      </c>
      <c r="AH18" s="96">
        <f t="shared" si="3"/>
        <v>42248</v>
      </c>
      <c r="AI18" s="96">
        <f t="shared" si="3"/>
        <v>42278</v>
      </c>
      <c r="AJ18" s="96">
        <f t="shared" si="3"/>
        <v>42309</v>
      </c>
      <c r="AK18" s="96">
        <f t="shared" si="3"/>
        <v>42339</v>
      </c>
      <c r="AL18" s="96">
        <f t="shared" si="3"/>
        <v>42370</v>
      </c>
      <c r="AM18" s="96">
        <f t="shared" si="3"/>
        <v>42401</v>
      </c>
      <c r="AN18" s="96">
        <f t="shared" si="3"/>
        <v>42430</v>
      </c>
      <c r="AO18" s="96">
        <f t="shared" si="3"/>
        <v>42461</v>
      </c>
      <c r="AP18" s="96">
        <f t="shared" si="3"/>
        <v>42491</v>
      </c>
      <c r="AQ18" s="96">
        <f t="shared" si="3"/>
        <v>42522</v>
      </c>
      <c r="AR18" s="96">
        <f t="shared" si="3"/>
        <v>42552</v>
      </c>
      <c r="AS18" s="96">
        <f t="shared" si="3"/>
        <v>42583</v>
      </c>
      <c r="AT18" s="96">
        <f t="shared" si="3"/>
        <v>42614</v>
      </c>
      <c r="AU18" s="96">
        <f t="shared" si="3"/>
        <v>42644</v>
      </c>
      <c r="AV18" s="95">
        <f>EDATE(AU18,1)</f>
        <v>42675</v>
      </c>
      <c r="AW18" s="96">
        <f t="shared" ref="AW18:AX18" si="4">EDATE(AV18,1)</f>
        <v>42705</v>
      </c>
      <c r="AX18" s="97">
        <f t="shared" si="4"/>
        <v>42736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1" x14ac:dyDescent="0.25">
      <c r="A19" s="76" t="s">
        <v>9</v>
      </c>
      <c r="B19" s="98">
        <v>-317741.14</v>
      </c>
      <c r="C19" s="99">
        <v>1019567.37</v>
      </c>
      <c r="D19" s="99">
        <v>1178656.3799999999</v>
      </c>
      <c r="E19" s="99">
        <v>1462879.64</v>
      </c>
      <c r="F19" s="99">
        <v>3433939.67</v>
      </c>
      <c r="G19" s="99">
        <v>2346012.9</v>
      </c>
      <c r="H19" s="99">
        <v>3687760.97</v>
      </c>
      <c r="I19" s="99">
        <v>2735167.93</v>
      </c>
      <c r="J19" s="46">
        <v>4479801.6900000004</v>
      </c>
      <c r="K19" s="46">
        <v>7082385.5</v>
      </c>
      <c r="L19" s="46">
        <v>4938505.47</v>
      </c>
      <c r="M19" s="46">
        <v>5095234.7</v>
      </c>
      <c r="N19" s="46">
        <v>2389801.65</v>
      </c>
      <c r="O19" s="46">
        <v>3574073.61</v>
      </c>
      <c r="P19" s="46">
        <v>3199891.14</v>
      </c>
      <c r="Q19" s="46">
        <v>3729139.92</v>
      </c>
      <c r="R19" s="46">
        <v>4264770.67</v>
      </c>
      <c r="S19" s="46">
        <v>4565038.71</v>
      </c>
      <c r="T19" s="46">
        <v>4816229.07</v>
      </c>
      <c r="U19" s="46">
        <v>5892743.0199999996</v>
      </c>
      <c r="V19" s="46">
        <v>4527945.4000000004</v>
      </c>
      <c r="W19" s="100">
        <v>4170502.86</v>
      </c>
      <c r="X19" s="100">
        <v>5419401.3600000003</v>
      </c>
      <c r="Y19" s="100">
        <v>5540123.7699999996</v>
      </c>
      <c r="Z19" s="100">
        <v>3442983.51</v>
      </c>
      <c r="AA19" s="100">
        <v>3192263.38</v>
      </c>
      <c r="AB19" s="100">
        <v>4175686.06</v>
      </c>
      <c r="AC19" s="100">
        <v>5414629.6699999999</v>
      </c>
      <c r="AD19" s="100">
        <v>5051606.72</v>
      </c>
      <c r="AE19" s="100">
        <v>4614929.4000000004</v>
      </c>
      <c r="AF19" s="100">
        <v>6642766.4400000004</v>
      </c>
      <c r="AG19" s="100">
        <v>5059683.01</v>
      </c>
      <c r="AH19" s="100">
        <v>7063883.6600000001</v>
      </c>
      <c r="AI19" s="100">
        <v>7726186.9900000002</v>
      </c>
      <c r="AJ19" s="100">
        <v>9745889.0800000001</v>
      </c>
      <c r="AK19" s="100">
        <v>22300366.82</v>
      </c>
      <c r="AL19" s="100">
        <v>-904439.86</v>
      </c>
      <c r="AM19" s="100">
        <v>520995.97</v>
      </c>
      <c r="AN19" s="100">
        <v>39025.870000000003</v>
      </c>
      <c r="AO19" s="100">
        <v>14582.23</v>
      </c>
      <c r="AP19" s="100">
        <v>-9578.49</v>
      </c>
      <c r="AQ19" s="100">
        <v>-37696.300000000003</v>
      </c>
      <c r="AR19" s="100">
        <v>0</v>
      </c>
      <c r="AS19" s="100">
        <v>-3059.65</v>
      </c>
      <c r="AT19" s="100">
        <v>-2246.8000000000002</v>
      </c>
      <c r="AU19" s="100">
        <v>-4474.63</v>
      </c>
      <c r="AV19" s="101">
        <v>0</v>
      </c>
      <c r="AW19" s="102">
        <v>0</v>
      </c>
      <c r="AX19" s="103">
        <v>0</v>
      </c>
      <c r="AY19" s="50"/>
    </row>
    <row r="20" spans="1:61" x14ac:dyDescent="0.25">
      <c r="B20" s="104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6"/>
      <c r="AW20" s="107"/>
      <c r="AX20" s="108"/>
    </row>
    <row r="21" spans="1:61" x14ac:dyDescent="0.25">
      <c r="A21" s="76" t="s">
        <v>109</v>
      </c>
      <c r="B21" s="104"/>
      <c r="C21" s="105"/>
      <c r="D21" s="109" t="s">
        <v>72</v>
      </c>
      <c r="E21" s="105"/>
      <c r="F21" s="105"/>
      <c r="G21" s="105"/>
      <c r="H21" s="105"/>
      <c r="I21" s="105"/>
      <c r="J21" s="105"/>
      <c r="K21" s="105"/>
      <c r="L21" s="105"/>
      <c r="M21" s="105"/>
      <c r="N21" s="107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6"/>
      <c r="AW21" s="107"/>
      <c r="AX21" s="108"/>
      <c r="AY21" s="123" t="s">
        <v>110</v>
      </c>
    </row>
    <row r="22" spans="1:61" x14ac:dyDescent="0.25">
      <c r="A22" s="76" t="s">
        <v>0</v>
      </c>
      <c r="B22" s="98">
        <v>816215.33</v>
      </c>
      <c r="C22" s="99">
        <v>1754106.03</v>
      </c>
      <c r="D22" s="99">
        <v>1736547.72</v>
      </c>
      <c r="E22" s="99">
        <v>1448951.69</v>
      </c>
      <c r="F22" s="99">
        <v>1130882.8600000001</v>
      </c>
      <c r="G22" s="99">
        <v>1322188.51</v>
      </c>
      <c r="H22" s="99">
        <v>1780601.04</v>
      </c>
      <c r="I22" s="99">
        <v>1634214.86</v>
      </c>
      <c r="J22" s="99">
        <v>1790818.91</v>
      </c>
      <c r="K22" s="99">
        <v>1245252.4099999999</v>
      </c>
      <c r="L22" s="99">
        <v>1186284.1200000001</v>
      </c>
      <c r="M22" s="99">
        <v>1791546.15</v>
      </c>
      <c r="N22" s="99">
        <v>2387799.9900000002</v>
      </c>
      <c r="O22" s="99">
        <v>3120050.2</v>
      </c>
      <c r="P22" s="99">
        <v>2606540.6</v>
      </c>
      <c r="Q22" s="99">
        <v>1873553.01</v>
      </c>
      <c r="R22" s="99">
        <v>1600693.42</v>
      </c>
      <c r="S22" s="99">
        <v>2085677.23</v>
      </c>
      <c r="T22" s="99">
        <v>2528428.0699999998</v>
      </c>
      <c r="U22" s="99">
        <v>2330344.02</v>
      </c>
      <c r="V22" s="99">
        <v>2489463.16</v>
      </c>
      <c r="W22" s="110">
        <v>1590762.46</v>
      </c>
      <c r="X22" s="110">
        <v>1721241.87</v>
      </c>
      <c r="Y22" s="110">
        <v>2590801.0099999998</v>
      </c>
      <c r="Z22" s="110">
        <v>3206285.66</v>
      </c>
      <c r="AA22" s="110">
        <v>4490167.43</v>
      </c>
      <c r="AB22" s="110">
        <v>4430260.12</v>
      </c>
      <c r="AC22" s="110">
        <v>2812674.63</v>
      </c>
      <c r="AD22" s="110">
        <v>2454624.1</v>
      </c>
      <c r="AE22" s="110">
        <v>3298523.78</v>
      </c>
      <c r="AF22" s="110">
        <v>4224922.91</v>
      </c>
      <c r="AG22" s="110">
        <v>4558951.4800000004</v>
      </c>
      <c r="AH22" s="110">
        <v>3862995.08</v>
      </c>
      <c r="AI22" s="110">
        <v>2807380.93</v>
      </c>
      <c r="AJ22" s="110">
        <v>2493483.5299999998</v>
      </c>
      <c r="AK22" s="110">
        <v>3481230.6</v>
      </c>
      <c r="AL22" s="110">
        <v>4101526.4</v>
      </c>
      <c r="AM22" s="110">
        <v>-297482.3</v>
      </c>
      <c r="AN22" s="110">
        <v>-234756.87</v>
      </c>
      <c r="AO22" s="110">
        <v>-189955.4</v>
      </c>
      <c r="AP22" s="110">
        <v>-166181.45000000001</v>
      </c>
      <c r="AQ22" s="110">
        <v>-248807.76</v>
      </c>
      <c r="AR22" s="110">
        <v>-334863.63</v>
      </c>
      <c r="AS22" s="110">
        <v>-335948.3</v>
      </c>
      <c r="AT22" s="110">
        <v>-303928.25</v>
      </c>
      <c r="AU22" s="110">
        <v>-216650.56</v>
      </c>
      <c r="AV22" s="101">
        <f>'PCR (M1)'!AV32*'TDR (M1)'!$AY22*(1-PPC!$B$14)</f>
        <v>-190935.53943769922</v>
      </c>
      <c r="AW22" s="102">
        <f>'PCR (M1)'!AW32*'TDR (M1)'!$AY22*(1-PPC!$B$14)</f>
        <v>-280958.11979560083</v>
      </c>
      <c r="AX22" s="103">
        <f>'PCR (M1)'!AX32*'TDR (M1)'!$AY22*(1-PPC!$B$14)</f>
        <v>-364638.83938662003</v>
      </c>
      <c r="AY22" s="111">
        <v>-2.4800000000000001E-4</v>
      </c>
      <c r="AZ22" s="112"/>
    </row>
    <row r="23" spans="1:61" x14ac:dyDescent="0.25">
      <c r="A23" s="76" t="s">
        <v>4</v>
      </c>
      <c r="B23" s="98">
        <v>25218.97</v>
      </c>
      <c r="C23" s="99">
        <v>58999.11</v>
      </c>
      <c r="D23" s="99">
        <v>58441.97</v>
      </c>
      <c r="E23" s="99">
        <v>54691.28</v>
      </c>
      <c r="F23" s="99">
        <v>48331.37</v>
      </c>
      <c r="G23" s="99">
        <v>54583.05</v>
      </c>
      <c r="H23" s="99">
        <v>63696.88</v>
      </c>
      <c r="I23" s="99">
        <v>60628.78</v>
      </c>
      <c r="J23" s="99">
        <v>64083.38</v>
      </c>
      <c r="K23" s="99">
        <v>54100.39</v>
      </c>
      <c r="L23" s="99">
        <v>49728.07</v>
      </c>
      <c r="M23" s="99">
        <v>60510.37</v>
      </c>
      <c r="N23" s="99">
        <v>94584.45</v>
      </c>
      <c r="O23" s="99">
        <v>350769.76</v>
      </c>
      <c r="P23" s="99">
        <v>313677.5</v>
      </c>
      <c r="Q23" s="99">
        <v>265733.78000000003</v>
      </c>
      <c r="R23" s="99">
        <v>253559.23</v>
      </c>
      <c r="S23" s="99">
        <v>289888.46000000002</v>
      </c>
      <c r="T23" s="99">
        <v>323303.31</v>
      </c>
      <c r="U23" s="99">
        <v>306030.25</v>
      </c>
      <c r="V23" s="99">
        <v>322433.43</v>
      </c>
      <c r="W23" s="110">
        <v>257746.51</v>
      </c>
      <c r="X23" s="110">
        <v>256306.4</v>
      </c>
      <c r="Y23" s="110">
        <v>313249.65000000002</v>
      </c>
      <c r="Z23" s="110">
        <v>334009.45</v>
      </c>
      <c r="AA23" s="110">
        <v>183488.15</v>
      </c>
      <c r="AB23" s="110">
        <v>183362.24</v>
      </c>
      <c r="AC23" s="110">
        <v>147357.4</v>
      </c>
      <c r="AD23" s="110">
        <v>139511.26999999999</v>
      </c>
      <c r="AE23" s="110">
        <v>161615.29</v>
      </c>
      <c r="AF23" s="110">
        <v>183995.59</v>
      </c>
      <c r="AG23" s="110">
        <v>191670.88</v>
      </c>
      <c r="AH23" s="110">
        <v>179416.2</v>
      </c>
      <c r="AI23" s="110">
        <v>154244.72</v>
      </c>
      <c r="AJ23" s="110">
        <v>139357.75</v>
      </c>
      <c r="AK23" s="110">
        <v>157329.99</v>
      </c>
      <c r="AL23" s="110">
        <v>188887.58</v>
      </c>
      <c r="AM23" s="110">
        <v>225032.92</v>
      </c>
      <c r="AN23" s="110">
        <v>197005.6</v>
      </c>
      <c r="AO23" s="110">
        <v>178984.65</v>
      </c>
      <c r="AP23" s="110">
        <v>171499.76</v>
      </c>
      <c r="AQ23" s="110">
        <v>209570.21</v>
      </c>
      <c r="AR23" s="110">
        <v>248620.79</v>
      </c>
      <c r="AS23" s="110">
        <v>248288.06</v>
      </c>
      <c r="AT23" s="110">
        <v>238754.29</v>
      </c>
      <c r="AU23" s="110">
        <v>203082.12</v>
      </c>
      <c r="AV23" s="101">
        <f>'PCR (M1)'!AV33*'TDR (M1)'!$AY23</f>
        <v>183581.60065399998</v>
      </c>
      <c r="AW23" s="102">
        <f>'PCR (M1)'!AW33*'TDR (M1)'!$AY23</f>
        <v>216493.109035</v>
      </c>
      <c r="AX23" s="103">
        <f>'PCR (M1)'!AX33*'TDR (M1)'!$AY23</f>
        <v>253155.07550599999</v>
      </c>
      <c r="AY23" s="111">
        <v>7.5699999999999997E-4</v>
      </c>
      <c r="AZ23" s="112"/>
    </row>
    <row r="24" spans="1:61" x14ac:dyDescent="0.25">
      <c r="A24" s="76" t="s">
        <v>5</v>
      </c>
      <c r="B24" s="98">
        <v>173455.69</v>
      </c>
      <c r="C24" s="99">
        <v>439040.55</v>
      </c>
      <c r="D24" s="99">
        <v>436337.21</v>
      </c>
      <c r="E24" s="99">
        <v>433604.83</v>
      </c>
      <c r="F24" s="99">
        <v>414616.35</v>
      </c>
      <c r="G24" s="99">
        <v>465022.2</v>
      </c>
      <c r="H24" s="99">
        <v>503684.97</v>
      </c>
      <c r="I24" s="99">
        <v>493318.13</v>
      </c>
      <c r="J24" s="99">
        <v>524681.42000000004</v>
      </c>
      <c r="K24" s="99">
        <v>462766.7</v>
      </c>
      <c r="L24" s="99">
        <v>420207.97</v>
      </c>
      <c r="M24" s="99">
        <v>460503.55</v>
      </c>
      <c r="N24" s="99">
        <v>535350.63</v>
      </c>
      <c r="O24" s="99">
        <v>972808.34</v>
      </c>
      <c r="P24" s="99">
        <v>919496.39</v>
      </c>
      <c r="Q24" s="99">
        <v>853750.54</v>
      </c>
      <c r="R24" s="99">
        <v>875453.68</v>
      </c>
      <c r="S24" s="99">
        <v>978819.32</v>
      </c>
      <c r="T24" s="99">
        <v>1040883.85</v>
      </c>
      <c r="U24" s="99">
        <v>1000278.3</v>
      </c>
      <c r="V24" s="99">
        <v>1072482.3899999999</v>
      </c>
      <c r="W24" s="110">
        <v>909964.79</v>
      </c>
      <c r="X24" s="110">
        <v>867469.68</v>
      </c>
      <c r="Y24" s="110">
        <v>942770.15</v>
      </c>
      <c r="Z24" s="110">
        <v>1023655.11</v>
      </c>
      <c r="AA24" s="110">
        <v>1103140.6399999999</v>
      </c>
      <c r="AB24" s="110">
        <v>1099547.52</v>
      </c>
      <c r="AC24" s="110">
        <v>1033238.52</v>
      </c>
      <c r="AD24" s="110">
        <v>1028073.83</v>
      </c>
      <c r="AE24" s="110">
        <v>1134089</v>
      </c>
      <c r="AF24" s="110">
        <v>1236312.54</v>
      </c>
      <c r="AG24" s="110">
        <v>1264548.03</v>
      </c>
      <c r="AH24" s="110">
        <v>1229396.04</v>
      </c>
      <c r="AI24" s="110">
        <v>1107452.21</v>
      </c>
      <c r="AJ24" s="110">
        <v>1011474.68</v>
      </c>
      <c r="AK24" s="110">
        <v>1058948.94</v>
      </c>
      <c r="AL24" s="110">
        <v>1113226.8500000001</v>
      </c>
      <c r="AM24" s="110">
        <v>709593.35</v>
      </c>
      <c r="AN24" s="110">
        <v>663058.91</v>
      </c>
      <c r="AO24" s="110">
        <v>650799.55000000005</v>
      </c>
      <c r="AP24" s="110">
        <v>649443.46</v>
      </c>
      <c r="AQ24" s="110">
        <v>735419.89</v>
      </c>
      <c r="AR24" s="110">
        <v>827429.77</v>
      </c>
      <c r="AS24" s="110">
        <v>829371.19</v>
      </c>
      <c r="AT24" s="110">
        <v>832627.4</v>
      </c>
      <c r="AU24" s="110">
        <v>732699.19</v>
      </c>
      <c r="AV24" s="101">
        <f>'PCR (M1)'!AV34*'TDR (M1)'!$AY24</f>
        <v>663504.67832800001</v>
      </c>
      <c r="AW24" s="102">
        <f>'PCR (M1)'!AW34*'TDR (M1)'!$AY24</f>
        <v>712797.39208799996</v>
      </c>
      <c r="AX24" s="103">
        <f>'PCR (M1)'!AX34*'TDR (M1)'!$AY24</f>
        <v>779468.70205599989</v>
      </c>
      <c r="AY24" s="111">
        <v>1.1119999999999999E-3</v>
      </c>
      <c r="AZ24" s="112"/>
    </row>
    <row r="25" spans="1:61" x14ac:dyDescent="0.25">
      <c r="A25" s="76" t="s">
        <v>6</v>
      </c>
      <c r="B25" s="98">
        <v>63959.55</v>
      </c>
      <c r="C25" s="99">
        <v>209971.93</v>
      </c>
      <c r="D25" s="99">
        <v>212525.23</v>
      </c>
      <c r="E25" s="99">
        <v>206744.69</v>
      </c>
      <c r="F25" s="99">
        <v>207871.2</v>
      </c>
      <c r="G25" s="99">
        <v>226236.95</v>
      </c>
      <c r="H25" s="99">
        <v>240389.75</v>
      </c>
      <c r="I25" s="99">
        <v>236702.41</v>
      </c>
      <c r="J25" s="99">
        <v>253400.3</v>
      </c>
      <c r="K25" s="99">
        <v>231004.99</v>
      </c>
      <c r="L25" s="99">
        <v>209915.92</v>
      </c>
      <c r="M25" s="99">
        <v>219049.36</v>
      </c>
      <c r="N25" s="99">
        <v>226869.33</v>
      </c>
      <c r="O25" s="99">
        <v>294222.69</v>
      </c>
      <c r="P25" s="99">
        <v>299240.03000000003</v>
      </c>
      <c r="Q25" s="99">
        <v>291766.42</v>
      </c>
      <c r="R25" s="99">
        <v>285634.98</v>
      </c>
      <c r="S25" s="99">
        <v>313886.65000000002</v>
      </c>
      <c r="T25" s="99">
        <v>329065.55</v>
      </c>
      <c r="U25" s="99">
        <v>333266.32</v>
      </c>
      <c r="V25" s="99">
        <v>331370.82</v>
      </c>
      <c r="W25" s="110">
        <v>311808.28999999998</v>
      </c>
      <c r="X25" s="110">
        <v>298077.36</v>
      </c>
      <c r="Y25" s="110">
        <v>299035.19</v>
      </c>
      <c r="Z25" s="110">
        <v>305782.84999999998</v>
      </c>
      <c r="AA25" s="110">
        <v>267056.71000000002</v>
      </c>
      <c r="AB25" s="110">
        <v>266116.40999999997</v>
      </c>
      <c r="AC25" s="110">
        <v>283985.52</v>
      </c>
      <c r="AD25" s="110">
        <v>265712.02</v>
      </c>
      <c r="AE25" s="110">
        <v>276662.56</v>
      </c>
      <c r="AF25" s="110">
        <v>327953.5</v>
      </c>
      <c r="AG25" s="110">
        <v>297540.62</v>
      </c>
      <c r="AH25" s="110">
        <v>307797.36</v>
      </c>
      <c r="AI25" s="110">
        <v>286642.09999999998</v>
      </c>
      <c r="AJ25" s="110">
        <v>260152.79</v>
      </c>
      <c r="AK25" s="110">
        <v>270220.46000000002</v>
      </c>
      <c r="AL25" s="110">
        <v>284938.03000000003</v>
      </c>
      <c r="AM25" s="110">
        <v>418032.44</v>
      </c>
      <c r="AN25" s="110">
        <v>395164.49</v>
      </c>
      <c r="AO25" s="110">
        <v>420848.64000000001</v>
      </c>
      <c r="AP25" s="110">
        <v>437274.78</v>
      </c>
      <c r="AQ25" s="110">
        <v>448916.51</v>
      </c>
      <c r="AR25" s="110">
        <v>498562.21</v>
      </c>
      <c r="AS25" s="110">
        <v>485747.16</v>
      </c>
      <c r="AT25" s="110">
        <v>527238.56999999995</v>
      </c>
      <c r="AU25" s="110">
        <v>447307.33</v>
      </c>
      <c r="AV25" s="101">
        <f>'PCR (M1)'!AV35*'TDR (M1)'!$AY25</f>
        <v>420672.45504199999</v>
      </c>
      <c r="AW25" s="102">
        <f>'PCR (M1)'!AW35*'TDR (M1)'!$AY25</f>
        <v>418884.616736</v>
      </c>
      <c r="AX25" s="103">
        <f>'PCR (M1)'!AX35*'TDR (M1)'!$AY25</f>
        <v>447554.26416599995</v>
      </c>
      <c r="AY25" s="111">
        <v>1.5969999999999999E-3</v>
      </c>
      <c r="AZ25" s="112"/>
    </row>
    <row r="26" spans="1:61" x14ac:dyDescent="0.25">
      <c r="A26" s="76" t="s">
        <v>7</v>
      </c>
      <c r="B26" s="98">
        <v>20894.32</v>
      </c>
      <c r="C26" s="99">
        <v>142523.31</v>
      </c>
      <c r="D26" s="99">
        <v>126781.73</v>
      </c>
      <c r="E26" s="99">
        <v>140528.35999999999</v>
      </c>
      <c r="F26" s="99">
        <v>156200.07</v>
      </c>
      <c r="G26" s="99">
        <v>160881.56</v>
      </c>
      <c r="H26" s="99">
        <v>165661.03</v>
      </c>
      <c r="I26" s="99">
        <v>179188.55</v>
      </c>
      <c r="J26" s="99">
        <v>136695.16</v>
      </c>
      <c r="K26" s="99">
        <v>164175.37</v>
      </c>
      <c r="L26" s="99">
        <v>152109.13</v>
      </c>
      <c r="M26" s="99">
        <v>149388.26</v>
      </c>
      <c r="N26" s="99">
        <v>141595.72</v>
      </c>
      <c r="O26" s="99">
        <v>119779.98</v>
      </c>
      <c r="P26" s="99">
        <v>126965.97</v>
      </c>
      <c r="Q26" s="99">
        <v>128764.57</v>
      </c>
      <c r="R26" s="99">
        <v>128321.25</v>
      </c>
      <c r="S26" s="99">
        <v>139422.01</v>
      </c>
      <c r="T26" s="99">
        <v>150758.9</v>
      </c>
      <c r="U26" s="99">
        <v>148648.9</v>
      </c>
      <c r="V26" s="99">
        <v>156036.54</v>
      </c>
      <c r="W26" s="110">
        <v>145455.99</v>
      </c>
      <c r="X26" s="110">
        <v>140207</v>
      </c>
      <c r="Y26" s="110">
        <v>124685.26</v>
      </c>
      <c r="Z26" s="110">
        <v>135683.81</v>
      </c>
      <c r="AA26" s="110">
        <v>163845.6</v>
      </c>
      <c r="AB26" s="110">
        <v>206502.56</v>
      </c>
      <c r="AC26" s="110">
        <v>223478.71</v>
      </c>
      <c r="AD26" s="110">
        <v>219949.35</v>
      </c>
      <c r="AE26" s="110">
        <v>238633.49</v>
      </c>
      <c r="AF26" s="110">
        <v>274993.83</v>
      </c>
      <c r="AG26" s="110">
        <v>254872.07</v>
      </c>
      <c r="AH26" s="110">
        <v>264798.51</v>
      </c>
      <c r="AI26" s="110">
        <v>242491.6</v>
      </c>
      <c r="AJ26" s="110">
        <v>223824.12</v>
      </c>
      <c r="AK26" s="110">
        <v>216240.63</v>
      </c>
      <c r="AL26" s="110">
        <v>222936.19</v>
      </c>
      <c r="AM26" s="110">
        <v>211211.66</v>
      </c>
      <c r="AN26" s="110">
        <v>191419.7</v>
      </c>
      <c r="AO26" s="110">
        <v>200657.55</v>
      </c>
      <c r="AP26" s="110">
        <v>201415.83</v>
      </c>
      <c r="AQ26" s="110">
        <v>227585.86</v>
      </c>
      <c r="AR26" s="110">
        <v>238853.83</v>
      </c>
      <c r="AS26" s="110">
        <v>241193.15</v>
      </c>
      <c r="AT26" s="110">
        <v>264996.28000000003</v>
      </c>
      <c r="AU26" s="110">
        <v>232525.22</v>
      </c>
      <c r="AV26" s="101">
        <f>'PCR (M1)'!AV36*'TDR (M1)'!$AY26</f>
        <v>220458.70835199999</v>
      </c>
      <c r="AW26" s="102">
        <f>'PCR (M1)'!AW36*'TDR (M1)'!$AY26</f>
        <v>207357.11919999999</v>
      </c>
      <c r="AX26" s="103">
        <f>'PCR (M1)'!AX36*'TDR (M1)'!$AY26</f>
        <v>215919.90406399997</v>
      </c>
      <c r="AY26" s="111">
        <v>1.5039999999999999E-3</v>
      </c>
      <c r="AZ26" s="112"/>
    </row>
    <row r="27" spans="1:61" x14ac:dyDescent="0.25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3"/>
      <c r="AW27" s="114"/>
      <c r="AX27" s="108"/>
      <c r="AZ27" s="4"/>
    </row>
    <row r="28" spans="1:61" x14ac:dyDescent="0.25">
      <c r="A28" s="76" t="s">
        <v>111</v>
      </c>
      <c r="B28" s="113"/>
      <c r="C28" s="114"/>
      <c r="D28" s="181" t="s">
        <v>112</v>
      </c>
      <c r="E28" s="114"/>
      <c r="F28" s="114"/>
      <c r="G28" s="114"/>
      <c r="H28" s="114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3"/>
      <c r="AW28" s="182"/>
      <c r="AX28" s="184"/>
      <c r="AY28" s="185"/>
      <c r="AZ28" s="4"/>
    </row>
    <row r="29" spans="1:61" x14ac:dyDescent="0.25">
      <c r="A29" s="76" t="s">
        <v>0</v>
      </c>
      <c r="B29" s="262">
        <v>6269.95</v>
      </c>
      <c r="C29" s="263">
        <v>8107.6</v>
      </c>
      <c r="D29" s="263">
        <v>13512.18</v>
      </c>
      <c r="E29" s="263">
        <v>15178.22</v>
      </c>
      <c r="F29" s="263">
        <v>26011.87</v>
      </c>
      <c r="G29" s="263">
        <v>16913.650000000001</v>
      </c>
      <c r="H29" s="263">
        <v>32346.57</v>
      </c>
      <c r="I29" s="263">
        <v>21504.75</v>
      </c>
      <c r="J29" s="263">
        <v>26249.55</v>
      </c>
      <c r="K29" s="263">
        <v>37505.17</v>
      </c>
      <c r="L29" s="263">
        <v>34202.980000000003</v>
      </c>
      <c r="M29" s="263">
        <v>24950.03</v>
      </c>
      <c r="N29" s="263">
        <v>17243.95</v>
      </c>
      <c r="O29" s="263">
        <v>17238.5</v>
      </c>
      <c r="P29" s="263">
        <v>19816.8</v>
      </c>
      <c r="Q29" s="263">
        <v>17599.3</v>
      </c>
      <c r="R29" s="263">
        <v>18527.95</v>
      </c>
      <c r="S29" s="263">
        <v>20519.22</v>
      </c>
      <c r="T29" s="263">
        <v>19784.54</v>
      </c>
      <c r="U29" s="263">
        <v>19205.349999999999</v>
      </c>
      <c r="V29" s="263">
        <v>17387.47</v>
      </c>
      <c r="W29" s="264">
        <v>15712.68</v>
      </c>
      <c r="X29" s="264">
        <v>17176.78</v>
      </c>
      <c r="Y29" s="264">
        <v>17191.78</v>
      </c>
      <c r="Z29" s="264">
        <v>12812.5</v>
      </c>
      <c r="AA29" s="264">
        <v>5555.58</v>
      </c>
      <c r="AB29" s="264">
        <v>8375.14</v>
      </c>
      <c r="AC29" s="264">
        <v>11380.31</v>
      </c>
      <c r="AD29" s="264">
        <v>12411.34</v>
      </c>
      <c r="AE29" s="264">
        <v>12456.72</v>
      </c>
      <c r="AF29" s="264">
        <v>9755.1200000000008</v>
      </c>
      <c r="AG29" s="264">
        <v>12521.52</v>
      </c>
      <c r="AH29" s="264">
        <v>13189.9</v>
      </c>
      <c r="AI29" s="264">
        <v>18613.23</v>
      </c>
      <c r="AJ29" s="264">
        <v>15644.94</v>
      </c>
      <c r="AK29" s="264">
        <v>29444.44</v>
      </c>
      <c r="AL29" s="264">
        <v>0</v>
      </c>
      <c r="AM29" s="264">
        <v>0</v>
      </c>
      <c r="AN29" s="264">
        <v>0</v>
      </c>
      <c r="AO29" s="264">
        <v>0</v>
      </c>
      <c r="AP29" s="264">
        <v>0</v>
      </c>
      <c r="AQ29" s="264">
        <v>0</v>
      </c>
      <c r="AR29" s="264">
        <v>0</v>
      </c>
      <c r="AS29" s="264">
        <v>0</v>
      </c>
      <c r="AT29" s="264">
        <v>0</v>
      </c>
      <c r="AU29" s="264">
        <v>0</v>
      </c>
      <c r="AV29" s="215">
        <v>0</v>
      </c>
      <c r="AW29" s="216">
        <v>0</v>
      </c>
      <c r="AX29" s="217">
        <v>0</v>
      </c>
      <c r="AY29" s="186">
        <f>SUM(B29:AX29)</f>
        <v>642317.57999999984</v>
      </c>
      <c r="AZ29" s="4"/>
      <c r="BB29" s="53"/>
    </row>
    <row r="30" spans="1:61" x14ac:dyDescent="0.25">
      <c r="A30" s="76" t="s">
        <v>4</v>
      </c>
      <c r="B30" s="262">
        <v>1E-10</v>
      </c>
      <c r="C30" s="263">
        <v>35.85</v>
      </c>
      <c r="D30" s="263">
        <v>203.41</v>
      </c>
      <c r="E30" s="263">
        <v>361.74</v>
      </c>
      <c r="F30" s="263">
        <v>530.44000000000005</v>
      </c>
      <c r="G30" s="263">
        <v>508.48</v>
      </c>
      <c r="H30" s="263">
        <v>539.53</v>
      </c>
      <c r="I30" s="263">
        <v>674.74</v>
      </c>
      <c r="J30" s="263">
        <v>685.1</v>
      </c>
      <c r="K30" s="263">
        <v>1773.05</v>
      </c>
      <c r="L30" s="263">
        <v>1176.03</v>
      </c>
      <c r="M30" s="263">
        <v>1328.67</v>
      </c>
      <c r="N30" s="263">
        <v>826.06</v>
      </c>
      <c r="O30" s="263">
        <v>1220.75</v>
      </c>
      <c r="P30" s="263">
        <v>1710.71</v>
      </c>
      <c r="Q30" s="263">
        <v>602.4</v>
      </c>
      <c r="R30" s="263">
        <v>2299.65</v>
      </c>
      <c r="S30" s="263">
        <v>823.27</v>
      </c>
      <c r="T30" s="263">
        <v>968.05</v>
      </c>
      <c r="U30" s="263">
        <v>1960.03</v>
      </c>
      <c r="V30" s="263">
        <v>1870.55</v>
      </c>
      <c r="W30" s="264">
        <v>2538.2600000000002</v>
      </c>
      <c r="X30" s="264">
        <v>1207.07</v>
      </c>
      <c r="Y30" s="264">
        <v>1568.53</v>
      </c>
      <c r="Z30" s="264">
        <v>1751.29</v>
      </c>
      <c r="AA30" s="264">
        <v>2033.26</v>
      </c>
      <c r="AB30" s="264">
        <v>2417.4299999999998</v>
      </c>
      <c r="AC30" s="264">
        <v>4501.67</v>
      </c>
      <c r="AD30" s="264">
        <v>2545.06</v>
      </c>
      <c r="AE30" s="264">
        <v>1164.3599999999999</v>
      </c>
      <c r="AF30" s="264">
        <v>1253.98</v>
      </c>
      <c r="AG30" s="264">
        <v>1739.03</v>
      </c>
      <c r="AH30" s="264">
        <v>2619.62</v>
      </c>
      <c r="AI30" s="264">
        <v>2822.24</v>
      </c>
      <c r="AJ30" s="264">
        <v>4382.5600000000004</v>
      </c>
      <c r="AK30" s="264">
        <v>8172.78</v>
      </c>
      <c r="AL30" s="264">
        <v>0</v>
      </c>
      <c r="AM30" s="264">
        <v>0</v>
      </c>
      <c r="AN30" s="264">
        <v>0</v>
      </c>
      <c r="AO30" s="264">
        <v>0</v>
      </c>
      <c r="AP30" s="264">
        <v>0</v>
      </c>
      <c r="AQ30" s="264">
        <v>0</v>
      </c>
      <c r="AR30" s="264">
        <v>0</v>
      </c>
      <c r="AS30" s="264">
        <v>0</v>
      </c>
      <c r="AT30" s="264">
        <v>0</v>
      </c>
      <c r="AU30" s="264">
        <v>0</v>
      </c>
      <c r="AV30" s="215">
        <v>0</v>
      </c>
      <c r="AW30" s="216">
        <v>0</v>
      </c>
      <c r="AX30" s="217">
        <v>0</v>
      </c>
      <c r="AY30" s="186">
        <f>SUM(B30:AX30)</f>
        <v>60815.650000000096</v>
      </c>
      <c r="AZ30" s="187">
        <f>AY30/SUM($AY$30:$AY$33)</f>
        <v>0.11823753512359952</v>
      </c>
      <c r="BE30" s="53"/>
    </row>
    <row r="31" spans="1:61" x14ac:dyDescent="0.25">
      <c r="A31" s="76" t="s">
        <v>5</v>
      </c>
      <c r="B31" s="262">
        <f>B30</f>
        <v>1E-10</v>
      </c>
      <c r="C31" s="263">
        <v>300.77999999999997</v>
      </c>
      <c r="D31" s="263">
        <v>300.17</v>
      </c>
      <c r="E31" s="263">
        <v>1315.96</v>
      </c>
      <c r="F31" s="263">
        <v>5549.37</v>
      </c>
      <c r="G31" s="263">
        <v>2165.7800000000002</v>
      </c>
      <c r="H31" s="263">
        <v>1498.05</v>
      </c>
      <c r="I31" s="263">
        <v>1370.31</v>
      </c>
      <c r="J31" s="263">
        <v>5072.95</v>
      </c>
      <c r="K31" s="263">
        <v>9488.2800000000007</v>
      </c>
      <c r="L31" s="263">
        <v>7624.19</v>
      </c>
      <c r="M31" s="263">
        <v>8092.47</v>
      </c>
      <c r="N31" s="263">
        <v>2839.46</v>
      </c>
      <c r="O31" s="263">
        <v>3803.65</v>
      </c>
      <c r="P31" s="263">
        <v>4108.28</v>
      </c>
      <c r="Q31" s="263">
        <v>1741.43</v>
      </c>
      <c r="R31" s="263">
        <v>7912.16</v>
      </c>
      <c r="S31" s="263">
        <v>6426.93</v>
      </c>
      <c r="T31" s="263">
        <v>7270.11</v>
      </c>
      <c r="U31" s="263">
        <v>9545.92</v>
      </c>
      <c r="V31" s="263">
        <v>6755.07</v>
      </c>
      <c r="W31" s="264">
        <v>8808.35</v>
      </c>
      <c r="X31" s="264">
        <v>6371.09</v>
      </c>
      <c r="Y31" s="264">
        <v>9542.58</v>
      </c>
      <c r="Z31" s="264">
        <v>4613.16</v>
      </c>
      <c r="AA31" s="264">
        <v>4187.9799999999996</v>
      </c>
      <c r="AB31" s="264">
        <v>4386.6000000000004</v>
      </c>
      <c r="AC31" s="264">
        <v>8054.94</v>
      </c>
      <c r="AD31" s="264">
        <v>10067.09</v>
      </c>
      <c r="AE31" s="264">
        <v>6662.37</v>
      </c>
      <c r="AF31" s="264">
        <v>11467.39</v>
      </c>
      <c r="AG31" s="264">
        <v>5820.58</v>
      </c>
      <c r="AH31" s="264">
        <v>11125.79</v>
      </c>
      <c r="AI31" s="264">
        <v>8702.07</v>
      </c>
      <c r="AJ31" s="264">
        <v>20025.439999999999</v>
      </c>
      <c r="AK31" s="264">
        <v>45804.33</v>
      </c>
      <c r="AL31" s="264">
        <v>0</v>
      </c>
      <c r="AM31" s="264">
        <v>0</v>
      </c>
      <c r="AN31" s="264">
        <v>0</v>
      </c>
      <c r="AO31" s="264">
        <v>0</v>
      </c>
      <c r="AP31" s="264">
        <v>0</v>
      </c>
      <c r="AQ31" s="264">
        <v>0</v>
      </c>
      <c r="AR31" s="264">
        <v>0</v>
      </c>
      <c r="AS31" s="264">
        <v>0</v>
      </c>
      <c r="AT31" s="264">
        <v>0</v>
      </c>
      <c r="AU31" s="264">
        <v>0</v>
      </c>
      <c r="AV31" s="215">
        <v>0</v>
      </c>
      <c r="AW31" s="216">
        <v>0</v>
      </c>
      <c r="AX31" s="217">
        <v>0</v>
      </c>
      <c r="AY31" s="186">
        <f>SUM(B31:AX31)</f>
        <v>258821.08000000013</v>
      </c>
      <c r="AZ31" s="187">
        <f>AY31/SUM($AY$30:$AY$33)</f>
        <v>0.50319887294188137</v>
      </c>
    </row>
    <row r="32" spans="1:61" x14ac:dyDescent="0.25">
      <c r="A32" s="76" t="s">
        <v>6</v>
      </c>
      <c r="B32" s="262">
        <f>B31</f>
        <v>1E-10</v>
      </c>
      <c r="C32" s="263">
        <v>11.64</v>
      </c>
      <c r="D32" s="263">
        <v>112.21</v>
      </c>
      <c r="E32" s="263">
        <v>303.35000000000002</v>
      </c>
      <c r="F32" s="263">
        <v>324.45</v>
      </c>
      <c r="G32" s="263">
        <v>931.1</v>
      </c>
      <c r="H32" s="263">
        <v>1528.44</v>
      </c>
      <c r="I32" s="263">
        <v>930.07</v>
      </c>
      <c r="J32" s="263">
        <v>3586.42</v>
      </c>
      <c r="K32" s="263">
        <v>4758.4399999999996</v>
      </c>
      <c r="L32" s="263">
        <v>613.63</v>
      </c>
      <c r="M32" s="263">
        <v>5114.6499999999996</v>
      </c>
      <c r="N32" s="263">
        <v>219.79</v>
      </c>
      <c r="O32" s="263">
        <v>2809</v>
      </c>
      <c r="P32" s="263">
        <v>1304.53</v>
      </c>
      <c r="Q32" s="263">
        <v>260.52999999999997</v>
      </c>
      <c r="R32" s="263">
        <v>2844.12</v>
      </c>
      <c r="S32" s="263">
        <v>4566.8</v>
      </c>
      <c r="T32" s="263">
        <v>1601.16</v>
      </c>
      <c r="U32" s="263">
        <v>1294.08</v>
      </c>
      <c r="V32" s="263">
        <v>4395.8599999999997</v>
      </c>
      <c r="W32" s="264">
        <v>1034.6300000000001</v>
      </c>
      <c r="X32" s="264">
        <v>10455.620000000001</v>
      </c>
      <c r="Y32" s="264">
        <v>3722.08</v>
      </c>
      <c r="Z32" s="264">
        <v>1674.02</v>
      </c>
      <c r="AA32" s="264">
        <v>1760.97</v>
      </c>
      <c r="AB32" s="264">
        <v>3637.65</v>
      </c>
      <c r="AC32" s="264">
        <v>5937.2</v>
      </c>
      <c r="AD32" s="264">
        <v>2535.84</v>
      </c>
      <c r="AE32" s="264">
        <v>1005.85</v>
      </c>
      <c r="AF32" s="264">
        <v>7574.19</v>
      </c>
      <c r="AG32" s="264">
        <v>3768.7</v>
      </c>
      <c r="AH32" s="264">
        <v>4711.38</v>
      </c>
      <c r="AI32" s="264">
        <v>5106.29</v>
      </c>
      <c r="AJ32" s="264">
        <v>8135.68</v>
      </c>
      <c r="AK32" s="264">
        <v>20140.05</v>
      </c>
      <c r="AL32" s="264">
        <v>0</v>
      </c>
      <c r="AM32" s="264">
        <v>0</v>
      </c>
      <c r="AN32" s="264">
        <v>0</v>
      </c>
      <c r="AO32" s="264">
        <v>0</v>
      </c>
      <c r="AP32" s="264">
        <v>0</v>
      </c>
      <c r="AQ32" s="264">
        <v>0</v>
      </c>
      <c r="AR32" s="264">
        <v>0</v>
      </c>
      <c r="AS32" s="264">
        <v>0</v>
      </c>
      <c r="AT32" s="264">
        <v>0</v>
      </c>
      <c r="AU32" s="264">
        <v>0</v>
      </c>
      <c r="AV32" s="215">
        <v>0</v>
      </c>
      <c r="AW32" s="216">
        <v>0</v>
      </c>
      <c r="AX32" s="217">
        <v>0</v>
      </c>
      <c r="AY32" s="186">
        <f>SUM(B32:AX32)</f>
        <v>118710.42000000011</v>
      </c>
      <c r="AZ32" s="187">
        <f>AY32/SUM($AY$30:$AY$33)</f>
        <v>0.23079630743545851</v>
      </c>
    </row>
    <row r="33" spans="1:52" x14ac:dyDescent="0.25">
      <c r="A33" s="76" t="s">
        <v>7</v>
      </c>
      <c r="B33" s="262">
        <f>B32</f>
        <v>1E-10</v>
      </c>
      <c r="C33" s="263">
        <v>0</v>
      </c>
      <c r="D33" s="263">
        <v>154.53</v>
      </c>
      <c r="E33" s="263">
        <v>3.15</v>
      </c>
      <c r="F33" s="263">
        <v>162.72</v>
      </c>
      <c r="G33" s="263">
        <v>70.3</v>
      </c>
      <c r="H33" s="263">
        <v>44.71</v>
      </c>
      <c r="I33" s="263">
        <v>486.37</v>
      </c>
      <c r="J33" s="263">
        <v>1957</v>
      </c>
      <c r="K33" s="263">
        <v>514.53</v>
      </c>
      <c r="L33" s="263">
        <v>350.49</v>
      </c>
      <c r="M33" s="263">
        <v>2062.25</v>
      </c>
      <c r="N33" s="263">
        <v>425.37</v>
      </c>
      <c r="O33" s="263">
        <v>1195.52</v>
      </c>
      <c r="P33" s="263">
        <v>1199.97</v>
      </c>
      <c r="Q33" s="263">
        <v>8641.5300000000007</v>
      </c>
      <c r="R33" s="263">
        <v>455.73</v>
      </c>
      <c r="S33" s="263">
        <v>569.21</v>
      </c>
      <c r="T33" s="263">
        <v>693.46</v>
      </c>
      <c r="U33" s="263">
        <v>900.12</v>
      </c>
      <c r="V33" s="263">
        <v>488.48</v>
      </c>
      <c r="W33" s="264">
        <v>1082.3699999999999</v>
      </c>
      <c r="X33" s="264">
        <v>551.77</v>
      </c>
      <c r="Y33" s="264">
        <v>1078.1400000000001</v>
      </c>
      <c r="Z33" s="264">
        <v>618.32000000000005</v>
      </c>
      <c r="AA33" s="264">
        <v>1365.15</v>
      </c>
      <c r="AB33" s="264">
        <v>3774.4</v>
      </c>
      <c r="AC33" s="264">
        <v>212.62</v>
      </c>
      <c r="AD33" s="264">
        <v>910.82</v>
      </c>
      <c r="AE33" s="264">
        <v>5069.51</v>
      </c>
      <c r="AF33" s="264">
        <v>4747.7299999999996</v>
      </c>
      <c r="AG33" s="264">
        <v>6018.53</v>
      </c>
      <c r="AH33" s="264">
        <v>3826.76</v>
      </c>
      <c r="AI33" s="264">
        <v>6476.25</v>
      </c>
      <c r="AJ33" s="264">
        <v>4421.4799999999996</v>
      </c>
      <c r="AK33" s="264">
        <v>15475.03</v>
      </c>
      <c r="AL33" s="264">
        <v>0</v>
      </c>
      <c r="AM33" s="264">
        <v>0</v>
      </c>
      <c r="AN33" s="264">
        <v>0</v>
      </c>
      <c r="AO33" s="264">
        <v>0</v>
      </c>
      <c r="AP33" s="264">
        <v>0</v>
      </c>
      <c r="AQ33" s="264">
        <v>0</v>
      </c>
      <c r="AR33" s="264">
        <v>0</v>
      </c>
      <c r="AS33" s="264">
        <v>0</v>
      </c>
      <c r="AT33" s="264">
        <v>0</v>
      </c>
      <c r="AU33" s="264">
        <v>0</v>
      </c>
      <c r="AV33" s="215">
        <v>0</v>
      </c>
      <c r="AW33" s="216">
        <v>0</v>
      </c>
      <c r="AX33" s="217">
        <v>0</v>
      </c>
      <c r="AY33" s="186">
        <f>SUM(B33:AX33)</f>
        <v>76004.320000000094</v>
      </c>
      <c r="AZ33" s="187">
        <f>AY33/SUM($AY$30:$AY$33)</f>
        <v>0.1477672844990606</v>
      </c>
    </row>
    <row r="34" spans="1:52" x14ac:dyDescent="0.25">
      <c r="B34" s="113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3"/>
      <c r="AW34" s="114"/>
      <c r="AX34" s="108"/>
      <c r="AY34" s="185"/>
      <c r="AZ34" s="4"/>
    </row>
    <row r="35" spans="1:52" x14ac:dyDescent="0.25">
      <c r="A35" s="76" t="s">
        <v>101</v>
      </c>
      <c r="B35" s="188"/>
      <c r="C35" s="189"/>
      <c r="D35" s="189"/>
      <c r="E35" s="189"/>
      <c r="F35" s="189"/>
      <c r="G35" s="189"/>
      <c r="H35" s="189"/>
      <c r="I35" s="190"/>
      <c r="J35" s="189"/>
      <c r="K35" s="189"/>
      <c r="L35" s="189"/>
      <c r="M35" s="189"/>
      <c r="N35" s="189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3"/>
      <c r="AW35" s="114"/>
      <c r="AX35" s="108"/>
      <c r="AY35" s="191" t="s">
        <v>113</v>
      </c>
      <c r="AZ35" s="192"/>
    </row>
    <row r="36" spans="1:52" ht="15.75" thickBot="1" x14ac:dyDescent="0.3">
      <c r="A36" s="76" t="s">
        <v>0</v>
      </c>
      <c r="B36" s="117">
        <f t="shared" ref="B36:Q38" si="5">$AZ36*B$19</f>
        <v>-172086.60205088896</v>
      </c>
      <c r="C36" s="24">
        <f t="shared" si="5"/>
        <v>552191.27200607839</v>
      </c>
      <c r="D36" s="24">
        <f t="shared" si="5"/>
        <v>638352.87876099814</v>
      </c>
      <c r="E36" s="24">
        <f t="shared" si="5"/>
        <v>792286.40791377425</v>
      </c>
      <c r="F36" s="24">
        <f t="shared" si="5"/>
        <v>1859800.117347256</v>
      </c>
      <c r="G36" s="24">
        <f t="shared" si="5"/>
        <v>1270585.8244499026</v>
      </c>
      <c r="H36" s="24">
        <f t="shared" si="5"/>
        <v>1997268.1362671205</v>
      </c>
      <c r="I36" s="24">
        <f t="shared" si="5"/>
        <v>1481349.7399558134</v>
      </c>
      <c r="J36" s="24">
        <f t="shared" si="5"/>
        <v>2426232.4063353264</v>
      </c>
      <c r="K36" s="24">
        <f t="shared" si="5"/>
        <v>3835775.4211792848</v>
      </c>
      <c r="L36" s="24">
        <f t="shared" si="5"/>
        <v>2674663.4872085755</v>
      </c>
      <c r="M36" s="24">
        <f t="shared" si="5"/>
        <v>2759547.0519643147</v>
      </c>
      <c r="N36" s="24">
        <f t="shared" si="5"/>
        <v>1294301.5359109864</v>
      </c>
      <c r="O36" s="24">
        <f t="shared" si="5"/>
        <v>1935695.7774641775</v>
      </c>
      <c r="P36" s="24">
        <f t="shared" si="5"/>
        <v>1733040.9062400463</v>
      </c>
      <c r="Q36" s="24">
        <f t="shared" si="5"/>
        <v>2019678.7152117721</v>
      </c>
      <c r="R36" s="24">
        <f t="shared" ref="R36:AG38" si="6">$AZ36*R$19</f>
        <v>2309772.9589772131</v>
      </c>
      <c r="S36" s="24">
        <f t="shared" si="6"/>
        <v>2472396.2400168683</v>
      </c>
      <c r="T36" s="24">
        <f t="shared" si="6"/>
        <v>2608439.3583878153</v>
      </c>
      <c r="U36" s="24">
        <f t="shared" si="6"/>
        <v>3191472.5397878708</v>
      </c>
      <c r="V36" s="24">
        <f t="shared" si="6"/>
        <v>2452306.736729003</v>
      </c>
      <c r="W36" s="118">
        <f t="shared" si="6"/>
        <v>2258718.1062575472</v>
      </c>
      <c r="X36" s="118">
        <f t="shared" si="6"/>
        <v>2935113.675214882</v>
      </c>
      <c r="Y36" s="118">
        <f t="shared" si="6"/>
        <v>3000496.1728300606</v>
      </c>
      <c r="Z36" s="118">
        <f t="shared" si="6"/>
        <v>1864698.204183263</v>
      </c>
      <c r="AA36" s="118">
        <f t="shared" si="6"/>
        <v>1728909.7594214135</v>
      </c>
      <c r="AB36" s="118">
        <f t="shared" si="6"/>
        <v>2261525.2947624736</v>
      </c>
      <c r="AC36" s="118">
        <f t="shared" si="6"/>
        <v>2932529.3579365457</v>
      </c>
      <c r="AD36" s="118">
        <f t="shared" si="6"/>
        <v>2735918.4125235919</v>
      </c>
      <c r="AE36" s="118">
        <f t="shared" si="6"/>
        <v>2499416.723785745</v>
      </c>
      <c r="AF36" s="118">
        <f t="shared" si="6"/>
        <v>3597680.5045682164</v>
      </c>
      <c r="AG36" s="118">
        <f t="shared" si="6"/>
        <v>2740292.4803678677</v>
      </c>
      <c r="AH36" s="118">
        <f t="shared" ref="AH36:AW38" si="7">$AZ36*AH$19</f>
        <v>3825754.9410573556</v>
      </c>
      <c r="AI36" s="118">
        <f t="shared" si="7"/>
        <v>4184454.2570687747</v>
      </c>
      <c r="AJ36" s="118">
        <f t="shared" si="7"/>
        <v>5278312.2001200859</v>
      </c>
      <c r="AK36" s="118">
        <f t="shared" si="7"/>
        <v>12077738.345567048</v>
      </c>
      <c r="AL36" s="118">
        <f>$AZ36*AL$19</f>
        <v>-489838.93702522031</v>
      </c>
      <c r="AM36" s="118">
        <f>$AZ36*AM$19</f>
        <v>282168.13900619501</v>
      </c>
      <c r="AN36" s="118">
        <f t="shared" si="7"/>
        <v>21136.165623311244</v>
      </c>
      <c r="AO36" s="118">
        <f t="shared" si="7"/>
        <v>7897.6440099149086</v>
      </c>
      <c r="AP36" s="118">
        <f t="shared" si="7"/>
        <v>-5187.6499117439407</v>
      </c>
      <c r="AQ36" s="118">
        <f t="shared" si="7"/>
        <v>-20416.078877576023</v>
      </c>
      <c r="AR36" s="118">
        <f t="shared" si="7"/>
        <v>0</v>
      </c>
      <c r="AS36" s="118">
        <f t="shared" si="7"/>
        <v>-1657.0871872776763</v>
      </c>
      <c r="AT36" s="118">
        <f t="shared" si="7"/>
        <v>-1216.8527421030128</v>
      </c>
      <c r="AU36" s="118">
        <f t="shared" si="7"/>
        <v>-2423.4314515739738</v>
      </c>
      <c r="AV36" s="117">
        <f t="shared" si="7"/>
        <v>0</v>
      </c>
      <c r="AW36" s="118">
        <f t="shared" si="7"/>
        <v>0</v>
      </c>
      <c r="AX36" s="193">
        <f t="shared" ref="AV36:AX38" si="8">$AZ36*AX$19</f>
        <v>0</v>
      </c>
      <c r="AY36" s="194">
        <f>[1]PTD!F1</f>
        <v>599118</v>
      </c>
      <c r="AZ36" s="195">
        <f>AY36/SUM(AY$36:AY$38)</f>
        <v>0.54159370754095282</v>
      </c>
    </row>
    <row r="37" spans="1:52" ht="16.5" thickTop="1" thickBot="1" x14ac:dyDescent="0.3">
      <c r="A37" s="76" t="s">
        <v>1</v>
      </c>
      <c r="B37" s="117">
        <f t="shared" si="5"/>
        <v>-140230.71274852133</v>
      </c>
      <c r="C37" s="24">
        <f t="shared" si="5"/>
        <v>449972.13451879524</v>
      </c>
      <c r="D37" s="24">
        <f t="shared" si="5"/>
        <v>520183.89640382095</v>
      </c>
      <c r="E37" s="24">
        <f t="shared" si="5"/>
        <v>645621.9505680009</v>
      </c>
      <c r="F37" s="24">
        <f t="shared" si="5"/>
        <v>1515522.3760433479</v>
      </c>
      <c r="G37" s="24">
        <f t="shared" si="5"/>
        <v>1035380.7539188203</v>
      </c>
      <c r="H37" s="24">
        <f t="shared" si="5"/>
        <v>1627542.94036107</v>
      </c>
      <c r="I37" s="24">
        <f t="shared" si="5"/>
        <v>1207129.0117194068</v>
      </c>
      <c r="J37" s="24">
        <f t="shared" si="5"/>
        <v>1977099.2952336308</v>
      </c>
      <c r="K37" s="24">
        <f t="shared" si="5"/>
        <v>3125714.1162922513</v>
      </c>
      <c r="L37" s="24">
        <f t="shared" si="5"/>
        <v>2179541.9440194974</v>
      </c>
      <c r="M37" s="24">
        <f t="shared" si="5"/>
        <v>2248712.2492290367</v>
      </c>
      <c r="N37" s="24">
        <f t="shared" si="5"/>
        <v>1054706.3207083989</v>
      </c>
      <c r="O37" s="24">
        <f t="shared" si="5"/>
        <v>1577368.5766532486</v>
      </c>
      <c r="P37" s="24">
        <f t="shared" si="5"/>
        <v>1412228.253728423</v>
      </c>
      <c r="Q37" s="24">
        <f t="shared" si="5"/>
        <v>1645804.9748312847</v>
      </c>
      <c r="R37" s="24">
        <f t="shared" si="6"/>
        <v>1882198.2912350877</v>
      </c>
      <c r="S37" s="24">
        <f t="shared" si="6"/>
        <v>2014717.4899287208</v>
      </c>
      <c r="T37" s="24">
        <f t="shared" si="6"/>
        <v>2125576.9248081883</v>
      </c>
      <c r="U37" s="24">
        <f t="shared" si="6"/>
        <v>2600681.6546905884</v>
      </c>
      <c r="V37" s="24">
        <f t="shared" si="6"/>
        <v>1998346.8641435241</v>
      </c>
      <c r="W37" s="118">
        <f t="shared" si="6"/>
        <v>1840594.4807069886</v>
      </c>
      <c r="X37" s="118">
        <f t="shared" si="6"/>
        <v>2391778.7774762367</v>
      </c>
      <c r="Y37" s="118">
        <f t="shared" si="6"/>
        <v>2445057.9644238856</v>
      </c>
      <c r="Z37" s="118">
        <f t="shared" si="6"/>
        <v>1519513.7513156326</v>
      </c>
      <c r="AA37" s="118">
        <f t="shared" si="6"/>
        <v>1408861.8460247349</v>
      </c>
      <c r="AB37" s="118">
        <f t="shared" si="6"/>
        <v>1842882.0152400308</v>
      </c>
      <c r="AC37" s="118">
        <f t="shared" si="6"/>
        <v>2389672.8572617029</v>
      </c>
      <c r="AD37" s="118">
        <f t="shared" si="6"/>
        <v>2229457.6360833221</v>
      </c>
      <c r="AE37" s="118">
        <f t="shared" si="6"/>
        <v>2036736.0646031101</v>
      </c>
      <c r="AF37" s="118">
        <f t="shared" si="6"/>
        <v>2931694.2480383799</v>
      </c>
      <c r="AG37" s="118">
        <f t="shared" si="6"/>
        <v>2233021.9963769363</v>
      </c>
      <c r="AH37" s="118">
        <f t="shared" si="7"/>
        <v>3117548.5818878645</v>
      </c>
      <c r="AI37" s="118">
        <f t="shared" si="7"/>
        <v>3409847.1115073501</v>
      </c>
      <c r="AJ37" s="118">
        <f t="shared" si="7"/>
        <v>4301215.0458591254</v>
      </c>
      <c r="AK37" s="118">
        <f t="shared" si="7"/>
        <v>9841962.3399163093</v>
      </c>
      <c r="AL37" s="118">
        <f t="shared" si="7"/>
        <v>-399162.18027660134</v>
      </c>
      <c r="AM37" s="118">
        <f t="shared" si="7"/>
        <v>229934.45611798088</v>
      </c>
      <c r="AN37" s="118">
        <f t="shared" si="7"/>
        <v>17223.534748226608</v>
      </c>
      <c r="AO37" s="118">
        <f t="shared" si="7"/>
        <v>6435.6680609972946</v>
      </c>
      <c r="AP37" s="118">
        <f t="shared" si="7"/>
        <v>-4227.335748070218</v>
      </c>
      <c r="AQ37" s="118">
        <f t="shared" si="7"/>
        <v>-16636.747186662968</v>
      </c>
      <c r="AR37" s="118">
        <f t="shared" si="7"/>
        <v>0</v>
      </c>
      <c r="AS37" s="118">
        <f t="shared" si="7"/>
        <v>-1350.3347418625528</v>
      </c>
      <c r="AT37" s="118">
        <f t="shared" si="7"/>
        <v>-991.59449545431141</v>
      </c>
      <c r="AU37" s="118">
        <f t="shared" si="7"/>
        <v>-1974.8168404818964</v>
      </c>
      <c r="AV37" s="117">
        <f t="shared" si="8"/>
        <v>0</v>
      </c>
      <c r="AW37" s="118">
        <f t="shared" si="8"/>
        <v>0</v>
      </c>
      <c r="AX37" s="193">
        <f t="shared" si="8"/>
        <v>0</v>
      </c>
      <c r="AY37" s="194">
        <f>[1]PTD!G1</f>
        <v>488212</v>
      </c>
      <c r="AZ37" s="195">
        <f>AY37/SUM(AY$36:AY$38)</f>
        <v>0.44133634300085067</v>
      </c>
    </row>
    <row r="38" spans="1:52" ht="16.5" thickTop="1" thickBot="1" x14ac:dyDescent="0.3">
      <c r="A38" s="76" t="s">
        <v>2</v>
      </c>
      <c r="B38" s="117">
        <f t="shared" si="5"/>
        <v>-5423.8252005897602</v>
      </c>
      <c r="C38" s="24">
        <f t="shared" si="5"/>
        <v>17403.963475126398</v>
      </c>
      <c r="D38" s="24">
        <f t="shared" si="5"/>
        <v>20119.604835180926</v>
      </c>
      <c r="E38" s="24">
        <f t="shared" si="5"/>
        <v>24971.28151822479</v>
      </c>
      <c r="F38" s="24">
        <f t="shared" si="5"/>
        <v>58617.1766093962</v>
      </c>
      <c r="G38" s="24">
        <f t="shared" si="5"/>
        <v>40046.321631277162</v>
      </c>
      <c r="H38" s="24">
        <f t="shared" si="5"/>
        <v>62949.893371809958</v>
      </c>
      <c r="I38" s="24">
        <f t="shared" si="5"/>
        <v>46689.178324780136</v>
      </c>
      <c r="J38" s="24">
        <f t="shared" si="5"/>
        <v>76469.988431043574</v>
      </c>
      <c r="K38" s="24">
        <f t="shared" si="5"/>
        <v>120895.96252846424</v>
      </c>
      <c r="L38" s="24">
        <f t="shared" si="5"/>
        <v>84300.038771927284</v>
      </c>
      <c r="M38" s="24">
        <f t="shared" si="5"/>
        <v>86975.398806649362</v>
      </c>
      <c r="N38" s="24">
        <f t="shared" si="5"/>
        <v>40793.793380614763</v>
      </c>
      <c r="O38" s="24">
        <f t="shared" si="5"/>
        <v>61009.255882574151</v>
      </c>
      <c r="P38" s="24">
        <f t="shared" si="5"/>
        <v>54621.980031530999</v>
      </c>
      <c r="Q38" s="24">
        <f t="shared" si="5"/>
        <v>63656.229956943193</v>
      </c>
      <c r="R38" s="24">
        <f t="shared" si="6"/>
        <v>72799.419787699109</v>
      </c>
      <c r="S38" s="24">
        <f t="shared" si="6"/>
        <v>77924.980054410858</v>
      </c>
      <c r="T38" s="24">
        <f t="shared" si="6"/>
        <v>82212.786803997064</v>
      </c>
      <c r="U38" s="24">
        <f t="shared" si="6"/>
        <v>100588.82552154061</v>
      </c>
      <c r="V38" s="24">
        <f t="shared" si="6"/>
        <v>77291.799127473656</v>
      </c>
      <c r="W38" s="118">
        <f t="shared" si="6"/>
        <v>71190.273035464241</v>
      </c>
      <c r="X38" s="118">
        <f t="shared" si="6"/>
        <v>92508.907308881753</v>
      </c>
      <c r="Y38" s="118">
        <f t="shared" si="6"/>
        <v>94569.632746053423</v>
      </c>
      <c r="Z38" s="118">
        <f t="shared" si="6"/>
        <v>58771.554501104212</v>
      </c>
      <c r="AA38" s="118">
        <f t="shared" si="6"/>
        <v>54491.774553851741</v>
      </c>
      <c r="AB38" s="118">
        <f t="shared" si="6"/>
        <v>71278.749997495965</v>
      </c>
      <c r="AC38" s="118">
        <f t="shared" si="6"/>
        <v>92427.454801751563</v>
      </c>
      <c r="AD38" s="118">
        <f t="shared" si="6"/>
        <v>86230.671393086144</v>
      </c>
      <c r="AE38" s="118">
        <f t="shared" si="6"/>
        <v>78776.611611145418</v>
      </c>
      <c r="AF38" s="118">
        <f t="shared" si="6"/>
        <v>113391.68739340435</v>
      </c>
      <c r="AG38" s="118">
        <f t="shared" si="6"/>
        <v>86368.533255195885</v>
      </c>
      <c r="AH38" s="118">
        <f t="shared" si="7"/>
        <v>120580.1370547806</v>
      </c>
      <c r="AI38" s="118">
        <f t="shared" si="7"/>
        <v>131885.62142387588</v>
      </c>
      <c r="AJ38" s="118">
        <f t="shared" si="7"/>
        <v>166361.83402078986</v>
      </c>
      <c r="AK38" s="118">
        <f t="shared" si="7"/>
        <v>380666.13451664371</v>
      </c>
      <c r="AL38" s="118">
        <f t="shared" si="7"/>
        <v>-15438.742698178379</v>
      </c>
      <c r="AM38" s="118">
        <f t="shared" si="7"/>
        <v>8893.3748758240945</v>
      </c>
      <c r="AN38" s="118">
        <f t="shared" si="7"/>
        <v>666.16962846214972</v>
      </c>
      <c r="AO38" s="118">
        <f t="shared" si="7"/>
        <v>248.91792908779775</v>
      </c>
      <c r="AP38" s="118">
        <f t="shared" si="7"/>
        <v>-163.50434018584124</v>
      </c>
      <c r="AQ38" s="118">
        <f t="shared" si="7"/>
        <v>-643.47393576101535</v>
      </c>
      <c r="AR38" s="118">
        <f t="shared" si="7"/>
        <v>0</v>
      </c>
      <c r="AS38" s="118">
        <f t="shared" si="7"/>
        <v>-52.22807085977113</v>
      </c>
      <c r="AT38" s="118">
        <f t="shared" si="7"/>
        <v>-38.352762442676053</v>
      </c>
      <c r="AU38" s="118">
        <f t="shared" si="7"/>
        <v>-76.381707944130113</v>
      </c>
      <c r="AV38" s="117">
        <f t="shared" si="8"/>
        <v>0</v>
      </c>
      <c r="AW38" s="118">
        <f t="shared" si="8"/>
        <v>0</v>
      </c>
      <c r="AX38" s="193">
        <f t="shared" si="8"/>
        <v>0</v>
      </c>
      <c r="AY38" s="194">
        <f>[1]PTD!H1</f>
        <v>18883</v>
      </c>
      <c r="AZ38" s="195">
        <f>AY38/SUM(AY$36:AY$38)</f>
        <v>1.7069949458196568E-2</v>
      </c>
    </row>
    <row r="39" spans="1:52" ht="15.75" thickTop="1" x14ac:dyDescent="0.25">
      <c r="A39" s="50"/>
      <c r="B39" s="188"/>
      <c r="C39" s="189"/>
      <c r="D39" s="189"/>
      <c r="E39" s="189"/>
      <c r="F39" s="189"/>
      <c r="G39" s="189"/>
      <c r="H39" s="189"/>
      <c r="I39" s="190"/>
      <c r="J39" s="189"/>
      <c r="K39" s="189"/>
      <c r="L39" s="189"/>
      <c r="M39" s="189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3"/>
      <c r="AW39" s="196"/>
      <c r="AX39" s="119"/>
      <c r="AY39" s="4"/>
    </row>
    <row r="40" spans="1:52" x14ac:dyDescent="0.25">
      <c r="A40" s="76" t="s">
        <v>0</v>
      </c>
      <c r="B40" s="171">
        <f>((B29/SUM(B$29:B$33))*B$38)+B36</f>
        <v>-177510.42725147837</v>
      </c>
      <c r="C40" s="24">
        <f t="shared" ref="C40:AJ40" si="9">((C29/SUM(C$29:C$33))*C$38)+C36</f>
        <v>568878.42238456511</v>
      </c>
      <c r="D40" s="24">
        <f t="shared" si="9"/>
        <v>657387.34205956873</v>
      </c>
      <c r="E40" s="24">
        <f t="shared" si="9"/>
        <v>814370.68300816941</v>
      </c>
      <c r="F40" s="24">
        <f t="shared" si="9"/>
        <v>1906601.7195441001</v>
      </c>
      <c r="G40" s="24">
        <f t="shared" si="9"/>
        <v>1303482.967086487</v>
      </c>
      <c r="H40" s="24">
        <f t="shared" si="9"/>
        <v>2053896.7800319134</v>
      </c>
      <c r="I40" s="24">
        <f t="shared" si="9"/>
        <v>1521565.611772307</v>
      </c>
      <c r="J40" s="24">
        <f t="shared" si="9"/>
        <v>2479687.7528164634</v>
      </c>
      <c r="K40" s="24">
        <f t="shared" si="9"/>
        <v>3919681.1964754467</v>
      </c>
      <c r="L40" s="24">
        <f t="shared" si="9"/>
        <v>2740242.0246339962</v>
      </c>
      <c r="M40" s="24">
        <f t="shared" si="9"/>
        <v>2811776.645528778</v>
      </c>
      <c r="N40" s="120">
        <f>((N29/SUM(N$29:N$33))*N$38)+N36</f>
        <v>1326937.0361893792</v>
      </c>
      <c r="O40" s="24">
        <f t="shared" si="9"/>
        <v>1975734.2760122553</v>
      </c>
      <c r="P40" s="24">
        <f t="shared" si="9"/>
        <v>1771506.496107416</v>
      </c>
      <c r="Q40" s="24">
        <f t="shared" si="9"/>
        <v>2058517.2559834304</v>
      </c>
      <c r="R40" s="24">
        <f t="shared" si="9"/>
        <v>2351871.5990622672</v>
      </c>
      <c r="S40" s="24">
        <f t="shared" si="9"/>
        <v>2520988.8221296705</v>
      </c>
      <c r="T40" s="24">
        <f t="shared" si="9"/>
        <v>2662089.9504927625</v>
      </c>
      <c r="U40" s="24">
        <f t="shared" si="9"/>
        <v>3250181.3757037548</v>
      </c>
      <c r="V40" s="24">
        <f t="shared" si="9"/>
        <v>2495802.5497650704</v>
      </c>
      <c r="W40" s="118">
        <f t="shared" si="9"/>
        <v>2297057.1130099092</v>
      </c>
      <c r="X40" s="118">
        <f t="shared" si="9"/>
        <v>2979546.0471796016</v>
      </c>
      <c r="Y40" s="118">
        <f t="shared" si="9"/>
        <v>3049609.9969043229</v>
      </c>
      <c r="Z40" s="118">
        <f t="shared" si="9"/>
        <v>1899772.0488257918</v>
      </c>
      <c r="AA40" s="118">
        <f t="shared" si="9"/>
        <v>1749223.4299371566</v>
      </c>
      <c r="AB40" s="118">
        <f t="shared" si="9"/>
        <v>2287950.1407979699</v>
      </c>
      <c r="AC40" s="118">
        <f t="shared" si="9"/>
        <v>2967490.044543168</v>
      </c>
      <c r="AD40" s="118">
        <f t="shared" si="9"/>
        <v>2773510.001647213</v>
      </c>
      <c r="AE40" s="118">
        <f t="shared" si="9"/>
        <v>2536645.1947747157</v>
      </c>
      <c r="AF40" s="118">
        <f t="shared" si="9"/>
        <v>3629467.8625976536</v>
      </c>
      <c r="AG40" s="118">
        <f t="shared" si="9"/>
        <v>2776500.203742221</v>
      </c>
      <c r="AH40" s="118">
        <f t="shared" si="9"/>
        <v>3870589.5976734683</v>
      </c>
      <c r="AI40" s="118">
        <f t="shared" si="9"/>
        <v>4243294.4463794259</v>
      </c>
      <c r="AJ40" s="118">
        <f t="shared" si="9"/>
        <v>5327784.0869164467</v>
      </c>
      <c r="AK40" s="118">
        <f>((AK29/SUM(AK$29:AK$33))*AK$38)+AK36</f>
        <v>12171898.447023274</v>
      </c>
      <c r="AL40" s="118">
        <f>(($AK$29/SUM($AK$29:$AK$33))*AL$38)+AL36</f>
        <v>-493657.80465488986</v>
      </c>
      <c r="AM40" s="118">
        <f t="shared" ref="AM40:AT40" si="10">(($AK$29/SUM($AK$29:$AK$33))*AM$38)+AM36</f>
        <v>284367.96978877607</v>
      </c>
      <c r="AN40" s="118">
        <f t="shared" si="10"/>
        <v>21300.946763831402</v>
      </c>
      <c r="AO40" s="118">
        <f t="shared" si="10"/>
        <v>7959.2153852802048</v>
      </c>
      <c r="AP40" s="118">
        <f t="shared" si="10"/>
        <v>-5228.0937123987605</v>
      </c>
      <c r="AQ40" s="118">
        <f t="shared" si="10"/>
        <v>-20575.246099405798</v>
      </c>
      <c r="AR40" s="118">
        <f t="shared" si="10"/>
        <v>0</v>
      </c>
      <c r="AS40" s="118">
        <f t="shared" si="10"/>
        <v>-1670.0061207080521</v>
      </c>
      <c r="AT40" s="118">
        <f t="shared" si="10"/>
        <v>-1226.3395329553548</v>
      </c>
      <c r="AU40" s="170">
        <f>(($AK$29/SUM($AK$29:$AK$33))*AU$38)+AU36</f>
        <v>-2442.324935173589</v>
      </c>
      <c r="AV40" s="117">
        <f>IFERROR(((AY29/SUM(AY$29:AY$33))*AV$38)+AV36,0)</f>
        <v>0</v>
      </c>
      <c r="AW40" s="121">
        <f t="shared" ref="AW40:AX40" si="11">IFERROR(((AW29/SUM(AW$29:AW$33))*AW$38)+AW36,0)</f>
        <v>0</v>
      </c>
      <c r="AX40" s="122">
        <f t="shared" si="11"/>
        <v>0</v>
      </c>
      <c r="AY40" s="4"/>
    </row>
    <row r="41" spans="1:52" x14ac:dyDescent="0.25">
      <c r="A41" s="76" t="s">
        <v>4</v>
      </c>
      <c r="B41" s="117">
        <f>((B30/SUM(B$29:B$33))*B$38)+((B30/SUM(B$30:B$33))*B$37)</f>
        <v>-35057.678187130419</v>
      </c>
      <c r="C41" s="24">
        <f t="shared" ref="C41:AK44" si="12">((C30/SUM(C$29:C$33))*C$38)+((C30/SUM(C$30:C$33))*C$37)</f>
        <v>46392.737738000236</v>
      </c>
      <c r="D41" s="24">
        <f t="shared" si="12"/>
        <v>137645.82901581566</v>
      </c>
      <c r="E41" s="24">
        <f t="shared" si="12"/>
        <v>118229.83071375101</v>
      </c>
      <c r="F41" s="24">
        <f t="shared" si="12"/>
        <v>123368.90662676416</v>
      </c>
      <c r="G41" s="24">
        <f t="shared" si="12"/>
        <v>144220.52645997267</v>
      </c>
      <c r="H41" s="24">
        <f t="shared" si="12"/>
        <v>244138.64963968008</v>
      </c>
      <c r="I41" s="24">
        <f t="shared" si="12"/>
        <v>236564.60894035627</v>
      </c>
      <c r="J41" s="24">
        <f t="shared" si="12"/>
        <v>121247.77204774613</v>
      </c>
      <c r="K41" s="24">
        <f t="shared" si="12"/>
        <v>339151.51324000472</v>
      </c>
      <c r="L41" s="24">
        <f t="shared" si="12"/>
        <v>264761.75139884336</v>
      </c>
      <c r="M41" s="24">
        <f t="shared" si="12"/>
        <v>182790.39050600433</v>
      </c>
      <c r="N41" s="24">
        <f t="shared" si="12"/>
        <v>203677.82876121666</v>
      </c>
      <c r="O41" s="24">
        <f t="shared" si="12"/>
        <v>216102.56176436821</v>
      </c>
      <c r="P41" s="24">
        <f t="shared" si="12"/>
        <v>293572.99572096352</v>
      </c>
      <c r="Q41" s="24">
        <f t="shared" si="12"/>
        <v>89488.968218929906</v>
      </c>
      <c r="R41" s="24">
        <f t="shared" si="12"/>
        <v>325570.53304197692</v>
      </c>
      <c r="S41" s="24">
        <f t="shared" si="12"/>
        <v>135861.16747471632</v>
      </c>
      <c r="T41" s="24">
        <f t="shared" si="12"/>
        <v>197983.28405596456</v>
      </c>
      <c r="U41" s="24">
        <f t="shared" si="12"/>
        <v>378061.56134567637</v>
      </c>
      <c r="V41" s="24">
        <f t="shared" si="12"/>
        <v>281364.62347090215</v>
      </c>
      <c r="W41" s="118">
        <f t="shared" si="12"/>
        <v>353195.94089215802</v>
      </c>
      <c r="X41" s="118">
        <f t="shared" si="12"/>
        <v>158460.53264208589</v>
      </c>
      <c r="Y41" s="118">
        <f t="shared" si="12"/>
        <v>245513.45289889417</v>
      </c>
      <c r="Z41" s="118">
        <f t="shared" si="12"/>
        <v>312195.49045775383</v>
      </c>
      <c r="AA41" s="118">
        <f t="shared" si="12"/>
        <v>313893.48531187169</v>
      </c>
      <c r="AB41" s="118">
        <f t="shared" si="12"/>
        <v>321007.58037071856</v>
      </c>
      <c r="AC41" s="118">
        <f t="shared" si="12"/>
        <v>588899.91504152631</v>
      </c>
      <c r="AD41" s="118">
        <f t="shared" si="12"/>
        <v>361041.24988158798</v>
      </c>
      <c r="AE41" s="118">
        <f t="shared" si="12"/>
        <v>174065.26624386062</v>
      </c>
      <c r="AF41" s="118">
        <f t="shared" si="12"/>
        <v>150883.37634915364</v>
      </c>
      <c r="AG41" s="118">
        <f t="shared" si="12"/>
        <v>228890.29907271094</v>
      </c>
      <c r="AH41" s="118">
        <f t="shared" si="12"/>
        <v>375398.75789772405</v>
      </c>
      <c r="AI41" s="118">
        <f t="shared" si="12"/>
        <v>425395.87405067019</v>
      </c>
      <c r="AJ41" s="118">
        <f t="shared" si="12"/>
        <v>523807.01770229754</v>
      </c>
      <c r="AK41" s="118">
        <f t="shared" si="12"/>
        <v>923939.28253452375</v>
      </c>
      <c r="AL41" s="118">
        <f>(($AK$30/SUM($AK$29:$AK$33))*AL$38)+(($AK$30/SUM($AK$30:$AK$33))*AL$37)</f>
        <v>-37472.366355632221</v>
      </c>
      <c r="AM41" s="118">
        <f t="shared" ref="AM41:AT41" si="13">(($AK$30/SUM($AK$29:$AK$33))*AM$38)+(($AK$30/SUM($AK$30:$AK$33))*AM$37)</f>
        <v>21585.682720405501</v>
      </c>
      <c r="AN41" s="118">
        <f t="shared" si="13"/>
        <v>1616.9031935271814</v>
      </c>
      <c r="AO41" s="118">
        <f t="shared" si="13"/>
        <v>604.16473113214056</v>
      </c>
      <c r="AP41" s="118">
        <f t="shared" si="13"/>
        <v>-396.8519105446764</v>
      </c>
      <c r="AQ41" s="118">
        <f t="shared" si="13"/>
        <v>-1561.8170166138177</v>
      </c>
      <c r="AR41" s="118">
        <f t="shared" si="13"/>
        <v>0</v>
      </c>
      <c r="AS41" s="118">
        <f t="shared" si="13"/>
        <v>-126.7661132493764</v>
      </c>
      <c r="AT41" s="118">
        <f t="shared" si="13"/>
        <v>-93.088458891931737</v>
      </c>
      <c r="AU41" s="170">
        <f>(($AK$30/SUM($AK$29:$AK$33))*AU$38)+(($AK$30/SUM($AK$30:$AK$33))*AU$37)</f>
        <v>-185.39096083834986</v>
      </c>
      <c r="AV41" s="117">
        <f>IFERROR(((AY30/SUM(AY$29:AY$33))*AV$38)+((AY30/SUM(AY$30:AY$33))*AV$37),0)</f>
        <v>0</v>
      </c>
      <c r="AW41" s="121">
        <f t="shared" ref="AW41:AX41" si="14">IFERROR(((AW30/SUM(AW$29:AW$33))*AW$38)+((AW30/SUM(AW$30:AW$33))*AW$37),0)</f>
        <v>0</v>
      </c>
      <c r="AX41" s="122">
        <f t="shared" si="14"/>
        <v>0</v>
      </c>
      <c r="AY41" s="4"/>
    </row>
    <row r="42" spans="1:52" x14ac:dyDescent="0.25">
      <c r="A42" s="76" t="s">
        <v>5</v>
      </c>
      <c r="B42" s="117">
        <f t="shared" ref="B42:Q44" si="15">((B31/SUM(B$29:B$33))*B$38)+((B31/SUM(B$30:B$33))*B$37)</f>
        <v>-35057.678187130419</v>
      </c>
      <c r="C42" s="24">
        <f t="shared" si="12"/>
        <v>389233.12850308808</v>
      </c>
      <c r="D42" s="24">
        <f t="shared" si="12"/>
        <v>203122.5037887881</v>
      </c>
      <c r="E42" s="24">
        <f t="shared" si="12"/>
        <v>430103.74309191073</v>
      </c>
      <c r="F42" s="24">
        <f t="shared" si="12"/>
        <v>1290663.8062125144</v>
      </c>
      <c r="G42" s="24">
        <f t="shared" si="12"/>
        <v>614281.64686217671</v>
      </c>
      <c r="H42" s="24">
        <f t="shared" si="12"/>
        <v>677871.30297244398</v>
      </c>
      <c r="I42" s="24">
        <f t="shared" si="12"/>
        <v>480432.23949530127</v>
      </c>
      <c r="J42" s="24">
        <f t="shared" si="12"/>
        <v>897801.61320918659</v>
      </c>
      <c r="K42" s="24">
        <f t="shared" si="12"/>
        <v>1814931.6263189826</v>
      </c>
      <c r="L42" s="24">
        <f t="shared" si="12"/>
        <v>1716447.6224225124</v>
      </c>
      <c r="M42" s="24">
        <f t="shared" si="12"/>
        <v>1113313.1262526622</v>
      </c>
      <c r="N42" s="24">
        <f t="shared" si="12"/>
        <v>700112.64030981332</v>
      </c>
      <c r="O42" s="24">
        <f t="shared" si="12"/>
        <v>673338.93840265344</v>
      </c>
      <c r="P42" s="24">
        <f t="shared" si="12"/>
        <v>705017.25415793457</v>
      </c>
      <c r="Q42" s="24">
        <f t="shared" si="12"/>
        <v>258696.50386037701</v>
      </c>
      <c r="R42" s="24">
        <f t="shared" si="12"/>
        <v>1120155.7405315624</v>
      </c>
      <c r="S42" s="24">
        <f t="shared" si="12"/>
        <v>1060612.2087265158</v>
      </c>
      <c r="T42" s="24">
        <f t="shared" si="12"/>
        <v>1486865.6094706971</v>
      </c>
      <c r="U42" s="24">
        <f t="shared" si="12"/>
        <v>1841270.5007989262</v>
      </c>
      <c r="V42" s="24">
        <f t="shared" si="12"/>
        <v>1016084.9627487032</v>
      </c>
      <c r="W42" s="118">
        <f t="shared" si="12"/>
        <v>1225671.7065853933</v>
      </c>
      <c r="X42" s="118">
        <f t="shared" si="12"/>
        <v>836377.60437312408</v>
      </c>
      <c r="Y42" s="118">
        <f t="shared" si="12"/>
        <v>1493648.0433041954</v>
      </c>
      <c r="Z42" s="118">
        <f t="shared" si="12"/>
        <v>822369.65251905273</v>
      </c>
      <c r="AA42" s="118">
        <f t="shared" si="12"/>
        <v>646537.89412884356</v>
      </c>
      <c r="AB42" s="118">
        <f t="shared" si="12"/>
        <v>582491.26223063085</v>
      </c>
      <c r="AC42" s="118">
        <f t="shared" si="12"/>
        <v>1053731.9442928049</v>
      </c>
      <c r="AD42" s="118">
        <f t="shared" si="12"/>
        <v>1428113.58328308</v>
      </c>
      <c r="AE42" s="118">
        <f t="shared" si="12"/>
        <v>995986.81495852652</v>
      </c>
      <c r="AF42" s="118">
        <f t="shared" si="12"/>
        <v>1379797.5415178239</v>
      </c>
      <c r="AG42" s="118">
        <f t="shared" si="12"/>
        <v>766101.96314993978</v>
      </c>
      <c r="AH42" s="118">
        <f t="shared" si="12"/>
        <v>1594356.3366560494</v>
      </c>
      <c r="AI42" s="118">
        <f t="shared" si="12"/>
        <v>1311661.8975353322</v>
      </c>
      <c r="AJ42" s="118">
        <f t="shared" si="12"/>
        <v>2393456.3370669871</v>
      </c>
      <c r="AK42" s="118">
        <f t="shared" si="12"/>
        <v>5178215.9555468969</v>
      </c>
      <c r="AL42" s="118">
        <f>(($AK$31/SUM($AK$29:$AK$33))*AL$38)+(($AK$31/SUM($AK$30:$AK$33))*AL$37)</f>
        <v>-210013.80612646806</v>
      </c>
      <c r="AM42" s="118">
        <f t="shared" ref="AM42:AT42" si="16">(($AK$31/SUM($AK$29:$AK$33))*AM$38)+(($AK$31/SUM($AK$30:$AK$33))*AM$37)</f>
        <v>120976.91784200132</v>
      </c>
      <c r="AN42" s="118">
        <f t="shared" si="16"/>
        <v>9061.9308796239329</v>
      </c>
      <c r="AO42" s="118">
        <f t="shared" si="16"/>
        <v>3386.0400890685719</v>
      </c>
      <c r="AP42" s="118">
        <f t="shared" si="16"/>
        <v>-2224.1557795167423</v>
      </c>
      <c r="AQ42" s="118">
        <f t="shared" si="16"/>
        <v>-8753.2005056534981</v>
      </c>
      <c r="AR42" s="118">
        <f t="shared" si="16"/>
        <v>0</v>
      </c>
      <c r="AS42" s="118">
        <f t="shared" si="16"/>
        <v>-710.46044113408277</v>
      </c>
      <c r="AT42" s="118">
        <f t="shared" si="16"/>
        <v>-521.71409119999259</v>
      </c>
      <c r="AU42" s="170">
        <f>(($AK$31/SUM($AK$29:$AK$33))*AU$38)+(($AK$31/SUM($AK$30:$AK$33))*AU$37)</f>
        <v>-1039.0232881904142</v>
      </c>
      <c r="AV42" s="117">
        <f>IFERROR(((AY31/SUM(AY$29:AY$33))*AV$38)+((AY31/SUM(AY$30:AY$33))*AV$37),0)</f>
        <v>0</v>
      </c>
      <c r="AW42" s="121">
        <f t="shared" ref="AW42:AX42" si="17">IFERROR(((AW31/SUM(AW$29:AW$33))*AW$38)+((AW31/SUM(AW$30:AW$33))*AW$37),0)</f>
        <v>0</v>
      </c>
      <c r="AX42" s="122">
        <f t="shared" si="17"/>
        <v>0</v>
      </c>
      <c r="AY42" s="4"/>
    </row>
    <row r="43" spans="1:52" x14ac:dyDescent="0.25">
      <c r="A43" s="76" t="s">
        <v>6</v>
      </c>
      <c r="B43" s="117">
        <f t="shared" si="15"/>
        <v>-35057.678187130419</v>
      </c>
      <c r="C43" s="24">
        <f t="shared" si="15"/>
        <v>15063.081374346522</v>
      </c>
      <c r="D43" s="24">
        <f t="shared" si="15"/>
        <v>75931.559283539027</v>
      </c>
      <c r="E43" s="24">
        <f t="shared" si="15"/>
        <v>99145.848252934069</v>
      </c>
      <c r="F43" s="24">
        <f t="shared" si="15"/>
        <v>75460.074193223787</v>
      </c>
      <c r="G43" s="24">
        <f t="shared" si="15"/>
        <v>264088.52302328619</v>
      </c>
      <c r="H43" s="24">
        <f t="shared" si="15"/>
        <v>691622.85258516239</v>
      </c>
      <c r="I43" s="24">
        <f t="shared" si="15"/>
        <v>326083.59640329191</v>
      </c>
      <c r="J43" s="24">
        <f t="shared" si="15"/>
        <v>634718.19388042286</v>
      </c>
      <c r="K43" s="24">
        <f t="shared" si="15"/>
        <v>910201.13739700965</v>
      </c>
      <c r="L43" s="24">
        <f t="shared" si="15"/>
        <v>138147.62677046692</v>
      </c>
      <c r="M43" s="24">
        <f t="shared" si="15"/>
        <v>703642.64324590378</v>
      </c>
      <c r="N43" s="24">
        <f t="shared" si="15"/>
        <v>54192.613107314013</v>
      </c>
      <c r="O43" s="24">
        <f t="shared" si="15"/>
        <v>497261.59819464292</v>
      </c>
      <c r="P43" s="24">
        <f t="shared" si="15"/>
        <v>223868.90829414022</v>
      </c>
      <c r="Q43" s="24">
        <f t="shared" si="15"/>
        <v>38702.790322174311</v>
      </c>
      <c r="R43" s="24">
        <f t="shared" ref="R43:W44" si="18">((R32/SUM(R$29:R$33))*R$38)+((R32/SUM(R$30:R$33))*R$37)</f>
        <v>402653.30134383374</v>
      </c>
      <c r="S43" s="24">
        <f t="shared" si="18"/>
        <v>753641.91531761712</v>
      </c>
      <c r="T43" s="24">
        <f t="shared" si="18"/>
        <v>327465.43577196245</v>
      </c>
      <c r="U43" s="24">
        <f t="shared" si="18"/>
        <v>249609.39644097944</v>
      </c>
      <c r="V43" s="24">
        <f t="shared" si="18"/>
        <v>661217.01838004868</v>
      </c>
      <c r="W43" s="118">
        <f t="shared" si="18"/>
        <v>143967.56688647083</v>
      </c>
      <c r="X43" s="118">
        <f t="shared" si="12"/>
        <v>1372582.4635714961</v>
      </c>
      <c r="Y43" s="118">
        <f t="shared" si="12"/>
        <v>582596.89822057344</v>
      </c>
      <c r="Z43" s="118">
        <f t="shared" si="12"/>
        <v>298420.87543244642</v>
      </c>
      <c r="AA43" s="118">
        <f t="shared" si="12"/>
        <v>271857.51494134875</v>
      </c>
      <c r="AB43" s="118">
        <f t="shared" si="12"/>
        <v>483039.10546966997</v>
      </c>
      <c r="AC43" s="118">
        <f t="shared" si="12"/>
        <v>776693.22175649251</v>
      </c>
      <c r="AD43" s="118">
        <f t="shared" si="12"/>
        <v>359733.30416560953</v>
      </c>
      <c r="AE43" s="118">
        <f t="shared" si="12"/>
        <v>150368.91343861626</v>
      </c>
      <c r="AF43" s="118">
        <f t="shared" si="12"/>
        <v>911353.73794637551</v>
      </c>
      <c r="AG43" s="118">
        <f t="shared" si="12"/>
        <v>496034.49630847404</v>
      </c>
      <c r="AH43" s="118">
        <f t="shared" si="12"/>
        <v>675153.7245799693</v>
      </c>
      <c r="AI43" s="118">
        <f t="shared" si="12"/>
        <v>769670.43827108864</v>
      </c>
      <c r="AJ43" s="118">
        <f t="shared" si="12"/>
        <v>972382.87160477624</v>
      </c>
      <c r="AK43" s="118">
        <f t="shared" si="12"/>
        <v>2276848.6790552828</v>
      </c>
      <c r="AL43" s="118">
        <f>(($AK$32/SUM($AK$29:$AK$33))*AL$38)+(($AK$32/SUM($AK$30:$AK$33))*AL$37)</f>
        <v>-92342.548315352993</v>
      </c>
      <c r="AM43" s="118">
        <f t="shared" ref="AM43:AT43" si="19">(($AK$32/SUM($AK$29:$AK$33))*AM$38)+(($AK$32/SUM($AK$30:$AK$33))*AM$37)</f>
        <v>53193.249943483468</v>
      </c>
      <c r="AN43" s="118">
        <f t="shared" si="19"/>
        <v>3984.5084735912515</v>
      </c>
      <c r="AO43" s="118">
        <f t="shared" si="19"/>
        <v>1488.8334071439422</v>
      </c>
      <c r="AP43" s="118">
        <f t="shared" si="19"/>
        <v>-977.95576547580015</v>
      </c>
      <c r="AQ43" s="118">
        <f t="shared" si="19"/>
        <v>-3848.7604958720435</v>
      </c>
      <c r="AR43" s="118">
        <f t="shared" si="19"/>
        <v>0</v>
      </c>
      <c r="AS43" s="118">
        <f t="shared" si="19"/>
        <v>-312.38768927440884</v>
      </c>
      <c r="AT43" s="118">
        <f t="shared" si="19"/>
        <v>-229.39638856135238</v>
      </c>
      <c r="AU43" s="170">
        <f>(($AK$32/SUM($AK$29:$AK$33))*AU$38)+(($AK$32/SUM($AK$30:$AK$33))*AU$37)</f>
        <v>-456.8559560923465</v>
      </c>
      <c r="AV43" s="117">
        <f>IFERROR(((AY32/SUM(AY$29:AY$33))*AV$38)+((AY32/SUM(AY$30:AY$33))*AV$37),0)</f>
        <v>0</v>
      </c>
      <c r="AW43" s="121">
        <f t="shared" ref="AW43:AX43" si="20">IFERROR(((AW32/SUM(AW$29:AW$33))*AW$38)+((AW32/SUM(AW$30:AW$33))*AW$37),0)</f>
        <v>0</v>
      </c>
      <c r="AX43" s="122">
        <f t="shared" si="20"/>
        <v>0</v>
      </c>
      <c r="AY43" s="4"/>
    </row>
    <row r="44" spans="1:52" x14ac:dyDescent="0.25">
      <c r="A44" s="76" t="s">
        <v>7</v>
      </c>
      <c r="B44" s="117">
        <f t="shared" si="15"/>
        <v>-35057.678187130419</v>
      </c>
      <c r="C44" s="24">
        <f t="shared" si="15"/>
        <v>0</v>
      </c>
      <c r="D44" s="24">
        <f t="shared" si="15"/>
        <v>104569.14585228843</v>
      </c>
      <c r="E44" s="24">
        <f t="shared" si="15"/>
        <v>1029.5349332346868</v>
      </c>
      <c r="F44" s="24">
        <f t="shared" si="15"/>
        <v>37845.163423397673</v>
      </c>
      <c r="G44" s="24">
        <f t="shared" si="15"/>
        <v>19939.236568077562</v>
      </c>
      <c r="H44" s="24">
        <f t="shared" si="15"/>
        <v>20231.384770800691</v>
      </c>
      <c r="I44" s="24">
        <f t="shared" si="15"/>
        <v>170521.87338874393</v>
      </c>
      <c r="J44" s="24">
        <f t="shared" si="15"/>
        <v>346346.35804618185</v>
      </c>
      <c r="K44" s="24">
        <f t="shared" si="15"/>
        <v>98420.026568556787</v>
      </c>
      <c r="L44" s="24">
        <f t="shared" si="15"/>
        <v>78906.444774181451</v>
      </c>
      <c r="M44" s="24">
        <f t="shared" si="15"/>
        <v>283711.89446665259</v>
      </c>
      <c r="N44" s="24">
        <f t="shared" si="15"/>
        <v>104881.53163227699</v>
      </c>
      <c r="O44" s="24">
        <f t="shared" si="15"/>
        <v>211636.23562608028</v>
      </c>
      <c r="P44" s="24">
        <f t="shared" si="15"/>
        <v>205925.48571954609</v>
      </c>
      <c r="Q44" s="24">
        <f t="shared" si="15"/>
        <v>1283734.4016150886</v>
      </c>
      <c r="R44" s="24">
        <f t="shared" si="18"/>
        <v>64519.496020359671</v>
      </c>
      <c r="S44" s="24">
        <f t="shared" si="18"/>
        <v>93934.596351480432</v>
      </c>
      <c r="T44" s="24">
        <f t="shared" si="18"/>
        <v>141824.79020861443</v>
      </c>
      <c r="U44" s="24">
        <f t="shared" si="18"/>
        <v>173620.18571066271</v>
      </c>
      <c r="V44" s="24">
        <f t="shared" si="18"/>
        <v>73476.245635276427</v>
      </c>
      <c r="W44" s="118">
        <f t="shared" si="18"/>
        <v>150610.53262606866</v>
      </c>
      <c r="X44" s="118">
        <f t="shared" si="12"/>
        <v>72434.712233692917</v>
      </c>
      <c r="Y44" s="118">
        <f t="shared" si="12"/>
        <v>168755.37867201382</v>
      </c>
      <c r="Z44" s="118">
        <f t="shared" si="12"/>
        <v>110225.44276495519</v>
      </c>
      <c r="AA44" s="118">
        <f t="shared" si="12"/>
        <v>210751.05568077948</v>
      </c>
      <c r="AB44" s="118">
        <f t="shared" si="12"/>
        <v>501197.97113101103</v>
      </c>
      <c r="AC44" s="118">
        <f t="shared" si="12"/>
        <v>27814.54436600846</v>
      </c>
      <c r="AD44" s="118">
        <f t="shared" si="12"/>
        <v>129208.5810225095</v>
      </c>
      <c r="AE44" s="118">
        <f t="shared" si="12"/>
        <v>757863.21058428148</v>
      </c>
      <c r="AF44" s="118">
        <f t="shared" si="12"/>
        <v>571263.92158899433</v>
      </c>
      <c r="AG44" s="118">
        <f t="shared" si="12"/>
        <v>792156.04772665387</v>
      </c>
      <c r="AH44" s="118">
        <f t="shared" si="12"/>
        <v>548385.24319278926</v>
      </c>
      <c r="AI44" s="118">
        <f t="shared" si="12"/>
        <v>976164.33376348333</v>
      </c>
      <c r="AJ44" s="118">
        <f t="shared" si="12"/>
        <v>528458.76670949266</v>
      </c>
      <c r="AK44" s="118">
        <f t="shared" si="12"/>
        <v>1749464.4558400239</v>
      </c>
      <c r="AL44" s="118">
        <f>(($AK$33/SUM($AK$29:$AK$33))*AL$38)+(($AK$33/SUM($AK$30:$AK$33))*AL$37)</f>
        <v>-70953.334547656894</v>
      </c>
      <c r="AM44" s="118">
        <f t="shared" ref="AM44:AT44" si="21">(($AK$33/SUM($AK$29:$AK$33))*AM$38)+(($AK$33/SUM($AK$30:$AK$33))*AM$37)</f>
        <v>40872.14970533365</v>
      </c>
      <c r="AN44" s="118">
        <f t="shared" si="21"/>
        <v>3061.5806894262341</v>
      </c>
      <c r="AO44" s="118">
        <f t="shared" si="21"/>
        <v>1143.9763873751415</v>
      </c>
      <c r="AP44" s="118">
        <f t="shared" si="21"/>
        <v>-751.43283206402032</v>
      </c>
      <c r="AQ44" s="118">
        <f t="shared" si="21"/>
        <v>-2957.2758824548473</v>
      </c>
      <c r="AR44" s="118">
        <f t="shared" si="21"/>
        <v>0</v>
      </c>
      <c r="AS44" s="118">
        <f t="shared" si="21"/>
        <v>-240.02963563408011</v>
      </c>
      <c r="AT44" s="118">
        <f t="shared" si="21"/>
        <v>-176.26152839136867</v>
      </c>
      <c r="AU44" s="170">
        <f>(($AK$33/SUM($AK$29:$AK$33))*AU$38)+(($AK$33/SUM($AK$30:$AK$33))*AU$37)</f>
        <v>-351.03485970530085</v>
      </c>
      <c r="AV44" s="117">
        <f>IFERROR(((AY33/SUM(AY$29:AY$33))*AV$38)+((AY33/SUM(AY$30:AY$33))*AV$37),0)</f>
        <v>0</v>
      </c>
      <c r="AW44" s="121">
        <f t="shared" ref="AW44:AX44" si="22">IFERROR(((AW33/SUM(AW$29:AW$33))*AW$38)+((AW33/SUM(AW$30:AW$33))*AW$37),0)</f>
        <v>0</v>
      </c>
      <c r="AX44" s="122">
        <f t="shared" si="22"/>
        <v>0</v>
      </c>
      <c r="AY44" s="4"/>
    </row>
    <row r="45" spans="1:52" x14ac:dyDescent="0.25">
      <c r="B45" s="197">
        <f>SUM(B40:B44)-B19</f>
        <v>0</v>
      </c>
      <c r="C45" s="198">
        <f t="shared" ref="C45:AX45" si="23">SUM(C40:C44)-C19</f>
        <v>0</v>
      </c>
      <c r="D45" s="198">
        <f t="shared" si="23"/>
        <v>0</v>
      </c>
      <c r="E45" s="198">
        <f t="shared" si="23"/>
        <v>0</v>
      </c>
      <c r="F45" s="198">
        <f t="shared" si="23"/>
        <v>0</v>
      </c>
      <c r="G45" s="198">
        <f t="shared" si="23"/>
        <v>0</v>
      </c>
      <c r="H45" s="198">
        <f t="shared" si="23"/>
        <v>0</v>
      </c>
      <c r="I45" s="198">
        <f t="shared" si="23"/>
        <v>0</v>
      </c>
      <c r="J45" s="198">
        <f t="shared" si="23"/>
        <v>0</v>
      </c>
      <c r="K45" s="198">
        <f t="shared" si="23"/>
        <v>0</v>
      </c>
      <c r="L45" s="198">
        <f t="shared" si="23"/>
        <v>0</v>
      </c>
      <c r="M45" s="198">
        <f t="shared" si="23"/>
        <v>0</v>
      </c>
      <c r="N45" s="198">
        <f t="shared" si="23"/>
        <v>0</v>
      </c>
      <c r="O45" s="198">
        <f t="shared" si="23"/>
        <v>0</v>
      </c>
      <c r="P45" s="198">
        <f t="shared" si="23"/>
        <v>0</v>
      </c>
      <c r="Q45" s="198">
        <f t="shared" si="23"/>
        <v>0</v>
      </c>
      <c r="R45" s="198">
        <f t="shared" si="23"/>
        <v>0</v>
      </c>
      <c r="S45" s="198">
        <f t="shared" si="23"/>
        <v>0</v>
      </c>
      <c r="T45" s="198">
        <f t="shared" si="23"/>
        <v>0</v>
      </c>
      <c r="U45" s="198">
        <f t="shared" si="23"/>
        <v>0</v>
      </c>
      <c r="V45" s="198">
        <f t="shared" si="23"/>
        <v>0</v>
      </c>
      <c r="W45" s="199">
        <f t="shared" si="23"/>
        <v>0</v>
      </c>
      <c r="X45" s="199">
        <f t="shared" ref="X45:AI45" si="24">SUM(X40:X44)-X19</f>
        <v>0</v>
      </c>
      <c r="Y45" s="199">
        <f t="shared" si="24"/>
        <v>0</v>
      </c>
      <c r="Z45" s="199">
        <f t="shared" si="24"/>
        <v>0</v>
      </c>
      <c r="AA45" s="199">
        <f t="shared" si="24"/>
        <v>0</v>
      </c>
      <c r="AB45" s="199">
        <f t="shared" si="24"/>
        <v>0</v>
      </c>
      <c r="AC45" s="199">
        <f t="shared" si="24"/>
        <v>0</v>
      </c>
      <c r="AD45" s="199">
        <f t="shared" si="24"/>
        <v>0</v>
      </c>
      <c r="AE45" s="199">
        <f t="shared" si="24"/>
        <v>0</v>
      </c>
      <c r="AF45" s="199">
        <f t="shared" si="24"/>
        <v>0</v>
      </c>
      <c r="AG45" s="199">
        <f t="shared" si="24"/>
        <v>0</v>
      </c>
      <c r="AH45" s="199">
        <f t="shared" si="24"/>
        <v>0</v>
      </c>
      <c r="AI45" s="199">
        <f t="shared" si="24"/>
        <v>0</v>
      </c>
      <c r="AJ45" s="199">
        <f t="shared" ref="AJ45:AU45" si="25">SUM(AJ40:AJ44)-AJ19</f>
        <v>0</v>
      </c>
      <c r="AK45" s="199">
        <f t="shared" si="25"/>
        <v>0</v>
      </c>
      <c r="AL45" s="199">
        <f t="shared" si="25"/>
        <v>0</v>
      </c>
      <c r="AM45" s="199">
        <f>SUM(AM40:AM44)-AM19</f>
        <v>0</v>
      </c>
      <c r="AN45" s="199">
        <f t="shared" si="25"/>
        <v>0</v>
      </c>
      <c r="AO45" s="199">
        <f t="shared" si="25"/>
        <v>0</v>
      </c>
      <c r="AP45" s="199">
        <f t="shared" si="25"/>
        <v>0</v>
      </c>
      <c r="AQ45" s="199">
        <f t="shared" si="25"/>
        <v>0</v>
      </c>
      <c r="AR45" s="199">
        <f t="shared" si="25"/>
        <v>0</v>
      </c>
      <c r="AS45" s="199">
        <f t="shared" si="25"/>
        <v>0</v>
      </c>
      <c r="AT45" s="199">
        <f t="shared" si="25"/>
        <v>0</v>
      </c>
      <c r="AU45" s="199">
        <f t="shared" si="25"/>
        <v>0</v>
      </c>
      <c r="AV45" s="200">
        <f t="shared" si="23"/>
        <v>0</v>
      </c>
      <c r="AW45" s="201">
        <f>SUM(AW40:AW44)-AW19</f>
        <v>0</v>
      </c>
      <c r="AX45" s="202">
        <f t="shared" si="23"/>
        <v>0</v>
      </c>
      <c r="AY45" s="4"/>
    </row>
    <row r="46" spans="1:52" x14ac:dyDescent="0.25">
      <c r="B46" s="113"/>
      <c r="C46" s="114"/>
      <c r="D46" s="109" t="s">
        <v>72</v>
      </c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3"/>
      <c r="AW46" s="203"/>
      <c r="AX46" s="119"/>
      <c r="AY46" s="4"/>
    </row>
    <row r="47" spans="1:52" ht="15.75" thickBot="1" x14ac:dyDescent="0.3">
      <c r="A47" s="123" t="s">
        <v>114</v>
      </c>
      <c r="B47" s="124">
        <v>-9249.09</v>
      </c>
      <c r="C47" s="125">
        <v>-19652.04</v>
      </c>
      <c r="D47" s="125">
        <v>-28678.6</v>
      </c>
      <c r="E47" s="125">
        <v>-34323.35</v>
      </c>
      <c r="F47" s="125">
        <v>-24876.36</v>
      </c>
      <c r="G47" s="125">
        <v>-24308.82</v>
      </c>
      <c r="H47" s="125">
        <v>-18421.18</v>
      </c>
      <c r="I47" s="125">
        <v>-17733.03</v>
      </c>
      <c r="J47" s="125">
        <v>-6707.27</v>
      </c>
      <c r="K47" s="126">
        <v>24818.27</v>
      </c>
      <c r="L47" s="126">
        <v>43365.16</v>
      </c>
      <c r="M47" s="126">
        <v>57091.38</v>
      </c>
      <c r="N47" s="126">
        <v>44149.81</v>
      </c>
      <c r="O47" s="126">
        <v>2739.92</v>
      </c>
      <c r="P47" s="126">
        <v>1732.61</v>
      </c>
      <c r="Q47" s="126">
        <v>1715.01</v>
      </c>
      <c r="R47" s="126">
        <v>1867</v>
      </c>
      <c r="S47" s="126">
        <v>2110.96</v>
      </c>
      <c r="T47" s="126">
        <v>2163.7800000000002</v>
      </c>
      <c r="U47" s="126">
        <v>2723.07</v>
      </c>
      <c r="V47" s="126">
        <v>2343.8200000000002</v>
      </c>
      <c r="W47" s="126">
        <v>2630.02</v>
      </c>
      <c r="X47" s="126">
        <v>3670.94</v>
      </c>
      <c r="Y47" s="126">
        <v>5065.7700000000004</v>
      </c>
      <c r="Z47" s="126">
        <v>5509.53</v>
      </c>
      <c r="AA47" s="126">
        <v>3784.4</v>
      </c>
      <c r="AB47" s="126">
        <v>2885.8</v>
      </c>
      <c r="AC47" s="126">
        <v>2348.54</v>
      </c>
      <c r="AD47" s="126">
        <v>732.38</v>
      </c>
      <c r="AE47" s="126">
        <v>1553.16</v>
      </c>
      <c r="AF47" s="126">
        <v>3813.91</v>
      </c>
      <c r="AG47" s="126">
        <v>3912.99</v>
      </c>
      <c r="AH47" s="126">
        <v>4492.09</v>
      </c>
      <c r="AI47" s="126">
        <v>5791.41</v>
      </c>
      <c r="AJ47" s="126">
        <v>7854.73</v>
      </c>
      <c r="AK47" s="126">
        <v>19889.189999999999</v>
      </c>
      <c r="AL47" s="126">
        <v>19407.32</v>
      </c>
      <c r="AM47" s="126">
        <v>19083.98</v>
      </c>
      <c r="AN47" s="126">
        <v>16541.59</v>
      </c>
      <c r="AO47" s="126">
        <v>16084.53</v>
      </c>
      <c r="AP47" s="126">
        <v>15494.56</v>
      </c>
      <c r="AQ47" s="126">
        <v>12112.21</v>
      </c>
      <c r="AR47" s="126">
        <v>11396.09</v>
      </c>
      <c r="AS47" s="126">
        <v>12920.88</v>
      </c>
      <c r="AT47" s="126">
        <v>11791.81</v>
      </c>
      <c r="AU47" s="126">
        <v>10983.76</v>
      </c>
      <c r="AV47" s="101">
        <v>10168.92</v>
      </c>
      <c r="AW47" s="102">
        <v>9367.9500000000007</v>
      </c>
      <c r="AX47" s="204">
        <v>8530.44</v>
      </c>
    </row>
    <row r="48" spans="1:52" x14ac:dyDescent="0.25">
      <c r="B48" s="19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8"/>
      <c r="AV48" s="19"/>
      <c r="AW48" s="127"/>
      <c r="AX48" s="128"/>
    </row>
    <row r="49" spans="1:50" x14ac:dyDescent="0.25">
      <c r="A49" s="76" t="s">
        <v>73</v>
      </c>
      <c r="B49" s="129"/>
      <c r="C49" s="51"/>
      <c r="D49" s="51"/>
      <c r="E49" s="51"/>
      <c r="F49" s="51"/>
      <c r="G49" s="51"/>
      <c r="H49" s="51"/>
      <c r="I49" s="51"/>
      <c r="J49" s="51"/>
      <c r="K49" s="52"/>
      <c r="L49" s="205"/>
      <c r="M49" s="206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8"/>
      <c r="AV49" s="104"/>
      <c r="AW49" s="105"/>
      <c r="AX49" s="108"/>
    </row>
    <row r="50" spans="1:50" x14ac:dyDescent="0.25">
      <c r="A50" s="76" t="s">
        <v>0</v>
      </c>
      <c r="B50" s="117">
        <f>B40-B22</f>
        <v>-993725.75725147827</v>
      </c>
      <c r="C50" s="121">
        <f t="shared" ref="C50:AX54" si="26">C40-C22</f>
        <v>-1185227.607615435</v>
      </c>
      <c r="D50" s="121">
        <f t="shared" si="26"/>
        <v>-1079160.3779404312</v>
      </c>
      <c r="E50" s="121">
        <f t="shared" si="26"/>
        <v>-634581.00699183054</v>
      </c>
      <c r="F50" s="121">
        <f t="shared" si="26"/>
        <v>775718.85954410001</v>
      </c>
      <c r="G50" s="121">
        <f t="shared" si="26"/>
        <v>-18705.542913513025</v>
      </c>
      <c r="H50" s="121">
        <f t="shared" si="26"/>
        <v>273295.74003191339</v>
      </c>
      <c r="I50" s="121">
        <f t="shared" si="26"/>
        <v>-112649.24822769314</v>
      </c>
      <c r="J50" s="121">
        <f t="shared" si="26"/>
        <v>688868.84281646344</v>
      </c>
      <c r="K50" s="121">
        <f t="shared" si="26"/>
        <v>2674428.786475447</v>
      </c>
      <c r="L50" s="121">
        <f t="shared" si="26"/>
        <v>1553957.9046339961</v>
      </c>
      <c r="M50" s="121">
        <f t="shared" si="26"/>
        <v>1020230.4955287781</v>
      </c>
      <c r="N50" s="121">
        <f t="shared" si="26"/>
        <v>-1060862.9538106211</v>
      </c>
      <c r="O50" s="121">
        <f t="shared" si="26"/>
        <v>-1144315.9239877448</v>
      </c>
      <c r="P50" s="121">
        <f t="shared" si="26"/>
        <v>-835034.1038925841</v>
      </c>
      <c r="Q50" s="121">
        <f t="shared" si="26"/>
        <v>184964.24598343042</v>
      </c>
      <c r="R50" s="121">
        <f t="shared" si="26"/>
        <v>751178.1790622673</v>
      </c>
      <c r="S50" s="121">
        <f t="shared" si="26"/>
        <v>435311.59212967055</v>
      </c>
      <c r="T50" s="121">
        <f t="shared" si="26"/>
        <v>133661.88049276266</v>
      </c>
      <c r="U50" s="121">
        <f t="shared" si="26"/>
        <v>919837.35570375482</v>
      </c>
      <c r="V50" s="121">
        <f t="shared" si="26"/>
        <v>6339.3897650702856</v>
      </c>
      <c r="W50" s="118">
        <f t="shared" si="26"/>
        <v>706294.65300990921</v>
      </c>
      <c r="X50" s="121">
        <f t="shared" si="26"/>
        <v>1258304.1771796015</v>
      </c>
      <c r="Y50" s="121">
        <f t="shared" si="26"/>
        <v>458808.9869043231</v>
      </c>
      <c r="Z50" s="121">
        <f t="shared" si="26"/>
        <v>-1306513.6111742083</v>
      </c>
      <c r="AA50" s="121">
        <f t="shared" si="26"/>
        <v>-2740944.0000628429</v>
      </c>
      <c r="AB50" s="121">
        <f t="shared" si="26"/>
        <v>-2142309.9792020302</v>
      </c>
      <c r="AC50" s="121">
        <f t="shared" si="26"/>
        <v>154815.41454316815</v>
      </c>
      <c r="AD50" s="121">
        <f t="shared" si="26"/>
        <v>318885.90164721292</v>
      </c>
      <c r="AE50" s="121">
        <f t="shared" si="26"/>
        <v>-761878.5852252841</v>
      </c>
      <c r="AF50" s="121">
        <f t="shared" si="26"/>
        <v>-595455.04740234651</v>
      </c>
      <c r="AG50" s="121">
        <f t="shared" si="26"/>
        <v>-1782451.2762577794</v>
      </c>
      <c r="AH50" s="121">
        <f t="shared" si="26"/>
        <v>7594.5176734682173</v>
      </c>
      <c r="AI50" s="121">
        <f t="shared" si="26"/>
        <v>1435913.5163794258</v>
      </c>
      <c r="AJ50" s="121">
        <f t="shared" si="26"/>
        <v>2834300.5569164469</v>
      </c>
      <c r="AK50" s="121">
        <f t="shared" si="26"/>
        <v>8690667.8470232747</v>
      </c>
      <c r="AL50" s="121">
        <f t="shared" si="26"/>
        <v>-4595184.2046548901</v>
      </c>
      <c r="AM50" s="121">
        <f t="shared" si="26"/>
        <v>581850.26978877606</v>
      </c>
      <c r="AN50" s="121">
        <f t="shared" si="26"/>
        <v>256057.81676383139</v>
      </c>
      <c r="AO50" s="121">
        <f t="shared" si="26"/>
        <v>197914.61538528019</v>
      </c>
      <c r="AP50" s="121">
        <f t="shared" si="26"/>
        <v>160953.35628760126</v>
      </c>
      <c r="AQ50" s="121">
        <f t="shared" si="26"/>
        <v>228232.5139005942</v>
      </c>
      <c r="AR50" s="121">
        <f t="shared" si="26"/>
        <v>334863.63</v>
      </c>
      <c r="AS50" s="121">
        <f t="shared" si="26"/>
        <v>334278.29387929192</v>
      </c>
      <c r="AT50" s="121">
        <f t="shared" si="26"/>
        <v>302701.91046704462</v>
      </c>
      <c r="AU50" s="121">
        <f t="shared" si="26"/>
        <v>214208.23506482641</v>
      </c>
      <c r="AV50" s="117">
        <f>AV40-AV22</f>
        <v>190935.53943769922</v>
      </c>
      <c r="AW50" s="121">
        <f>AW40-AW22</f>
        <v>280958.11979560083</v>
      </c>
      <c r="AX50" s="122">
        <f t="shared" si="26"/>
        <v>364638.83938662003</v>
      </c>
    </row>
    <row r="51" spans="1:50" x14ac:dyDescent="0.25">
      <c r="A51" s="76" t="s">
        <v>4</v>
      </c>
      <c r="B51" s="117">
        <f>B41-B23</f>
        <v>-60276.64818713042</v>
      </c>
      <c r="C51" s="121">
        <f t="shared" si="26"/>
        <v>-12606.372261999764</v>
      </c>
      <c r="D51" s="121">
        <f t="shared" si="26"/>
        <v>79203.859015815658</v>
      </c>
      <c r="E51" s="121">
        <f t="shared" si="26"/>
        <v>63538.550713751014</v>
      </c>
      <c r="F51" s="121">
        <f t="shared" si="26"/>
        <v>75037.536626764166</v>
      </c>
      <c r="G51" s="121">
        <f t="shared" si="26"/>
        <v>89637.476459972662</v>
      </c>
      <c r="H51" s="121">
        <f t="shared" si="26"/>
        <v>180441.76963968007</v>
      </c>
      <c r="I51" s="121">
        <f t="shared" si="26"/>
        <v>175935.82894035627</v>
      </c>
      <c r="J51" s="121">
        <f t="shared" si="26"/>
        <v>57164.392047746129</v>
      </c>
      <c r="K51" s="121">
        <f t="shared" si="26"/>
        <v>285051.1232400047</v>
      </c>
      <c r="L51" s="121">
        <f t="shared" si="26"/>
        <v>215033.68139884336</v>
      </c>
      <c r="M51" s="121">
        <f t="shared" si="26"/>
        <v>122280.02050600434</v>
      </c>
      <c r="N51" s="121">
        <f t="shared" si="26"/>
        <v>109093.37876121666</v>
      </c>
      <c r="O51" s="121">
        <f t="shared" si="26"/>
        <v>-134667.1982356318</v>
      </c>
      <c r="P51" s="121">
        <f t="shared" si="26"/>
        <v>-20104.504279036482</v>
      </c>
      <c r="Q51" s="121">
        <f t="shared" si="26"/>
        <v>-176244.81178107014</v>
      </c>
      <c r="R51" s="121">
        <f t="shared" si="26"/>
        <v>72011.303041976906</v>
      </c>
      <c r="S51" s="121">
        <f t="shared" si="26"/>
        <v>-154027.2925252837</v>
      </c>
      <c r="T51" s="121">
        <f t="shared" si="26"/>
        <v>-125320.02594403544</v>
      </c>
      <c r="U51" s="121">
        <f t="shared" si="26"/>
        <v>72031.311345676368</v>
      </c>
      <c r="V51" s="121">
        <f t="shared" si="26"/>
        <v>-41068.806529097841</v>
      </c>
      <c r="W51" s="118">
        <f t="shared" si="26"/>
        <v>95449.430892158009</v>
      </c>
      <c r="X51" s="121">
        <f t="shared" si="26"/>
        <v>-97845.867357914103</v>
      </c>
      <c r="Y51" s="121">
        <f t="shared" si="26"/>
        <v>-67736.197101105849</v>
      </c>
      <c r="Z51" s="121">
        <f t="shared" si="26"/>
        <v>-21813.959542246186</v>
      </c>
      <c r="AA51" s="121">
        <f t="shared" si="26"/>
        <v>130405.33531187169</v>
      </c>
      <c r="AB51" s="121">
        <f t="shared" si="26"/>
        <v>137645.34037071856</v>
      </c>
      <c r="AC51" s="121">
        <f t="shared" si="26"/>
        <v>441542.51504152629</v>
      </c>
      <c r="AD51" s="121">
        <f t="shared" si="26"/>
        <v>221529.97988158799</v>
      </c>
      <c r="AE51" s="121">
        <f t="shared" si="26"/>
        <v>12449.976243860612</v>
      </c>
      <c r="AF51" s="121">
        <f t="shared" si="26"/>
        <v>-33112.213650846359</v>
      </c>
      <c r="AG51" s="121">
        <f t="shared" si="26"/>
        <v>37219.419072710938</v>
      </c>
      <c r="AH51" s="121">
        <f t="shared" si="26"/>
        <v>195982.55789772404</v>
      </c>
      <c r="AI51" s="121">
        <f t="shared" si="26"/>
        <v>271151.15405067021</v>
      </c>
      <c r="AJ51" s="121">
        <f t="shared" si="26"/>
        <v>384449.26770229754</v>
      </c>
      <c r="AK51" s="121">
        <f t="shared" si="26"/>
        <v>766609.29253452376</v>
      </c>
      <c r="AL51" s="121">
        <f t="shared" si="26"/>
        <v>-226359.94635563222</v>
      </c>
      <c r="AM51" s="121">
        <f t="shared" si="26"/>
        <v>-203447.23727959453</v>
      </c>
      <c r="AN51" s="121">
        <f t="shared" si="26"/>
        <v>-195388.69680647281</v>
      </c>
      <c r="AO51" s="121">
        <f t="shared" si="26"/>
        <v>-178380.48526886787</v>
      </c>
      <c r="AP51" s="121">
        <f t="shared" si="26"/>
        <v>-171896.61191054469</v>
      </c>
      <c r="AQ51" s="121">
        <f t="shared" si="26"/>
        <v>-211132.02701661381</v>
      </c>
      <c r="AR51" s="121">
        <f t="shared" si="26"/>
        <v>-248620.79</v>
      </c>
      <c r="AS51" s="121">
        <f t="shared" si="26"/>
        <v>-248414.82611324938</v>
      </c>
      <c r="AT51" s="121">
        <f t="shared" si="26"/>
        <v>-238847.37845889194</v>
      </c>
      <c r="AU51" s="121">
        <f t="shared" si="26"/>
        <v>-203267.51096083835</v>
      </c>
      <c r="AV51" s="117">
        <f t="shared" si="26"/>
        <v>-183581.60065399998</v>
      </c>
      <c r="AW51" s="121">
        <f t="shared" si="26"/>
        <v>-216493.109035</v>
      </c>
      <c r="AX51" s="122">
        <f t="shared" si="26"/>
        <v>-253155.07550599999</v>
      </c>
    </row>
    <row r="52" spans="1:50" x14ac:dyDescent="0.25">
      <c r="A52" s="76" t="s">
        <v>5</v>
      </c>
      <c r="B52" s="117">
        <f t="shared" ref="B52:M54" si="27">B42-B24</f>
        <v>-208513.36818713043</v>
      </c>
      <c r="C52" s="121">
        <f t="shared" si="27"/>
        <v>-49807.421496911906</v>
      </c>
      <c r="D52" s="121">
        <f t="shared" si="27"/>
        <v>-233214.70621121192</v>
      </c>
      <c r="E52" s="121">
        <f t="shared" si="27"/>
        <v>-3501.086908089288</v>
      </c>
      <c r="F52" s="121">
        <f t="shared" si="27"/>
        <v>876047.45621251443</v>
      </c>
      <c r="G52" s="121">
        <f t="shared" si="27"/>
        <v>149259.4468621767</v>
      </c>
      <c r="H52" s="121">
        <f t="shared" si="27"/>
        <v>174186.33297244401</v>
      </c>
      <c r="I52" s="121">
        <f t="shared" si="27"/>
        <v>-12885.890504698735</v>
      </c>
      <c r="J52" s="121">
        <f t="shared" si="27"/>
        <v>373120.19320918655</v>
      </c>
      <c r="K52" s="121">
        <f t="shared" si="27"/>
        <v>1352164.9263189826</v>
      </c>
      <c r="L52" s="121">
        <f t="shared" si="27"/>
        <v>1296239.6524225124</v>
      </c>
      <c r="M52" s="121">
        <f t="shared" si="27"/>
        <v>652809.57625266211</v>
      </c>
      <c r="N52" s="121">
        <f t="shared" si="26"/>
        <v>164762.01030981331</v>
      </c>
      <c r="O52" s="121">
        <f t="shared" si="26"/>
        <v>-299469.40159734653</v>
      </c>
      <c r="P52" s="121">
        <f t="shared" si="26"/>
        <v>-214479.13584206544</v>
      </c>
      <c r="Q52" s="121">
        <f t="shared" si="26"/>
        <v>-595054.03613962303</v>
      </c>
      <c r="R52" s="121">
        <f t="shared" si="26"/>
        <v>244702.06053156231</v>
      </c>
      <c r="S52" s="121">
        <f t="shared" si="26"/>
        <v>81792.888726515812</v>
      </c>
      <c r="T52" s="121">
        <f t="shared" si="26"/>
        <v>445981.75947069714</v>
      </c>
      <c r="U52" s="121">
        <f t="shared" si="26"/>
        <v>840992.20079892618</v>
      </c>
      <c r="V52" s="121">
        <f t="shared" si="26"/>
        <v>-56397.4272512967</v>
      </c>
      <c r="W52" s="118">
        <f t="shared" si="26"/>
        <v>315706.91658539325</v>
      </c>
      <c r="X52" s="121">
        <f t="shared" si="26"/>
        <v>-31092.075626875972</v>
      </c>
      <c r="Y52" s="121">
        <f t="shared" si="26"/>
        <v>550877.89330419537</v>
      </c>
      <c r="Z52" s="121">
        <f t="shared" si="26"/>
        <v>-201285.45748094725</v>
      </c>
      <c r="AA52" s="121">
        <f t="shared" si="26"/>
        <v>-456602.74587115634</v>
      </c>
      <c r="AB52" s="121">
        <f t="shared" si="26"/>
        <v>-517056.25776936917</v>
      </c>
      <c r="AC52" s="121">
        <f t="shared" si="26"/>
        <v>20493.424292804906</v>
      </c>
      <c r="AD52" s="121">
        <f t="shared" si="26"/>
        <v>400039.75328308006</v>
      </c>
      <c r="AE52" s="121">
        <f t="shared" si="26"/>
        <v>-138102.18504147348</v>
      </c>
      <c r="AF52" s="121">
        <f t="shared" si="26"/>
        <v>143485.0015178239</v>
      </c>
      <c r="AG52" s="121">
        <f t="shared" si="26"/>
        <v>-498446.06685006025</v>
      </c>
      <c r="AH52" s="121">
        <f t="shared" si="26"/>
        <v>364960.29665604932</v>
      </c>
      <c r="AI52" s="121">
        <f t="shared" si="26"/>
        <v>204209.68753533228</v>
      </c>
      <c r="AJ52" s="121">
        <f t="shared" si="26"/>
        <v>1381981.6570669869</v>
      </c>
      <c r="AK52" s="121">
        <f t="shared" si="26"/>
        <v>4119267.015546897</v>
      </c>
      <c r="AL52" s="121">
        <f t="shared" si="26"/>
        <v>-1323240.6561264682</v>
      </c>
      <c r="AM52" s="121">
        <f t="shared" si="26"/>
        <v>-588616.43215799867</v>
      </c>
      <c r="AN52" s="121">
        <f t="shared" si="26"/>
        <v>-653996.97912037605</v>
      </c>
      <c r="AO52" s="121">
        <f t="shared" si="26"/>
        <v>-647413.50991093146</v>
      </c>
      <c r="AP52" s="121">
        <f t="shared" si="26"/>
        <v>-651667.61577951675</v>
      </c>
      <c r="AQ52" s="121">
        <f t="shared" si="26"/>
        <v>-744173.09050565353</v>
      </c>
      <c r="AR52" s="121">
        <f t="shared" si="26"/>
        <v>-827429.77</v>
      </c>
      <c r="AS52" s="121">
        <f t="shared" si="26"/>
        <v>-830081.650441134</v>
      </c>
      <c r="AT52" s="121">
        <f t="shared" si="26"/>
        <v>-833149.11409120006</v>
      </c>
      <c r="AU52" s="121">
        <f t="shared" si="26"/>
        <v>-733738.21328819031</v>
      </c>
      <c r="AV52" s="117">
        <f t="shared" si="26"/>
        <v>-663504.67832800001</v>
      </c>
      <c r="AW52" s="121">
        <f t="shared" si="26"/>
        <v>-712797.39208799996</v>
      </c>
      <c r="AX52" s="122">
        <f t="shared" si="26"/>
        <v>-779468.70205599989</v>
      </c>
    </row>
    <row r="53" spans="1:50" x14ac:dyDescent="0.25">
      <c r="A53" s="76" t="s">
        <v>6</v>
      </c>
      <c r="B53" s="117">
        <f t="shared" si="27"/>
        <v>-99017.228187130415</v>
      </c>
      <c r="C53" s="121">
        <f t="shared" si="27"/>
        <v>-194908.84862565348</v>
      </c>
      <c r="D53" s="121">
        <f t="shared" si="27"/>
        <v>-136593.67071646097</v>
      </c>
      <c r="E53" s="121">
        <f t="shared" si="27"/>
        <v>-107598.84174706593</v>
      </c>
      <c r="F53" s="121">
        <f t="shared" si="27"/>
        <v>-132411.12580677622</v>
      </c>
      <c r="G53" s="121">
        <f t="shared" si="27"/>
        <v>37851.573023286182</v>
      </c>
      <c r="H53" s="121">
        <f t="shared" si="27"/>
        <v>451233.10258516239</v>
      </c>
      <c r="I53" s="121">
        <f t="shared" si="27"/>
        <v>89381.186403291911</v>
      </c>
      <c r="J53" s="121">
        <f t="shared" si="27"/>
        <v>381317.89388042287</v>
      </c>
      <c r="K53" s="121">
        <f t="shared" si="27"/>
        <v>679196.14739700966</v>
      </c>
      <c r="L53" s="121">
        <f t="shared" si="27"/>
        <v>-71768.293229533097</v>
      </c>
      <c r="M53" s="121">
        <f t="shared" si="27"/>
        <v>484593.28324590379</v>
      </c>
      <c r="N53" s="121">
        <f t="shared" si="26"/>
        <v>-172676.71689268597</v>
      </c>
      <c r="O53" s="121">
        <f t="shared" si="26"/>
        <v>203038.90819464292</v>
      </c>
      <c r="P53" s="121">
        <f t="shared" si="26"/>
        <v>-75371.121705859812</v>
      </c>
      <c r="Q53" s="121">
        <f t="shared" si="26"/>
        <v>-253063.62967782567</v>
      </c>
      <c r="R53" s="121">
        <f t="shared" si="26"/>
        <v>117018.32134383376</v>
      </c>
      <c r="S53" s="121">
        <f t="shared" si="26"/>
        <v>439755.2653176171</v>
      </c>
      <c r="T53" s="121">
        <f t="shared" si="26"/>
        <v>-1600.1142280375352</v>
      </c>
      <c r="U53" s="121">
        <f t="shared" si="26"/>
        <v>-83656.923559020564</v>
      </c>
      <c r="V53" s="121">
        <f t="shared" si="26"/>
        <v>329846.19838004868</v>
      </c>
      <c r="W53" s="118">
        <f t="shared" si="26"/>
        <v>-167840.72311352915</v>
      </c>
      <c r="X53" s="121">
        <f t="shared" si="26"/>
        <v>1074505.103571496</v>
      </c>
      <c r="Y53" s="121">
        <f t="shared" si="26"/>
        <v>283561.70822057343</v>
      </c>
      <c r="Z53" s="121">
        <f t="shared" si="26"/>
        <v>-7361.9745675535523</v>
      </c>
      <c r="AA53" s="121">
        <f t="shared" si="26"/>
        <v>4800.8049413487315</v>
      </c>
      <c r="AB53" s="121">
        <f t="shared" si="26"/>
        <v>216922.69546967</v>
      </c>
      <c r="AC53" s="121">
        <f t="shared" si="26"/>
        <v>492707.70175649249</v>
      </c>
      <c r="AD53" s="121">
        <f t="shared" si="26"/>
        <v>94021.284165609512</v>
      </c>
      <c r="AE53" s="121">
        <f t="shared" si="26"/>
        <v>-126293.64656138374</v>
      </c>
      <c r="AF53" s="121">
        <f t="shared" si="26"/>
        <v>583400.23794637551</v>
      </c>
      <c r="AG53" s="121">
        <f t="shared" si="26"/>
        <v>198493.87630847405</v>
      </c>
      <c r="AH53" s="121">
        <f t="shared" si="26"/>
        <v>367356.36457996932</v>
      </c>
      <c r="AI53" s="121">
        <f t="shared" si="26"/>
        <v>483028.33827108867</v>
      </c>
      <c r="AJ53" s="121">
        <f t="shared" si="26"/>
        <v>712230.08160477621</v>
      </c>
      <c r="AK53" s="121">
        <f t="shared" si="26"/>
        <v>2006628.2190552829</v>
      </c>
      <c r="AL53" s="121">
        <f t="shared" si="26"/>
        <v>-377280.57831535302</v>
      </c>
      <c r="AM53" s="121">
        <f t="shared" si="26"/>
        <v>-364839.19005651656</v>
      </c>
      <c r="AN53" s="121">
        <f t="shared" si="26"/>
        <v>-391179.98152640875</v>
      </c>
      <c r="AO53" s="121">
        <f t="shared" si="26"/>
        <v>-419359.80659285607</v>
      </c>
      <c r="AP53" s="121">
        <f t="shared" si="26"/>
        <v>-438252.73576547584</v>
      </c>
      <c r="AQ53" s="121">
        <f t="shared" si="26"/>
        <v>-452765.27049587207</v>
      </c>
      <c r="AR53" s="121">
        <f t="shared" si="26"/>
        <v>-498562.21</v>
      </c>
      <c r="AS53" s="121">
        <f t="shared" si="26"/>
        <v>-486059.54768927436</v>
      </c>
      <c r="AT53" s="121">
        <f t="shared" si="26"/>
        <v>-527467.9663885613</v>
      </c>
      <c r="AU53" s="121">
        <f t="shared" si="26"/>
        <v>-447764.18595609238</v>
      </c>
      <c r="AV53" s="117">
        <f t="shared" si="26"/>
        <v>-420672.45504199999</v>
      </c>
      <c r="AW53" s="121">
        <f t="shared" si="26"/>
        <v>-418884.616736</v>
      </c>
      <c r="AX53" s="122">
        <f t="shared" si="26"/>
        <v>-447554.26416599995</v>
      </c>
    </row>
    <row r="54" spans="1:50" x14ac:dyDescent="0.25">
      <c r="A54" s="76" t="s">
        <v>7</v>
      </c>
      <c r="B54" s="117">
        <f t="shared" si="27"/>
        <v>-55951.998187130419</v>
      </c>
      <c r="C54" s="121">
        <f t="shared" si="27"/>
        <v>-142523.31</v>
      </c>
      <c r="D54" s="121">
        <f t="shared" si="27"/>
        <v>-22212.584147711561</v>
      </c>
      <c r="E54" s="121">
        <f t="shared" si="27"/>
        <v>-139498.8250667653</v>
      </c>
      <c r="F54" s="121">
        <f t="shared" si="27"/>
        <v>-118354.90657660234</v>
      </c>
      <c r="G54" s="121">
        <f t="shared" si="27"/>
        <v>-140942.32343192244</v>
      </c>
      <c r="H54" s="121">
        <f t="shared" si="27"/>
        <v>-145429.64522919932</v>
      </c>
      <c r="I54" s="121">
        <f t="shared" si="27"/>
        <v>-8666.6766112560581</v>
      </c>
      <c r="J54" s="121">
        <f t="shared" si="27"/>
        <v>209651.19804618185</v>
      </c>
      <c r="K54" s="121">
        <f t="shared" si="27"/>
        <v>-65755.343431443209</v>
      </c>
      <c r="L54" s="121">
        <f t="shared" si="27"/>
        <v>-73202.685225818554</v>
      </c>
      <c r="M54" s="121">
        <f t="shared" si="27"/>
        <v>134323.63446665258</v>
      </c>
      <c r="N54" s="121">
        <f t="shared" si="26"/>
        <v>-36714.188367723007</v>
      </c>
      <c r="O54" s="121">
        <f t="shared" si="26"/>
        <v>91856.255626080281</v>
      </c>
      <c r="P54" s="121">
        <f t="shared" si="26"/>
        <v>78959.515719546092</v>
      </c>
      <c r="Q54" s="121">
        <f t="shared" si="26"/>
        <v>1154969.8316150885</v>
      </c>
      <c r="R54" s="121">
        <f t="shared" si="26"/>
        <v>-63801.753979640329</v>
      </c>
      <c r="S54" s="121">
        <f t="shared" si="26"/>
        <v>-45487.413648519578</v>
      </c>
      <c r="T54" s="121">
        <f t="shared" si="26"/>
        <v>-8934.1097913855629</v>
      </c>
      <c r="U54" s="121">
        <f t="shared" si="26"/>
        <v>24971.28571066272</v>
      </c>
      <c r="V54" s="121">
        <f t="shared" si="26"/>
        <v>-82560.294364723581</v>
      </c>
      <c r="W54" s="118">
        <f t="shared" si="26"/>
        <v>5154.5426260686654</v>
      </c>
      <c r="X54" s="121">
        <f t="shared" si="26"/>
        <v>-67772.287766307083</v>
      </c>
      <c r="Y54" s="121">
        <f t="shared" si="26"/>
        <v>44070.118672013821</v>
      </c>
      <c r="Z54" s="121">
        <f t="shared" si="26"/>
        <v>-25458.367235044803</v>
      </c>
      <c r="AA54" s="121">
        <f t="shared" si="26"/>
        <v>46905.455680779472</v>
      </c>
      <c r="AB54" s="121">
        <f t="shared" si="26"/>
        <v>294695.41113101103</v>
      </c>
      <c r="AC54" s="121">
        <f t="shared" si="26"/>
        <v>-195664.16563399154</v>
      </c>
      <c r="AD54" s="121">
        <f t="shared" si="26"/>
        <v>-90740.768977490501</v>
      </c>
      <c r="AE54" s="121">
        <f t="shared" si="26"/>
        <v>519229.72058428149</v>
      </c>
      <c r="AF54" s="121">
        <f t="shared" si="26"/>
        <v>296270.09158899431</v>
      </c>
      <c r="AG54" s="121">
        <f t="shared" si="26"/>
        <v>537283.97772665392</v>
      </c>
      <c r="AH54" s="121">
        <f t="shared" si="26"/>
        <v>283586.73319278925</v>
      </c>
      <c r="AI54" s="121">
        <f t="shared" si="26"/>
        <v>733672.73376348335</v>
      </c>
      <c r="AJ54" s="121">
        <f t="shared" si="26"/>
        <v>304634.64670949266</v>
      </c>
      <c r="AK54" s="121">
        <f t="shared" si="26"/>
        <v>1533223.8258400238</v>
      </c>
      <c r="AL54" s="121">
        <f t="shared" si="26"/>
        <v>-293889.52454765688</v>
      </c>
      <c r="AM54" s="121">
        <f t="shared" si="26"/>
        <v>-170339.51029466634</v>
      </c>
      <c r="AN54" s="121">
        <f t="shared" si="26"/>
        <v>-188358.11931057379</v>
      </c>
      <c r="AO54" s="121">
        <f t="shared" si="26"/>
        <v>-199513.57361262484</v>
      </c>
      <c r="AP54" s="121">
        <f t="shared" si="26"/>
        <v>-202167.26283206401</v>
      </c>
      <c r="AQ54" s="121">
        <f t="shared" si="26"/>
        <v>-230543.13588245484</v>
      </c>
      <c r="AR54" s="121">
        <f t="shared" si="26"/>
        <v>-238853.83</v>
      </c>
      <c r="AS54" s="121">
        <f t="shared" si="26"/>
        <v>-241433.17963563406</v>
      </c>
      <c r="AT54" s="121">
        <f t="shared" si="26"/>
        <v>-265172.54152839142</v>
      </c>
      <c r="AU54" s="121">
        <f t="shared" si="26"/>
        <v>-232876.25485970531</v>
      </c>
      <c r="AV54" s="117">
        <f t="shared" si="26"/>
        <v>-220458.70835199999</v>
      </c>
      <c r="AW54" s="121">
        <f t="shared" si="26"/>
        <v>-207357.11919999999</v>
      </c>
      <c r="AX54" s="122">
        <f t="shared" si="26"/>
        <v>-215919.90406399997</v>
      </c>
    </row>
    <row r="55" spans="1:50" x14ac:dyDescent="0.25">
      <c r="B55" s="104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4"/>
      <c r="AW55" s="105"/>
      <c r="AX55" s="108"/>
    </row>
    <row r="56" spans="1:50" x14ac:dyDescent="0.25">
      <c r="A56" s="76" t="s">
        <v>74</v>
      </c>
      <c r="B56" s="104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4"/>
      <c r="AW56" s="105"/>
      <c r="AX56" s="108"/>
    </row>
    <row r="57" spans="1:50" x14ac:dyDescent="0.25">
      <c r="A57" s="76" t="s">
        <v>0</v>
      </c>
      <c r="B57" s="117">
        <f>B50</f>
        <v>-993725.75725147827</v>
      </c>
      <c r="C57" s="121">
        <f>B57+C50+B64</f>
        <v>-2185437.4254329791</v>
      </c>
      <c r="D57" s="121">
        <f t="shared" ref="D57:AU61" si="28">C57+D50+C64</f>
        <v>-3278857.7825743607</v>
      </c>
      <c r="E57" s="121">
        <f t="shared" si="28"/>
        <v>-3934696.706593689</v>
      </c>
      <c r="F57" s="121">
        <f t="shared" si="28"/>
        <v>-3184586.151666014</v>
      </c>
      <c r="G57" s="121">
        <f t="shared" si="28"/>
        <v>-3223964.9769627126</v>
      </c>
      <c r="H57" s="121">
        <f t="shared" si="28"/>
        <v>-2971625.0092810569</v>
      </c>
      <c r="I57" s="121">
        <f t="shared" si="28"/>
        <v>-3103614.5737054041</v>
      </c>
      <c r="J57" s="121">
        <f t="shared" si="28"/>
        <v>-2434996.8159823683</v>
      </c>
      <c r="K57" s="121">
        <f t="shared" si="28"/>
        <v>223503.04922183946</v>
      </c>
      <c r="L57" s="121">
        <f t="shared" si="28"/>
        <v>1778885.7857946248</v>
      </c>
      <c r="M57" s="121">
        <f t="shared" si="28"/>
        <v>2810397.3701557457</v>
      </c>
      <c r="N57" s="121">
        <f t="shared" si="28"/>
        <v>1766794.949561489</v>
      </c>
      <c r="O57" s="121">
        <f>N57+O50+N64</f>
        <v>631813.58633461094</v>
      </c>
      <c r="P57" s="121">
        <f>O57+P50+O64</f>
        <v>-202977.28143699473</v>
      </c>
      <c r="Q57" s="121">
        <f t="shared" si="28"/>
        <v>-18071.128397250253</v>
      </c>
      <c r="R57" s="121">
        <f t="shared" si="28"/>
        <v>733102.18614314171</v>
      </c>
      <c r="S57" s="121">
        <f t="shared" si="28"/>
        <v>1168596.4215187125</v>
      </c>
      <c r="T57" s="121">
        <f t="shared" si="28"/>
        <v>1302557.2036565104</v>
      </c>
      <c r="U57" s="121">
        <f t="shared" si="28"/>
        <v>2222718.5563536384</v>
      </c>
      <c r="V57" s="121">
        <f t="shared" si="28"/>
        <v>2229635.7436596984</v>
      </c>
      <c r="W57" s="118">
        <f t="shared" si="28"/>
        <v>2936421.817677659</v>
      </c>
      <c r="X57" s="121">
        <f t="shared" si="28"/>
        <v>4195392.2567326007</v>
      </c>
      <c r="Y57" s="121">
        <f t="shared" si="28"/>
        <v>4655322.9481838057</v>
      </c>
      <c r="Z57" s="121">
        <f t="shared" si="28"/>
        <v>3350381.1796470014</v>
      </c>
      <c r="AA57" s="121">
        <f t="shared" si="28"/>
        <v>610810.01502442488</v>
      </c>
      <c r="AB57" s="121">
        <f t="shared" si="28"/>
        <v>-1531278.4666508653</v>
      </c>
      <c r="AC57" s="121">
        <f t="shared" si="28"/>
        <v>-1376987.2661497742</v>
      </c>
      <c r="AD57" s="121">
        <f t="shared" si="28"/>
        <v>-1058447.3681253525</v>
      </c>
      <c r="AE57" s="121">
        <f t="shared" si="28"/>
        <v>-1820401.2689371945</v>
      </c>
      <c r="AF57" s="121">
        <f t="shared" si="28"/>
        <v>-2416144.8620766765</v>
      </c>
      <c r="AG57" s="121">
        <f t="shared" si="28"/>
        <v>-4199500.0241677212</v>
      </c>
      <c r="AH57" s="121">
        <f t="shared" si="28"/>
        <v>-4193796.3243809678</v>
      </c>
      <c r="AI57" s="121">
        <f t="shared" si="28"/>
        <v>-2759783.0171161192</v>
      </c>
      <c r="AJ57" s="121">
        <f t="shared" si="28"/>
        <v>73292.467519391532</v>
      </c>
      <c r="AK57" s="121">
        <f t="shared" si="28"/>
        <v>8763991.1497220621</v>
      </c>
      <c r="AL57" s="121">
        <f t="shared" si="28"/>
        <v>4173676.685962819</v>
      </c>
      <c r="AM57" s="121">
        <f t="shared" si="28"/>
        <v>4758320.2306104423</v>
      </c>
      <c r="AN57" s="121">
        <f t="shared" si="28"/>
        <v>5017589.9571478711</v>
      </c>
      <c r="AO57" s="121">
        <f t="shared" si="28"/>
        <v>5218565.1853299122</v>
      </c>
      <c r="AP57" s="121">
        <f t="shared" si="28"/>
        <v>5382760.8753063977</v>
      </c>
      <c r="AQ57" s="121">
        <f t="shared" si="28"/>
        <v>5614383.6045178175</v>
      </c>
      <c r="AR57" s="121">
        <f t="shared" si="28"/>
        <v>5952177.5778244417</v>
      </c>
      <c r="AS57" s="121">
        <f t="shared" si="28"/>
        <v>6289576.0180704733</v>
      </c>
      <c r="AT57" s="121">
        <f t="shared" si="28"/>
        <v>6596285.2585190441</v>
      </c>
      <c r="AU57" s="121">
        <f>AT57+AU50+AT64</f>
        <v>6814646.1849683709</v>
      </c>
      <c r="AV57" s="117">
        <f>AU57+AV50+AU64</f>
        <v>7009898.6323980931</v>
      </c>
      <c r="AW57" s="121">
        <f>AV57+AW50+AV64</f>
        <v>7295297.3477298524</v>
      </c>
      <c r="AX57" s="122">
        <f>AW57+AX50+AW64</f>
        <v>7664557.575603825</v>
      </c>
    </row>
    <row r="58" spans="1:50" x14ac:dyDescent="0.25">
      <c r="A58" s="76" t="s">
        <v>4</v>
      </c>
      <c r="B58" s="117">
        <f>B51</f>
        <v>-60276.64818713042</v>
      </c>
      <c r="C58" s="121">
        <f t="shared" ref="C58:M61" si="29">B58+C51+B65</f>
        <v>-73276.325578551216</v>
      </c>
      <c r="D58" s="121">
        <f t="shared" si="29"/>
        <v>5449.4054128643966</v>
      </c>
      <c r="E58" s="121">
        <f t="shared" si="29"/>
        <v>69023.286420210788</v>
      </c>
      <c r="F58" s="121">
        <f t="shared" si="29"/>
        <v>144510.0493726822</v>
      </c>
      <c r="G58" s="121">
        <f t="shared" si="29"/>
        <v>235085.63738486602</v>
      </c>
      <c r="H58" s="121">
        <f t="shared" si="29"/>
        <v>417055.46366754768</v>
      </c>
      <c r="I58" s="121">
        <f t="shared" si="29"/>
        <v>595705.62719375535</v>
      </c>
      <c r="J58" s="121">
        <f t="shared" si="29"/>
        <v>656756.99845894077</v>
      </c>
      <c r="K58" s="121">
        <f t="shared" si="29"/>
        <v>946104.4026854845</v>
      </c>
      <c r="L58" s="121">
        <f t="shared" si="29"/>
        <v>1167169.4996514479</v>
      </c>
      <c r="M58" s="121">
        <f t="shared" si="29"/>
        <v>1296851.3122866119</v>
      </c>
      <c r="N58" s="121">
        <f t="shared" si="28"/>
        <v>1413909.5238469599</v>
      </c>
      <c r="O58" s="121">
        <f t="shared" si="28"/>
        <v>1286712.4762159546</v>
      </c>
      <c r="P58" s="121">
        <f t="shared" si="28"/>
        <v>1267103.3315782722</v>
      </c>
      <c r="Q58" s="121">
        <f t="shared" si="28"/>
        <v>1091221.1700502969</v>
      </c>
      <c r="R58" s="121">
        <f t="shared" si="28"/>
        <v>1163526.2161909868</v>
      </c>
      <c r="S58" s="121">
        <f t="shared" si="28"/>
        <v>1009788.8016783893</v>
      </c>
      <c r="T58" s="121">
        <f t="shared" si="28"/>
        <v>884727.05783106573</v>
      </c>
      <c r="U58" s="121">
        <f t="shared" si="28"/>
        <v>956978.43544783455</v>
      </c>
      <c r="V58" s="121">
        <f t="shared" si="28"/>
        <v>916158.39626051346</v>
      </c>
      <c r="W58" s="118">
        <f t="shared" si="28"/>
        <v>1011809.752280534</v>
      </c>
      <c r="X58" s="121">
        <f t="shared" si="28"/>
        <v>914193.4603395384</v>
      </c>
      <c r="Y58" s="121">
        <f t="shared" si="28"/>
        <v>846701.68733478419</v>
      </c>
      <c r="Z58" s="121">
        <f t="shared" si="28"/>
        <v>825173.61167817342</v>
      </c>
      <c r="AA58" s="121">
        <f t="shared" si="28"/>
        <v>955917.06600329827</v>
      </c>
      <c r="AB58" s="121">
        <f t="shared" si="28"/>
        <v>1093909.0497830641</v>
      </c>
      <c r="AC58" s="121">
        <f t="shared" si="28"/>
        <v>1535826.0509139206</v>
      </c>
      <c r="AD58" s="121">
        <f t="shared" si="28"/>
        <v>1757741.9467663069</v>
      </c>
      <c r="AE58" s="121">
        <f t="shared" si="28"/>
        <v>1770316.9980679594</v>
      </c>
      <c r="AF58" s="121">
        <f t="shared" si="28"/>
        <v>1737485.3914634201</v>
      </c>
      <c r="AG58" s="121">
        <f t="shared" si="28"/>
        <v>1775354.808164791</v>
      </c>
      <c r="AH58" s="121">
        <f t="shared" si="28"/>
        <v>1972136.7166059664</v>
      </c>
      <c r="AI58" s="121">
        <f t="shared" si="28"/>
        <v>2244181.4458029307</v>
      </c>
      <c r="AJ58" s="121">
        <f t="shared" si="28"/>
        <v>2629626.9093893222</v>
      </c>
      <c r="AK58" s="121">
        <f t="shared" si="28"/>
        <v>3397342.5232176739</v>
      </c>
      <c r="AL58" s="121">
        <f t="shared" si="28"/>
        <v>3172870.3215595428</v>
      </c>
      <c r="AM58" s="121">
        <f t="shared" si="28"/>
        <v>2971546.5594713553</v>
      </c>
      <c r="AN58" s="121">
        <f t="shared" si="28"/>
        <v>2778163.6838317025</v>
      </c>
      <c r="AO58" s="121">
        <f t="shared" si="28"/>
        <v>2601477.8135861526</v>
      </c>
      <c r="AP58" s="121">
        <f t="shared" si="28"/>
        <v>2431197.5193522726</v>
      </c>
      <c r="AQ58" s="121">
        <f t="shared" si="28"/>
        <v>2221596.7294172766</v>
      </c>
      <c r="AR58" s="121">
        <f t="shared" si="28"/>
        <v>1974135.4685062449</v>
      </c>
      <c r="AS58" s="121">
        <f t="shared" si="28"/>
        <v>1726755.4891409252</v>
      </c>
      <c r="AT58" s="121">
        <f t="shared" si="28"/>
        <v>1489008.2927964586</v>
      </c>
      <c r="AU58" s="121">
        <f t="shared" si="28"/>
        <v>1286678.1870063504</v>
      </c>
      <c r="AV58" s="117">
        <f t="shared" ref="AV58:AV61" si="30">AU58+AV51+AU65</f>
        <v>1103911.6648168643</v>
      </c>
      <c r="AW58" s="121">
        <f t="shared" ref="AW58:AX61" si="31">AV58+AW51+AV65</f>
        <v>888117.85622373421</v>
      </c>
      <c r="AX58" s="122">
        <f t="shared" si="31"/>
        <v>635525.38117670559</v>
      </c>
    </row>
    <row r="59" spans="1:50" x14ac:dyDescent="0.25">
      <c r="A59" s="76" t="s">
        <v>5</v>
      </c>
      <c r="B59" s="117">
        <f t="shared" ref="B59:B61" si="32">B52</f>
        <v>-208513.36818713043</v>
      </c>
      <c r="C59" s="121">
        <f t="shared" si="29"/>
        <v>-259681.33941146336</v>
      </c>
      <c r="D59" s="121">
        <f t="shared" si="29"/>
        <v>-494590.46636233508</v>
      </c>
      <c r="E59" s="121">
        <f t="shared" si="29"/>
        <v>-501298.14647870528</v>
      </c>
      <c r="F59" s="121">
        <f t="shared" si="29"/>
        <v>371486.69596813741</v>
      </c>
      <c r="G59" s="121">
        <f t="shared" si="29"/>
        <v>523157.71186992957</v>
      </c>
      <c r="H59" s="121">
        <f t="shared" si="29"/>
        <v>700744.56996952812</v>
      </c>
      <c r="I59" s="121">
        <f t="shared" si="29"/>
        <v>692419.35637189914</v>
      </c>
      <c r="J59" s="121">
        <f t="shared" si="29"/>
        <v>1070057.5858814125</v>
      </c>
      <c r="K59" s="121">
        <f t="shared" si="29"/>
        <v>2429222.4651076519</v>
      </c>
      <c r="L59" s="121">
        <f t="shared" si="29"/>
        <v>3740948.4107452254</v>
      </c>
      <c r="M59" s="121">
        <f t="shared" si="29"/>
        <v>4417481.8098963741</v>
      </c>
      <c r="N59" s="121">
        <f t="shared" si="28"/>
        <v>4609374.5357135739</v>
      </c>
      <c r="O59" s="121">
        <f t="shared" si="28"/>
        <v>4334257.9808819992</v>
      </c>
      <c r="P59" s="121">
        <f t="shared" si="28"/>
        <v>4121447.4512892957</v>
      </c>
      <c r="Q59" s="121">
        <f t="shared" si="28"/>
        <v>3527572.9905829295</v>
      </c>
      <c r="R59" s="121">
        <f t="shared" si="28"/>
        <v>3773224.6296688942</v>
      </c>
      <c r="S59" s="121">
        <f t="shared" si="28"/>
        <v>3855957.570146584</v>
      </c>
      <c r="T59" s="121">
        <f t="shared" si="28"/>
        <v>4302925.6000179779</v>
      </c>
      <c r="U59" s="121">
        <f t="shared" si="28"/>
        <v>5144988.1069448814</v>
      </c>
      <c r="V59" s="121">
        <f t="shared" si="28"/>
        <v>5089928.1236394746</v>
      </c>
      <c r="W59" s="118">
        <f t="shared" si="28"/>
        <v>5406756.8815913517</v>
      </c>
      <c r="X59" s="121">
        <f t="shared" si="28"/>
        <v>5376891.5765727554</v>
      </c>
      <c r="Y59" s="121">
        <f t="shared" si="28"/>
        <v>5929207.0669740643</v>
      </c>
      <c r="Z59" s="121">
        <f t="shared" si="28"/>
        <v>5729923.5716722393</v>
      </c>
      <c r="AA59" s="121">
        <f t="shared" si="28"/>
        <v>5275668.6906341938</v>
      </c>
      <c r="AB59" s="121">
        <f t="shared" si="28"/>
        <v>4760525.5442057187</v>
      </c>
      <c r="AC59" s="121">
        <f t="shared" si="28"/>
        <v>4782648.6749120131</v>
      </c>
      <c r="AD59" s="121">
        <f t="shared" si="28"/>
        <v>5183890.192226422</v>
      </c>
      <c r="AE59" s="121">
        <f t="shared" si="28"/>
        <v>5046156.875531394</v>
      </c>
      <c r="AF59" s="121">
        <f t="shared" si="28"/>
        <v>5190441.7265550354</v>
      </c>
      <c r="AG59" s="121">
        <f t="shared" si="28"/>
        <v>4693937.4169309838</v>
      </c>
      <c r="AH59" s="121">
        <f t="shared" si="28"/>
        <v>5061011.1510857772</v>
      </c>
      <c r="AI59" s="121">
        <f t="shared" si="28"/>
        <v>5267513.9827736663</v>
      </c>
      <c r="AJ59" s="121">
        <f t="shared" si="28"/>
        <v>6651833.898076796</v>
      </c>
      <c r="AK59" s="121">
        <f t="shared" si="28"/>
        <v>10773899.434378928</v>
      </c>
      <c r="AL59" s="121">
        <f t="shared" si="28"/>
        <v>9456645.3313861713</v>
      </c>
      <c r="AM59" s="121">
        <f t="shared" si="28"/>
        <v>8874357.8536826558</v>
      </c>
      <c r="AN59" s="121">
        <f t="shared" si="28"/>
        <v>8226351.1474617962</v>
      </c>
      <c r="AO59" s="121">
        <f t="shared" si="28"/>
        <v>7583955.5198026225</v>
      </c>
      <c r="AP59" s="121">
        <f t="shared" si="28"/>
        <v>6936999.8724672254</v>
      </c>
      <c r="AQ59" s="121">
        <f t="shared" si="28"/>
        <v>6197195.9010295812</v>
      </c>
      <c r="AR59" s="121">
        <f t="shared" si="28"/>
        <v>5373000.6644721851</v>
      </c>
      <c r="AS59" s="121">
        <f t="shared" si="28"/>
        <v>4545735.5544118686</v>
      </c>
      <c r="AT59" s="121">
        <f t="shared" si="28"/>
        <v>3715482.7026955807</v>
      </c>
      <c r="AU59" s="121">
        <f t="shared" si="28"/>
        <v>2984083.5715428726</v>
      </c>
      <c r="AV59" s="117">
        <f t="shared" si="30"/>
        <v>2322469.2355553559</v>
      </c>
      <c r="AW59" s="121">
        <f t="shared" si="31"/>
        <v>1611143.0696663493</v>
      </c>
      <c r="AX59" s="122">
        <f t="shared" si="31"/>
        <v>832694.98646640638</v>
      </c>
    </row>
    <row r="60" spans="1:50" x14ac:dyDescent="0.25">
      <c r="A60" s="76" t="s">
        <v>6</v>
      </c>
      <c r="B60" s="117">
        <f t="shared" si="32"/>
        <v>-99017.228187130415</v>
      </c>
      <c r="C60" s="121">
        <f t="shared" si="29"/>
        <v>-294572.16422670492</v>
      </c>
      <c r="D60" s="121">
        <f t="shared" si="29"/>
        <v>-433087.91831474513</v>
      </c>
      <c r="E60" s="121">
        <f t="shared" si="29"/>
        <v>-543494.61195525865</v>
      </c>
      <c r="F60" s="121">
        <f t="shared" si="29"/>
        <v>-679442.9800498616</v>
      </c>
      <c r="G60" s="121">
        <f t="shared" si="29"/>
        <v>-646002.12663687568</v>
      </c>
      <c r="H60" s="121">
        <f t="shared" si="29"/>
        <v>-198968.03787485298</v>
      </c>
      <c r="I60" s="121">
        <f t="shared" si="29"/>
        <v>-110881.8011215031</v>
      </c>
      <c r="J60" s="121">
        <f t="shared" si="29"/>
        <v>269712.58900660195</v>
      </c>
      <c r="K60" s="121">
        <f t="shared" si="29"/>
        <v>950673.10445861251</v>
      </c>
      <c r="L60" s="121">
        <f t="shared" si="29"/>
        <v>884965.35227000306</v>
      </c>
      <c r="M60" s="121">
        <f t="shared" si="29"/>
        <v>1375170.7848917835</v>
      </c>
      <c r="N60" s="121">
        <f t="shared" si="28"/>
        <v>1210939.9131535438</v>
      </c>
      <c r="O60" s="121">
        <f t="shared" si="28"/>
        <v>1420376.6165195482</v>
      </c>
      <c r="P60" s="121">
        <f t="shared" si="28"/>
        <v>1345552.3125871632</v>
      </c>
      <c r="Q60" s="121">
        <f t="shared" si="28"/>
        <v>1092873.785587668</v>
      </c>
      <c r="R60" s="121">
        <f t="shared" si="28"/>
        <v>1210186.2948936597</v>
      </c>
      <c r="S60" s="121">
        <f t="shared" si="28"/>
        <v>1650243.0629993207</v>
      </c>
      <c r="T60" s="121">
        <f t="shared" si="28"/>
        <v>1649065.045191532</v>
      </c>
      <c r="U60" s="121">
        <f t="shared" si="28"/>
        <v>1565818.3086976316</v>
      </c>
      <c r="V60" s="121">
        <f t="shared" si="28"/>
        <v>1896071.5428518748</v>
      </c>
      <c r="W60" s="118">
        <f t="shared" si="28"/>
        <v>1728648.7218066882</v>
      </c>
      <c r="X60" s="121">
        <f t="shared" si="28"/>
        <v>2803546.0485704592</v>
      </c>
      <c r="Y60" s="121">
        <f t="shared" si="28"/>
        <v>3087857.3292165971</v>
      </c>
      <c r="Z60" s="121">
        <f t="shared" si="28"/>
        <v>3081537.9516637526</v>
      </c>
      <c r="AA60" s="121">
        <f t="shared" si="28"/>
        <v>3087601.4321884853</v>
      </c>
      <c r="AB60" s="121">
        <f t="shared" si="28"/>
        <v>3305643.7819925086</v>
      </c>
      <c r="AC60" s="121">
        <f t="shared" si="28"/>
        <v>3799483.129577219</v>
      </c>
      <c r="AD60" s="121">
        <f t="shared" si="28"/>
        <v>3894459.1320324489</v>
      </c>
      <c r="AE60" s="121">
        <f t="shared" si="28"/>
        <v>3768442.6022013701</v>
      </c>
      <c r="AF60" s="121">
        <f t="shared" si="28"/>
        <v>4352440.1634231452</v>
      </c>
      <c r="AG60" s="121">
        <f t="shared" si="28"/>
        <v>4552562.2984778555</v>
      </c>
      <c r="AH60" s="121">
        <f t="shared" si="28"/>
        <v>4921968.4466451108</v>
      </c>
      <c r="AI60" s="121">
        <f t="shared" si="28"/>
        <v>5407226.9288193742</v>
      </c>
      <c r="AJ60" s="121">
        <f t="shared" si="28"/>
        <v>6121857.2874698984</v>
      </c>
      <c r="AK60" s="121">
        <f t="shared" si="28"/>
        <v>8131061.0586123317</v>
      </c>
      <c r="AL60" s="121">
        <f t="shared" si="28"/>
        <v>7758298.5314777335</v>
      </c>
      <c r="AM60" s="121">
        <f t="shared" si="28"/>
        <v>7398651.6602963936</v>
      </c>
      <c r="AN60" s="121">
        <f t="shared" si="28"/>
        <v>7012465.8364616586</v>
      </c>
      <c r="AO60" s="121">
        <f t="shared" si="28"/>
        <v>6597383.470404841</v>
      </c>
      <c r="AP60" s="121">
        <f t="shared" si="28"/>
        <v>6163229.7384699034</v>
      </c>
      <c r="AQ60" s="121">
        <f t="shared" si="28"/>
        <v>5714346.2446881626</v>
      </c>
      <c r="AR60" s="121">
        <f t="shared" si="28"/>
        <v>5218766.5519953836</v>
      </c>
      <c r="AS60" s="121">
        <f t="shared" si="28"/>
        <v>4735442.6947795823</v>
      </c>
      <c r="AT60" s="121">
        <f t="shared" si="28"/>
        <v>4210991.8604571689</v>
      </c>
      <c r="AU60" s="121">
        <f t="shared" si="28"/>
        <v>3765878.7044268274</v>
      </c>
      <c r="AV60" s="117">
        <f t="shared" si="30"/>
        <v>3347591.8393971142</v>
      </c>
      <c r="AW60" s="121">
        <f t="shared" si="31"/>
        <v>2930827.8384015765</v>
      </c>
      <c r="AX60" s="122">
        <f t="shared" si="31"/>
        <v>2485130.180400508</v>
      </c>
    </row>
    <row r="61" spans="1:50" x14ac:dyDescent="0.25">
      <c r="A61" s="76" t="s">
        <v>7</v>
      </c>
      <c r="B61" s="117">
        <f t="shared" si="32"/>
        <v>-55951.998187130419</v>
      </c>
      <c r="C61" s="121">
        <f t="shared" si="29"/>
        <v>-198840.39497530146</v>
      </c>
      <c r="D61" s="121">
        <f t="shared" si="29"/>
        <v>-222350.41270022688</v>
      </c>
      <c r="E61" s="121">
        <f t="shared" si="29"/>
        <v>-363290.80886816396</v>
      </c>
      <c r="F61" s="121">
        <f t="shared" si="29"/>
        <v>-484010.1319148473</v>
      </c>
      <c r="G61" s="121">
        <f t="shared" si="29"/>
        <v>-628094.48939981742</v>
      </c>
      <c r="H61" s="121">
        <f t="shared" si="29"/>
        <v>-777606.7488101155</v>
      </c>
      <c r="I61" s="121">
        <f t="shared" si="29"/>
        <v>-791334.34675285488</v>
      </c>
      <c r="J61" s="121">
        <f t="shared" si="29"/>
        <v>-586846.60531923547</v>
      </c>
      <c r="K61" s="121">
        <f t="shared" si="29"/>
        <v>-656440.89971483126</v>
      </c>
      <c r="L61" s="121">
        <f t="shared" si="29"/>
        <v>-733828.39567633183</v>
      </c>
      <c r="M61" s="121">
        <f t="shared" si="29"/>
        <v>-604158.45139340404</v>
      </c>
      <c r="N61" s="121">
        <f t="shared" si="28"/>
        <v>-644583.18159729638</v>
      </c>
      <c r="O61" s="121">
        <f t="shared" si="28"/>
        <v>-556132.47163204453</v>
      </c>
      <c r="P61" s="121">
        <f t="shared" si="28"/>
        <v>-477387.05625487101</v>
      </c>
      <c r="Q61" s="121">
        <f t="shared" si="28"/>
        <v>677446.14519560465</v>
      </c>
      <c r="R61" s="121">
        <f t="shared" si="28"/>
        <v>613826.75125017413</v>
      </c>
      <c r="S61" s="121">
        <f t="shared" si="28"/>
        <v>568492.2648638942</v>
      </c>
      <c r="T61" s="121">
        <f t="shared" si="28"/>
        <v>559703.56307652837</v>
      </c>
      <c r="U61" s="121">
        <f t="shared" si="28"/>
        <v>584814.06898505113</v>
      </c>
      <c r="V61" s="121">
        <f t="shared" si="28"/>
        <v>502405.79752490524</v>
      </c>
      <c r="W61" s="118">
        <f t="shared" si="28"/>
        <v>507671.07248210587</v>
      </c>
      <c r="X61" s="121">
        <f t="shared" si="28"/>
        <v>440013.97316684888</v>
      </c>
      <c r="Y61" s="121">
        <f t="shared" si="28"/>
        <v>484201.73654147674</v>
      </c>
      <c r="Z61" s="121">
        <f t="shared" si="28"/>
        <v>458906.85719826509</v>
      </c>
      <c r="AA61" s="121">
        <f t="shared" si="28"/>
        <v>506000.35225831583</v>
      </c>
      <c r="AB61" s="121">
        <f t="shared" si="28"/>
        <v>800879.25387539936</v>
      </c>
      <c r="AC61" s="121">
        <f t="shared" si="28"/>
        <v>605489.25924298144</v>
      </c>
      <c r="AD61" s="121">
        <f t="shared" si="28"/>
        <v>514900.63508368161</v>
      </c>
      <c r="AE61" s="121">
        <f t="shared" si="28"/>
        <v>1034166.9942808202</v>
      </c>
      <c r="AF61" s="121">
        <f t="shared" si="28"/>
        <v>1330601.0082328545</v>
      </c>
      <c r="AG61" s="121">
        <f t="shared" si="28"/>
        <v>1868382.7671231909</v>
      </c>
      <c r="AH61" s="121">
        <f t="shared" si="28"/>
        <v>2152810.7365429061</v>
      </c>
      <c r="AI61" s="121">
        <f t="shared" si="28"/>
        <v>2887458.9088511169</v>
      </c>
      <c r="AJ61" s="121">
        <f t="shared" si="28"/>
        <v>3193375.3033826798</v>
      </c>
      <c r="AK61" s="121">
        <f t="shared" si="28"/>
        <v>4727942.6274523204</v>
      </c>
      <c r="AL61" s="121">
        <f t="shared" si="28"/>
        <v>4436680.1999854157</v>
      </c>
      <c r="AM61" s="121">
        <f t="shared" si="28"/>
        <v>4269309.9822813915</v>
      </c>
      <c r="AN61" s="121">
        <f t="shared" si="28"/>
        <v>4083833.6863441993</v>
      </c>
      <c r="AO61" s="121">
        <f t="shared" si="28"/>
        <v>3886811.155990792</v>
      </c>
      <c r="AP61" s="121">
        <f t="shared" si="28"/>
        <v>3687058.7980810287</v>
      </c>
      <c r="AQ61" s="121">
        <f t="shared" si="28"/>
        <v>3458837.8762962711</v>
      </c>
      <c r="AR61" s="121">
        <f t="shared" si="28"/>
        <v>3221789.3348432356</v>
      </c>
      <c r="AS61" s="121">
        <f t="shared" si="28"/>
        <v>2982045.0252313996</v>
      </c>
      <c r="AT61" s="121">
        <f t="shared" si="28"/>
        <v>2718772.4589003087</v>
      </c>
      <c r="AU61" s="121">
        <f t="shared" si="28"/>
        <v>2487607.8072421039</v>
      </c>
      <c r="AV61" s="117">
        <f t="shared" si="30"/>
        <v>2268724.9362457967</v>
      </c>
      <c r="AW61" s="121">
        <f t="shared" si="31"/>
        <v>2062804.997574785</v>
      </c>
      <c r="AX61" s="122">
        <f t="shared" si="31"/>
        <v>1848191.8289066239</v>
      </c>
    </row>
    <row r="62" spans="1:50" x14ac:dyDescent="0.25"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4"/>
      <c r="AW62" s="105"/>
      <c r="AX62" s="108"/>
    </row>
    <row r="63" spans="1:50" x14ac:dyDescent="0.25">
      <c r="A63" s="76" t="s">
        <v>69</v>
      </c>
      <c r="B63" s="130">
        <v>6.5250000000000004E-3</v>
      </c>
      <c r="C63" s="131">
        <v>6.5250000000000004E-3</v>
      </c>
      <c r="D63" s="131">
        <v>6.483329999999999E-3</v>
      </c>
      <c r="E63" s="131">
        <v>6.5083299999999997E-3</v>
      </c>
      <c r="F63" s="131">
        <v>6.4916699999999997E-3</v>
      </c>
      <c r="G63" s="131">
        <v>6.4999999999999997E-3</v>
      </c>
      <c r="H63" s="131">
        <v>6.5083299999999997E-3</v>
      </c>
      <c r="I63" s="131">
        <v>6.5250000000000004E-3</v>
      </c>
      <c r="J63" s="131">
        <v>6.5416600000000004E-3</v>
      </c>
      <c r="K63" s="132">
        <v>6.3749999999999996E-3</v>
      </c>
      <c r="L63" s="279">
        <v>6.3416599999999998E-3</v>
      </c>
      <c r="M63" s="279">
        <v>6.1416700000000001E-3</v>
      </c>
      <c r="N63" s="279">
        <v>5.2833300000000001E-3</v>
      </c>
      <c r="O63" s="279">
        <f>'PCR (M1)'!O61</f>
        <v>3.8498083333333337E-4</v>
      </c>
      <c r="P63" s="279">
        <f>'PCR (M1)'!P61</f>
        <v>2.8620416666666666E-4</v>
      </c>
      <c r="Q63" s="279">
        <f>'PCR (M1)'!Q61</f>
        <v>2.691875E-4</v>
      </c>
      <c r="R63" s="279">
        <f>'PCR (M1)'!R61</f>
        <v>2.4913749999999998E-4</v>
      </c>
      <c r="S63" s="279">
        <f>'PCR (M1)'!S61</f>
        <v>2.5577833333333334E-4</v>
      </c>
      <c r="T63" s="279">
        <f>'PCR (M1)'!T61</f>
        <v>2.4873916666666668E-4</v>
      </c>
      <c r="U63" s="279">
        <f>'PCR (M1)'!U61</f>
        <v>2.5995083333333339E-4</v>
      </c>
      <c r="V63" s="279">
        <f>'PCR (M1)'!V61</f>
        <v>2.2040416666666669E-4</v>
      </c>
      <c r="W63" s="279">
        <f>'PCR (M1)'!W61</f>
        <v>2.2689583333333332E-4</v>
      </c>
      <c r="X63" s="279">
        <f>'PCR (M1)'!X61</f>
        <v>2.6736583333333331E-4</v>
      </c>
      <c r="Y63" s="279">
        <f>'PCR (M1)'!Y61</f>
        <v>3.3764416666666664E-4</v>
      </c>
      <c r="Z63" s="279">
        <f>'PCR (M1)'!Z61</f>
        <v>4.0975499999999998E-4</v>
      </c>
      <c r="AA63" s="279">
        <f>'PCR (M1)'!AA61</f>
        <v>3.6262916666666669E-4</v>
      </c>
      <c r="AB63" s="279">
        <f>'PCR (M1)'!AB61</f>
        <v>3.4233749999999997E-4</v>
      </c>
      <c r="AC63" s="279">
        <f>'PCR (M1)'!AC61</f>
        <v>2.512758333333333E-4</v>
      </c>
      <c r="AD63" s="279">
        <f>'PCR (M1)'!AD61</f>
        <v>7.1156666666666662E-5</v>
      </c>
      <c r="AE63" s="279">
        <f>'PCR (M1)'!AE61</f>
        <v>1.5850666666666666E-4</v>
      </c>
      <c r="AF63" s="279">
        <f>'PCR (M1)'!AF61</f>
        <v>3.7410250000000003E-4</v>
      </c>
      <c r="AG63" s="279">
        <f>'PCR (M1)'!AG61</f>
        <v>4.5024833333333326E-4</v>
      </c>
      <c r="AH63" s="279">
        <f>'PCR (M1)'!AH61</f>
        <v>4.5309999999999995E-4</v>
      </c>
      <c r="AI63" s="279">
        <f>'PCR (M1)'!AI61</f>
        <v>4.439016666666666E-4</v>
      </c>
      <c r="AJ63" s="279">
        <f>'PCR (M1)'!AJ61</f>
        <v>4.2071416666666662E-4</v>
      </c>
      <c r="AK63" s="279">
        <f>'PCR (M1)'!AK61</f>
        <v>5.556533333333334E-4</v>
      </c>
      <c r="AL63" s="279">
        <f>'PCR (M1)'!AL61</f>
        <v>6.6926000000000008E-4</v>
      </c>
      <c r="AM63" s="279">
        <f>'PCR (M1)'!AM61</f>
        <v>6.7500916666666676E-4</v>
      </c>
      <c r="AN63" s="279">
        <f>'PCR (M1)'!AN61</f>
        <v>6.0997666666666656E-4</v>
      </c>
      <c r="AO63" s="279">
        <f>'PCR (M1)'!AO61</f>
        <v>6.2130750000000004E-4</v>
      </c>
      <c r="AP63" s="279">
        <f>'PCR (M1)'!AP61</f>
        <v>6.2982833333333329E-4</v>
      </c>
      <c r="AQ63" s="279">
        <f>'PCR (M1)'!AQ61</f>
        <v>5.2193500000000006E-4</v>
      </c>
      <c r="AR63" s="279">
        <f>'PCR (M1)'!AR61</f>
        <v>5.2420250000000004E-4</v>
      </c>
      <c r="AS63" s="279">
        <f>'PCR (M1)'!AS61</f>
        <v>6.3713833333333325E-4</v>
      </c>
      <c r="AT63" s="279">
        <f>'PCR (M1)'!AT61</f>
        <v>6.2954999999999999E-4</v>
      </c>
      <c r="AU63" s="279">
        <f>'PCR (M1)'!AU61</f>
        <v>6.3347499999999999E-4</v>
      </c>
      <c r="AV63" s="276">
        <f>'PCR (M1)'!AV61</f>
        <v>6.3347499999999999E-4</v>
      </c>
      <c r="AW63" s="277">
        <f>'PCR (M1)'!AW61</f>
        <v>6.3347499999999999E-4</v>
      </c>
      <c r="AX63" s="278">
        <f>'PCR (M1)'!AX61</f>
        <v>6.3347499999999999E-4</v>
      </c>
    </row>
    <row r="64" spans="1:50" x14ac:dyDescent="0.25">
      <c r="A64" s="76" t="s">
        <v>0</v>
      </c>
      <c r="B64" s="117">
        <f>B57*B$63</f>
        <v>-6484.0605660658957</v>
      </c>
      <c r="C64" s="121">
        <f>C57*C$63</f>
        <v>-14259.979200950189</v>
      </c>
      <c r="D64" s="121">
        <f t="shared" ref="D64:AX68" si="33">D57*D$63</f>
        <v>-21257.917027497828</v>
      </c>
      <c r="E64" s="121">
        <f t="shared" si="33"/>
        <v>-25608.304616424903</v>
      </c>
      <c r="F64" s="121">
        <f t="shared" si="33"/>
        <v>-20673.282383185713</v>
      </c>
      <c r="G64" s="121">
        <f t="shared" si="33"/>
        <v>-20955.77235025763</v>
      </c>
      <c r="H64" s="121">
        <f t="shared" si="33"/>
        <v>-19340.316196654181</v>
      </c>
      <c r="I64" s="121">
        <f t="shared" si="33"/>
        <v>-20251.085093427762</v>
      </c>
      <c r="J64" s="121">
        <f t="shared" si="33"/>
        <v>-15928.92127123922</v>
      </c>
      <c r="K64" s="121">
        <f t="shared" si="33"/>
        <v>1424.8319387892266</v>
      </c>
      <c r="L64" s="121">
        <f t="shared" si="33"/>
        <v>11281.088832342341</v>
      </c>
      <c r="M64" s="121">
        <f t="shared" si="33"/>
        <v>17260.533216364438</v>
      </c>
      <c r="N64" s="121">
        <f t="shared" si="33"/>
        <v>9334.5607608667015</v>
      </c>
      <c r="O64" s="121">
        <f t="shared" si="33"/>
        <v>243.2361209784205</v>
      </c>
      <c r="P64" s="121">
        <f t="shared" si="33"/>
        <v>-58.092943685940547</v>
      </c>
      <c r="Q64" s="121">
        <f t="shared" si="33"/>
        <v>-4.8645218754348027</v>
      </c>
      <c r="R64" s="121">
        <f t="shared" si="33"/>
        <v>182.64324590023696</v>
      </c>
      <c r="S64" s="121">
        <f t="shared" si="33"/>
        <v>298.90164503535374</v>
      </c>
      <c r="T64" s="121">
        <f t="shared" si="33"/>
        <v>323.99699337318407</v>
      </c>
      <c r="U64" s="121">
        <f t="shared" si="33"/>
        <v>577.79754098959199</v>
      </c>
      <c r="V64" s="121">
        <f t="shared" si="33"/>
        <v>491.4210080515295</v>
      </c>
      <c r="W64" s="118">
        <f t="shared" si="33"/>
        <v>666.26187534015378</v>
      </c>
      <c r="X64" s="121">
        <f t="shared" si="33"/>
        <v>1121.7045468815256</v>
      </c>
      <c r="Y64" s="121">
        <f t="shared" si="33"/>
        <v>1571.8426374037308</v>
      </c>
      <c r="Z64" s="121">
        <f t="shared" si="33"/>
        <v>1372.8354402662569</v>
      </c>
      <c r="AA64" s="121">
        <f t="shared" si="33"/>
        <v>221.49752673996136</v>
      </c>
      <c r="AB64" s="121">
        <f t="shared" si="33"/>
        <v>-524.21404207709054</v>
      </c>
      <c r="AC64" s="121">
        <f t="shared" si="33"/>
        <v>-346.00362279117292</v>
      </c>
      <c r="AD64" s="121">
        <f t="shared" si="33"/>
        <v>-75.315586557906329</v>
      </c>
      <c r="AE64" s="121">
        <f t="shared" si="33"/>
        <v>-288.54573713500491</v>
      </c>
      <c r="AF64" s="121">
        <f t="shared" si="33"/>
        <v>-903.88583326503988</v>
      </c>
      <c r="AG64" s="121">
        <f t="shared" si="33"/>
        <v>-1890.8178867148092</v>
      </c>
      <c r="AH64" s="121">
        <f t="shared" si="33"/>
        <v>-1900.2091145770164</v>
      </c>
      <c r="AI64" s="121">
        <f t="shared" si="33"/>
        <v>-1225.0722809362069</v>
      </c>
      <c r="AJ64" s="121">
        <f t="shared" si="33"/>
        <v>30.835179395364538</v>
      </c>
      <c r="AK64" s="121">
        <f t="shared" si="33"/>
        <v>4869.7408956468971</v>
      </c>
      <c r="AL64" s="121">
        <f t="shared" si="33"/>
        <v>2793.2748588474765</v>
      </c>
      <c r="AM64" s="121">
        <f t="shared" si="33"/>
        <v>3211.9097735974965</v>
      </c>
      <c r="AN64" s="121">
        <f t="shared" si="33"/>
        <v>3060.6127967612006</v>
      </c>
      <c r="AO64" s="121">
        <f t="shared" si="33"/>
        <v>3242.3336888843646</v>
      </c>
      <c r="AP64" s="121">
        <f t="shared" si="33"/>
        <v>3390.2153108261027</v>
      </c>
      <c r="AQ64" s="121">
        <f t="shared" si="33"/>
        <v>2930.3433066240073</v>
      </c>
      <c r="AR64" s="121">
        <f t="shared" si="33"/>
        <v>3120.1463667395174</v>
      </c>
      <c r="AS64" s="121">
        <f t="shared" si="33"/>
        <v>4007.3299815267242</v>
      </c>
      <c r="AT64" s="121">
        <f>AT57*AT$63</f>
        <v>4152.6913845006638</v>
      </c>
      <c r="AU64" s="121">
        <f>AU57*AU$63</f>
        <v>4316.9079920228387</v>
      </c>
      <c r="AV64" s="171">
        <f>AV57*AV$63</f>
        <v>4440.5955361583819</v>
      </c>
      <c r="AW64" s="121">
        <f t="shared" si="33"/>
        <v>4621.3884873531679</v>
      </c>
      <c r="AX64" s="122">
        <f t="shared" si="33"/>
        <v>4855.3056102056325</v>
      </c>
    </row>
    <row r="65" spans="1:50" x14ac:dyDescent="0.25">
      <c r="A65" s="76" t="s">
        <v>4</v>
      </c>
      <c r="B65" s="117">
        <f t="shared" ref="B65:M68" si="34">B58*B$63</f>
        <v>-393.30512942102604</v>
      </c>
      <c r="C65" s="121">
        <f t="shared" si="34"/>
        <v>-478.12802440004674</v>
      </c>
      <c r="D65" s="121">
        <f t="shared" si="34"/>
        <v>35.330293595386124</v>
      </c>
      <c r="E65" s="121">
        <f t="shared" si="34"/>
        <v>449.22632570725045</v>
      </c>
      <c r="F65" s="121">
        <f t="shared" si="34"/>
        <v>938.11155221115985</v>
      </c>
      <c r="G65" s="121">
        <f t="shared" si="34"/>
        <v>1528.056643001629</v>
      </c>
      <c r="H65" s="121">
        <f t="shared" si="34"/>
        <v>2714.3345858514103</v>
      </c>
      <c r="I65" s="121">
        <f t="shared" si="34"/>
        <v>3886.9792174392537</v>
      </c>
      <c r="J65" s="121">
        <f t="shared" si="34"/>
        <v>4296.2809865389145</v>
      </c>
      <c r="K65" s="121">
        <f t="shared" si="34"/>
        <v>6031.4155671199633</v>
      </c>
      <c r="L65" s="121">
        <f t="shared" si="34"/>
        <v>7401.7921291596003</v>
      </c>
      <c r="M65" s="121">
        <f t="shared" si="34"/>
        <v>7964.8327991313154</v>
      </c>
      <c r="N65" s="121">
        <f t="shared" si="33"/>
        <v>7470.1506046263594</v>
      </c>
      <c r="O65" s="121">
        <f t="shared" si="33"/>
        <v>495.35964135401514</v>
      </c>
      <c r="P65" s="121">
        <f t="shared" si="33"/>
        <v>362.65025309491637</v>
      </c>
      <c r="Q65" s="121">
        <f t="shared" si="33"/>
        <v>293.74309871291433</v>
      </c>
      <c r="R65" s="121">
        <f t="shared" si="33"/>
        <v>289.87801268628192</v>
      </c>
      <c r="S65" s="121">
        <f t="shared" si="33"/>
        <v>258.28209671196231</v>
      </c>
      <c r="T65" s="121">
        <f t="shared" si="33"/>
        <v>220.06627109235112</v>
      </c>
      <c r="U65" s="121">
        <f t="shared" si="33"/>
        <v>248.76734177669417</v>
      </c>
      <c r="V65" s="121">
        <f t="shared" si="33"/>
        <v>201.92512786246826</v>
      </c>
      <c r="W65" s="118">
        <f t="shared" si="33"/>
        <v>229.5754169184853</v>
      </c>
      <c r="X65" s="121">
        <f t="shared" si="33"/>
        <v>244.42409635156429</v>
      </c>
      <c r="Y65" s="121">
        <f t="shared" si="33"/>
        <v>285.88388563541372</v>
      </c>
      <c r="Z65" s="121">
        <f t="shared" si="33"/>
        <v>338.11901325318996</v>
      </c>
      <c r="AA65" s="121">
        <f t="shared" si="33"/>
        <v>346.64340904722104</v>
      </c>
      <c r="AB65" s="121">
        <f t="shared" si="33"/>
        <v>374.48608933010968</v>
      </c>
      <c r="AC65" s="121">
        <f t="shared" si="33"/>
        <v>385.9159707984378</v>
      </c>
      <c r="AD65" s="121">
        <f t="shared" si="33"/>
        <v>125.07505779206784</v>
      </c>
      <c r="AE65" s="121">
        <f t="shared" si="33"/>
        <v>280.60704630709199</v>
      </c>
      <c r="AF65" s="121">
        <f t="shared" si="33"/>
        <v>649.99762865994421</v>
      </c>
      <c r="AG65" s="121">
        <f t="shared" si="33"/>
        <v>799.35054345151673</v>
      </c>
      <c r="AH65" s="121">
        <f t="shared" si="33"/>
        <v>893.57514629416335</v>
      </c>
      <c r="AI65" s="121">
        <f t="shared" si="33"/>
        <v>996.19588409433049</v>
      </c>
      <c r="AJ65" s="121">
        <f t="shared" si="33"/>
        <v>1106.3212938279707</v>
      </c>
      <c r="AK65" s="121">
        <f t="shared" si="33"/>
        <v>1887.7446975009782</v>
      </c>
      <c r="AL65" s="121">
        <f t="shared" si="33"/>
        <v>2123.4751914069398</v>
      </c>
      <c r="AM65" s="121">
        <f t="shared" si="33"/>
        <v>2005.8211668199601</v>
      </c>
      <c r="AN65" s="121">
        <f t="shared" si="33"/>
        <v>1694.6150233180488</v>
      </c>
      <c r="AO65" s="121">
        <f t="shared" si="33"/>
        <v>1616.3176766646786</v>
      </c>
      <c r="AP65" s="121">
        <f t="shared" si="33"/>
        <v>1531.2370816177761</v>
      </c>
      <c r="AQ65" s="121">
        <f t="shared" si="33"/>
        <v>1159.5290889684063</v>
      </c>
      <c r="AR65" s="121">
        <f t="shared" si="33"/>
        <v>1034.8467479296448</v>
      </c>
      <c r="AS65" s="121">
        <f t="shared" si="33"/>
        <v>1100.1821144254336</v>
      </c>
      <c r="AT65" s="121">
        <f t="shared" si="33"/>
        <v>937.40517073001047</v>
      </c>
      <c r="AU65" s="121">
        <f t="shared" si="33"/>
        <v>815.07846451384773</v>
      </c>
      <c r="AV65" s="171">
        <f t="shared" si="33"/>
        <v>699.30044186986311</v>
      </c>
      <c r="AW65" s="121">
        <f t="shared" si="33"/>
        <v>562.60045897133</v>
      </c>
      <c r="AX65" s="122">
        <f t="shared" si="33"/>
        <v>402.58944084091354</v>
      </c>
    </row>
    <row r="66" spans="1:50" x14ac:dyDescent="0.25">
      <c r="A66" s="76" t="s">
        <v>5</v>
      </c>
      <c r="B66" s="117">
        <f t="shared" si="34"/>
        <v>-1360.5497274210261</v>
      </c>
      <c r="C66" s="121">
        <f t="shared" si="34"/>
        <v>-1694.4207396597985</v>
      </c>
      <c r="D66" s="121">
        <f t="shared" si="34"/>
        <v>-3206.5932082809172</v>
      </c>
      <c r="E66" s="121">
        <f t="shared" si="34"/>
        <v>-3262.6137656717519</v>
      </c>
      <c r="F66" s="121">
        <f t="shared" si="34"/>
        <v>2411.5690396154787</v>
      </c>
      <c r="G66" s="121">
        <f t="shared" si="34"/>
        <v>3400.5251271545421</v>
      </c>
      <c r="H66" s="121">
        <f t="shared" si="34"/>
        <v>4560.6769070697783</v>
      </c>
      <c r="I66" s="121">
        <f t="shared" si="34"/>
        <v>4518.036300326642</v>
      </c>
      <c r="J66" s="121">
        <f t="shared" si="34"/>
        <v>6999.9529072570012</v>
      </c>
      <c r="K66" s="121">
        <f>K59*K$63</f>
        <v>15486.29321506128</v>
      </c>
      <c r="L66" s="121">
        <f t="shared" si="34"/>
        <v>23723.822898486564</v>
      </c>
      <c r="M66" s="121">
        <f t="shared" si="34"/>
        <v>27130.715507386263</v>
      </c>
      <c r="N66" s="121">
        <f t="shared" si="33"/>
        <v>24352.846765771596</v>
      </c>
      <c r="O66" s="121">
        <f t="shared" si="33"/>
        <v>1668.606249361603</v>
      </c>
      <c r="P66" s="121">
        <f t="shared" si="33"/>
        <v>1179.5754332567101</v>
      </c>
      <c r="Q66" s="121">
        <f t="shared" si="33"/>
        <v>949.5785544025423</v>
      </c>
      <c r="R66" s="121">
        <f t="shared" si="33"/>
        <v>940.0517511741341</v>
      </c>
      <c r="S66" s="121">
        <f t="shared" si="33"/>
        <v>986.27040069614304</v>
      </c>
      <c r="T66" s="121">
        <f t="shared" si="33"/>
        <v>1070.3061279771384</v>
      </c>
      <c r="U66" s="121">
        <f t="shared" si="33"/>
        <v>1337.4439458904112</v>
      </c>
      <c r="V66" s="121">
        <f t="shared" si="33"/>
        <v>1121.8413664839888</v>
      </c>
      <c r="W66" s="118">
        <f t="shared" si="33"/>
        <v>1226.7706082794043</v>
      </c>
      <c r="X66" s="121">
        <f t="shared" si="33"/>
        <v>1437.5970971133552</v>
      </c>
      <c r="Y66" s="121">
        <f t="shared" si="33"/>
        <v>2001.9621791225686</v>
      </c>
      <c r="Z66" s="121">
        <f t="shared" si="33"/>
        <v>2347.8648331105583</v>
      </c>
      <c r="AA66" s="121">
        <f t="shared" si="33"/>
        <v>1913.1113408941023</v>
      </c>
      <c r="AB66" s="121">
        <f t="shared" si="33"/>
        <v>1629.7064134895249</v>
      </c>
      <c r="AC66" s="121">
        <f t="shared" si="33"/>
        <v>1201.7640313290783</v>
      </c>
      <c r="AD66" s="121">
        <f t="shared" si="33"/>
        <v>368.8683464448581</v>
      </c>
      <c r="AE66" s="121">
        <f t="shared" si="33"/>
        <v>799.84950581756277</v>
      </c>
      <c r="AF66" s="121">
        <f t="shared" si="33"/>
        <v>1941.7572260085553</v>
      </c>
      <c r="AG66" s="121">
        <f t="shared" si="33"/>
        <v>2113.437498744147</v>
      </c>
      <c r="AH66" s="121">
        <f t="shared" si="33"/>
        <v>2293.1441525569653</v>
      </c>
      <c r="AI66" s="121">
        <f t="shared" si="33"/>
        <v>2338.2582361432014</v>
      </c>
      <c r="AJ66" s="121">
        <f t="shared" si="33"/>
        <v>2798.5207552344636</v>
      </c>
      <c r="AK66" s="121">
        <f t="shared" si="33"/>
        <v>5986.5531337107668</v>
      </c>
      <c r="AL66" s="121">
        <f t="shared" si="33"/>
        <v>6328.9544544835098</v>
      </c>
      <c r="AM66" s="121">
        <f t="shared" si="33"/>
        <v>5990.2728995161187</v>
      </c>
      <c r="AN66" s="121">
        <f t="shared" si="33"/>
        <v>5017.8822517582539</v>
      </c>
      <c r="AO66" s="121">
        <f t="shared" si="33"/>
        <v>4711.9684441197678</v>
      </c>
      <c r="AP66" s="121">
        <f t="shared" si="33"/>
        <v>4369.1190680095779</v>
      </c>
      <c r="AQ66" s="121">
        <f t="shared" si="33"/>
        <v>3234.5334426038748</v>
      </c>
      <c r="AR66" s="121">
        <f t="shared" si="33"/>
        <v>2816.5403808179808</v>
      </c>
      <c r="AS66" s="121">
        <f t="shared" si="33"/>
        <v>2896.2623749120535</v>
      </c>
      <c r="AT66" s="121">
        <f t="shared" si="33"/>
        <v>2339.0821354820027</v>
      </c>
      <c r="AU66" s="121">
        <f t="shared" si="33"/>
        <v>1890.3423404831212</v>
      </c>
      <c r="AV66" s="171">
        <f t="shared" si="33"/>
        <v>1471.2261989934291</v>
      </c>
      <c r="AW66" s="121">
        <f t="shared" si="33"/>
        <v>1020.6188560568906</v>
      </c>
      <c r="AX66" s="122">
        <f t="shared" si="33"/>
        <v>527.49145655180678</v>
      </c>
    </row>
    <row r="67" spans="1:50" x14ac:dyDescent="0.25">
      <c r="A67" s="76" t="s">
        <v>6</v>
      </c>
      <c r="B67" s="117">
        <f t="shared" si="34"/>
        <v>-646.08741392102604</v>
      </c>
      <c r="C67" s="121">
        <f t="shared" si="34"/>
        <v>-1922.0833715792496</v>
      </c>
      <c r="D67" s="121">
        <f t="shared" si="34"/>
        <v>-2807.851893447536</v>
      </c>
      <c r="E67" s="121">
        <f t="shared" si="34"/>
        <v>-3537.2422878267685</v>
      </c>
      <c r="F67" s="121">
        <f t="shared" si="34"/>
        <v>-4410.7196103002852</v>
      </c>
      <c r="G67" s="121">
        <f t="shared" si="34"/>
        <v>-4199.0138231396913</v>
      </c>
      <c r="H67" s="121">
        <f t="shared" si="34"/>
        <v>-1294.9496499420418</v>
      </c>
      <c r="I67" s="121">
        <f t="shared" si="34"/>
        <v>-723.50375231780777</v>
      </c>
      <c r="J67" s="121">
        <f t="shared" si="34"/>
        <v>1764.3680550009278</v>
      </c>
      <c r="K67" s="121">
        <f t="shared" si="34"/>
        <v>6060.5410409236547</v>
      </c>
      <c r="L67" s="121">
        <f t="shared" si="34"/>
        <v>5612.1493758765873</v>
      </c>
      <c r="M67" s="121">
        <f t="shared" si="34"/>
        <v>8445.8451544463205</v>
      </c>
      <c r="N67" s="121">
        <f t="shared" si="33"/>
        <v>6397.795171361513</v>
      </c>
      <c r="O67" s="121">
        <f t="shared" si="33"/>
        <v>546.81777347487616</v>
      </c>
      <c r="P67" s="121">
        <f t="shared" si="33"/>
        <v>385.10267833041519</v>
      </c>
      <c r="Q67" s="121">
        <f t="shared" si="33"/>
        <v>294.18796215788035</v>
      </c>
      <c r="R67" s="121">
        <f t="shared" si="33"/>
        <v>301.50278804406912</v>
      </c>
      <c r="S67" s="121">
        <f t="shared" si="33"/>
        <v>422.09642024886125</v>
      </c>
      <c r="T67" s="121">
        <f t="shared" si="33"/>
        <v>410.18706512007071</v>
      </c>
      <c r="U67" s="121">
        <f t="shared" si="33"/>
        <v>407.03577419454001</v>
      </c>
      <c r="V67" s="121">
        <f t="shared" si="33"/>
        <v>417.90206834264848</v>
      </c>
      <c r="W67" s="118">
        <f t="shared" si="33"/>
        <v>392.22319227493</v>
      </c>
      <c r="X67" s="121">
        <f t="shared" si="33"/>
        <v>749.57242556441463</v>
      </c>
      <c r="Y67" s="121">
        <f t="shared" si="33"/>
        <v>1042.5970147088969</v>
      </c>
      <c r="Z67" s="121">
        <f t="shared" si="33"/>
        <v>1262.6755833839809</v>
      </c>
      <c r="AA67" s="121">
        <f t="shared" si="33"/>
        <v>1119.6543343533169</v>
      </c>
      <c r="AB67" s="121">
        <f t="shared" si="33"/>
        <v>1131.6458282178603</v>
      </c>
      <c r="AC67" s="121">
        <f t="shared" si="33"/>
        <v>954.71828962045686</v>
      </c>
      <c r="AD67" s="121">
        <f t="shared" si="33"/>
        <v>277.11673030498895</v>
      </c>
      <c r="AE67" s="121">
        <f t="shared" si="33"/>
        <v>597.32327539959851</v>
      </c>
      <c r="AF67" s="121">
        <f t="shared" si="33"/>
        <v>1628.2587462370072</v>
      </c>
      <c r="AG67" s="121">
        <f t="shared" si="33"/>
        <v>2049.7835872858232</v>
      </c>
      <c r="AH67" s="121">
        <f t="shared" si="33"/>
        <v>2230.1439031748996</v>
      </c>
      <c r="AI67" s="121">
        <f t="shared" si="33"/>
        <v>2400.2770457478014</v>
      </c>
      <c r="AJ67" s="121">
        <f t="shared" si="33"/>
        <v>2575.5520871501585</v>
      </c>
      <c r="AK67" s="121">
        <f t="shared" si="33"/>
        <v>4518.0511807548046</v>
      </c>
      <c r="AL67" s="121">
        <f t="shared" si="33"/>
        <v>5192.3188751767884</v>
      </c>
      <c r="AM67" s="121">
        <f t="shared" si="33"/>
        <v>4994.1576916736194</v>
      </c>
      <c r="AN67" s="121">
        <f t="shared" si="33"/>
        <v>4277.44053603876</v>
      </c>
      <c r="AO67" s="121">
        <f t="shared" si="33"/>
        <v>4099.003830538556</v>
      </c>
      <c r="AP67" s="121">
        <f t="shared" si="33"/>
        <v>3881.776714130935</v>
      </c>
      <c r="AQ67" s="121">
        <f t="shared" si="33"/>
        <v>2982.5173072213165</v>
      </c>
      <c r="AR67" s="121">
        <f t="shared" si="33"/>
        <v>2735.6904734723603</v>
      </c>
      <c r="AS67" s="121">
        <f t="shared" si="33"/>
        <v>3017.1320661473715</v>
      </c>
      <c r="AT67" s="121">
        <f t="shared" si="33"/>
        <v>2651.0299257508104</v>
      </c>
      <c r="AU67" s="121">
        <f t="shared" si="33"/>
        <v>2385.5900122867843</v>
      </c>
      <c r="AV67" s="171">
        <f t="shared" si="33"/>
        <v>2120.6157404620867</v>
      </c>
      <c r="AW67" s="121">
        <f t="shared" si="33"/>
        <v>1856.6061649314386</v>
      </c>
      <c r="AX67" s="122">
        <f t="shared" si="33"/>
        <v>1574.2678410292117</v>
      </c>
    </row>
    <row r="68" spans="1:50" ht="15.75" thickBot="1" x14ac:dyDescent="0.3">
      <c r="A68" s="76" t="s">
        <v>7</v>
      </c>
      <c r="B68" s="117">
        <f t="shared" si="34"/>
        <v>-365.086788171026</v>
      </c>
      <c r="C68" s="121">
        <f t="shared" si="34"/>
        <v>-1297.433577213842</v>
      </c>
      <c r="D68" s="121">
        <f t="shared" si="34"/>
        <v>-1441.5711011717617</v>
      </c>
      <c r="E68" s="121">
        <f t="shared" si="34"/>
        <v>-2364.4164700809374</v>
      </c>
      <c r="F68" s="121">
        <f t="shared" si="34"/>
        <v>-3142.0340530476565</v>
      </c>
      <c r="G68" s="121">
        <f t="shared" si="34"/>
        <v>-4082.6141810988129</v>
      </c>
      <c r="H68" s="121">
        <f t="shared" si="34"/>
        <v>-5060.9213314833387</v>
      </c>
      <c r="I68" s="121">
        <f t="shared" si="34"/>
        <v>-5163.4566125623787</v>
      </c>
      <c r="J68" s="121">
        <f t="shared" si="34"/>
        <v>-3838.9509641526301</v>
      </c>
      <c r="K68" s="121">
        <f t="shared" si="34"/>
        <v>-4184.8107356820492</v>
      </c>
      <c r="L68" s="121">
        <f t="shared" si="34"/>
        <v>-4653.690183724766</v>
      </c>
      <c r="M68" s="121">
        <f t="shared" si="34"/>
        <v>-3710.5418361693278</v>
      </c>
      <c r="N68" s="121">
        <f t="shared" si="33"/>
        <v>-3405.5456608284439</v>
      </c>
      <c r="O68" s="121">
        <f t="shared" si="33"/>
        <v>-214.10034237263088</v>
      </c>
      <c r="P68" s="121">
        <f t="shared" si="33"/>
        <v>-136.63016461287847</v>
      </c>
      <c r="Q68" s="121">
        <f t="shared" si="33"/>
        <v>182.36003420984184</v>
      </c>
      <c r="R68" s="121">
        <f t="shared" si="33"/>
        <v>152.92726223959025</v>
      </c>
      <c r="S68" s="121">
        <f t="shared" si="33"/>
        <v>145.40800401977876</v>
      </c>
      <c r="T68" s="121">
        <f t="shared" si="33"/>
        <v>139.22019786001977</v>
      </c>
      <c r="U68" s="121">
        <f t="shared" si="33"/>
        <v>152.02290457772156</v>
      </c>
      <c r="V68" s="121">
        <f t="shared" si="33"/>
        <v>110.73233113197881</v>
      </c>
      <c r="W68" s="118">
        <f t="shared" si="33"/>
        <v>115.18845105005447</v>
      </c>
      <c r="X68" s="121">
        <f t="shared" si="33"/>
        <v>117.64470261406551</v>
      </c>
      <c r="Y68" s="207">
        <f t="shared" si="33"/>
        <v>163.48789183309978</v>
      </c>
      <c r="Z68" s="207">
        <f t="shared" si="33"/>
        <v>188.0393792712751</v>
      </c>
      <c r="AA68" s="207">
        <f t="shared" si="33"/>
        <v>183.49048607247286</v>
      </c>
      <c r="AB68" s="207">
        <f t="shared" si="33"/>
        <v>274.17100157356953</v>
      </c>
      <c r="AC68" s="207">
        <f t="shared" si="33"/>
        <v>152.14481819066285</v>
      </c>
      <c r="AD68" s="207">
        <f t="shared" si="33"/>
        <v>36.638612857104505</v>
      </c>
      <c r="AE68" s="207">
        <f t="shared" si="33"/>
        <v>163.92236304013855</v>
      </c>
      <c r="AF68" s="207">
        <f t="shared" si="33"/>
        <v>497.7811636824315</v>
      </c>
      <c r="AG68" s="207">
        <f t="shared" si="33"/>
        <v>841.23622692593801</v>
      </c>
      <c r="AH68" s="207">
        <f t="shared" si="33"/>
        <v>975.43854472759062</v>
      </c>
      <c r="AI68" s="207">
        <f t="shared" si="33"/>
        <v>1281.7478220705254</v>
      </c>
      <c r="AJ68" s="207">
        <f t="shared" si="33"/>
        <v>1343.4982296165579</v>
      </c>
      <c r="AK68" s="207">
        <f t="shared" si="33"/>
        <v>2627.0970807526405</v>
      </c>
      <c r="AL68" s="207">
        <f t="shared" si="33"/>
        <v>2969.2925906422397</v>
      </c>
      <c r="AM68" s="207">
        <f t="shared" si="33"/>
        <v>2881.8233733814441</v>
      </c>
      <c r="AN68" s="207">
        <f t="shared" si="33"/>
        <v>2491.0432592172797</v>
      </c>
      <c r="AO68" s="207">
        <f t="shared" si="33"/>
        <v>2414.9049223007491</v>
      </c>
      <c r="AP68" s="207">
        <f t="shared" si="33"/>
        <v>2322.2140976973774</v>
      </c>
      <c r="AQ68" s="207">
        <f t="shared" si="33"/>
        <v>1805.2885469646944</v>
      </c>
      <c r="AR68" s="207">
        <f t="shared" si="33"/>
        <v>1688.8700237981614</v>
      </c>
      <c r="AS68" s="207">
        <f t="shared" si="33"/>
        <v>1899.9751973008915</v>
      </c>
      <c r="AT68" s="207">
        <f t="shared" si="33"/>
        <v>1711.6032015006892</v>
      </c>
      <c r="AU68" s="207">
        <f t="shared" si="33"/>
        <v>1575.8373556926917</v>
      </c>
      <c r="AV68" s="171">
        <f t="shared" si="33"/>
        <v>1437.1805289883062</v>
      </c>
      <c r="AW68" s="121">
        <f t="shared" si="33"/>
        <v>1306.7353958386868</v>
      </c>
      <c r="AX68" s="122">
        <f t="shared" si="33"/>
        <v>1170.7833188166235</v>
      </c>
    </row>
    <row r="69" spans="1:50" ht="16.5" thickTop="1" thickBot="1" x14ac:dyDescent="0.3">
      <c r="A69" s="133" t="s">
        <v>75</v>
      </c>
      <c r="B69" s="134">
        <f>SUM(B64:B68)+SUM(B57:B61)-B72</f>
        <v>0</v>
      </c>
      <c r="C69" s="135">
        <f>SUM(C64:C68)+SUM(C57:C61)-C72</f>
        <v>0</v>
      </c>
      <c r="D69" s="135">
        <f t="shared" ref="D69:M69" si="35">SUM(D64:D68)+SUM(D57:D61)-D72</f>
        <v>0</v>
      </c>
      <c r="E69" s="135">
        <f t="shared" si="35"/>
        <v>0</v>
      </c>
      <c r="F69" s="135">
        <f t="shared" si="35"/>
        <v>0</v>
      </c>
      <c r="G69" s="135">
        <f t="shared" si="35"/>
        <v>0</v>
      </c>
      <c r="H69" s="135">
        <f t="shared" si="35"/>
        <v>0</v>
      </c>
      <c r="I69" s="135">
        <f t="shared" si="35"/>
        <v>0</v>
      </c>
      <c r="J69" s="138">
        <f t="shared" si="35"/>
        <v>1.280568540096283E-9</v>
      </c>
      <c r="K69" s="135">
        <f>SUM(K64:K68)+SUM(K57:K61)-K72</f>
        <v>0</v>
      </c>
      <c r="L69" s="135">
        <f t="shared" si="35"/>
        <v>0</v>
      </c>
      <c r="M69" s="135">
        <f t="shared" si="35"/>
        <v>0</v>
      </c>
      <c r="N69" s="135">
        <f t="shared" ref="N69" si="36">SUM(N64:N68)+SUM(N57:N61)-N72</f>
        <v>0</v>
      </c>
      <c r="O69" s="135">
        <f t="shared" ref="O69" si="37">SUM(O64:O68)+SUM(O57:O61)-O72</f>
        <v>0</v>
      </c>
      <c r="P69" s="135">
        <f t="shared" ref="P69:AW69" si="38">SUM(P64:P68)+SUM(P57:P61)-P72</f>
        <v>0</v>
      </c>
      <c r="Q69" s="135">
        <f t="shared" si="38"/>
        <v>0</v>
      </c>
      <c r="R69" s="135">
        <f t="shared" si="38"/>
        <v>0</v>
      </c>
      <c r="S69" s="135">
        <f t="shared" si="38"/>
        <v>0</v>
      </c>
      <c r="T69" s="135">
        <f t="shared" si="38"/>
        <v>0</v>
      </c>
      <c r="U69" s="135">
        <f t="shared" si="38"/>
        <v>0</v>
      </c>
      <c r="V69" s="135">
        <f t="shared" si="38"/>
        <v>0</v>
      </c>
      <c r="W69" s="176">
        <f t="shared" si="38"/>
        <v>0</v>
      </c>
      <c r="X69" s="208">
        <f t="shared" si="38"/>
        <v>0</v>
      </c>
      <c r="Y69" s="208">
        <f t="shared" si="38"/>
        <v>0</v>
      </c>
      <c r="Z69" s="208">
        <f t="shared" si="38"/>
        <v>0</v>
      </c>
      <c r="AA69" s="208">
        <f t="shared" si="38"/>
        <v>0</v>
      </c>
      <c r="AB69" s="208">
        <f t="shared" si="38"/>
        <v>0</v>
      </c>
      <c r="AC69" s="208">
        <f t="shared" si="38"/>
        <v>0</v>
      </c>
      <c r="AD69" s="208">
        <f t="shared" si="38"/>
        <v>0</v>
      </c>
      <c r="AE69" s="208">
        <f t="shared" si="38"/>
        <v>0</v>
      </c>
      <c r="AF69" s="208">
        <f t="shared" si="38"/>
        <v>0</v>
      </c>
      <c r="AG69" s="208">
        <f t="shared" si="38"/>
        <v>0</v>
      </c>
      <c r="AH69" s="208">
        <f t="shared" si="38"/>
        <v>0</v>
      </c>
      <c r="AI69" s="208">
        <f t="shared" si="38"/>
        <v>0</v>
      </c>
      <c r="AJ69" s="208">
        <f t="shared" si="38"/>
        <v>0</v>
      </c>
      <c r="AK69" s="208">
        <f t="shared" si="38"/>
        <v>0</v>
      </c>
      <c r="AL69" s="208">
        <f t="shared" si="38"/>
        <v>0</v>
      </c>
      <c r="AM69" s="208">
        <f t="shared" si="38"/>
        <v>0</v>
      </c>
      <c r="AN69" s="208">
        <f t="shared" si="38"/>
        <v>0</v>
      </c>
      <c r="AO69" s="208">
        <f t="shared" si="38"/>
        <v>0</v>
      </c>
      <c r="AP69" s="208">
        <f t="shared" si="38"/>
        <v>0</v>
      </c>
      <c r="AQ69" s="208">
        <f t="shared" si="38"/>
        <v>0</v>
      </c>
      <c r="AR69" s="208">
        <f t="shared" si="38"/>
        <v>0</v>
      </c>
      <c r="AS69" s="208">
        <f t="shared" si="38"/>
        <v>0</v>
      </c>
      <c r="AT69" s="208">
        <f t="shared" si="38"/>
        <v>0</v>
      </c>
      <c r="AU69" s="208">
        <f>SUM(AU64:AU68)+SUM(AU57:AU61)-AU72</f>
        <v>0</v>
      </c>
      <c r="AV69" s="134">
        <f>SUM(AV64:AV68)+SUM(AV57:AV61)-AV72</f>
        <v>1.862645149230957E-8</v>
      </c>
      <c r="AW69" s="135">
        <f t="shared" si="38"/>
        <v>1.862645149230957E-8</v>
      </c>
      <c r="AX69" s="136">
        <f>SUM(AX64:AX68)+SUM(AX57:AX61)-AX72</f>
        <v>1.6763806343078613E-8</v>
      </c>
    </row>
    <row r="70" spans="1:50" ht="16.5" thickTop="1" thickBot="1" x14ac:dyDescent="0.3">
      <c r="A70" s="133" t="s">
        <v>76</v>
      </c>
      <c r="B70" s="137">
        <f>SUM(B64:B68)-B47</f>
        <v>3.749999996216502E-4</v>
      </c>
      <c r="C70" s="138">
        <f t="shared" ref="C70:AW70" si="39">SUM(C64:C68)-C47</f>
        <v>-4.9138031245092861E-3</v>
      </c>
      <c r="D70" s="138">
        <f t="shared" si="39"/>
        <v>-2.9368026553129312E-3</v>
      </c>
      <c r="E70" s="138">
        <f t="shared" si="39"/>
        <v>-8.1429710553493351E-4</v>
      </c>
      <c r="F70" s="138">
        <f t="shared" si="39"/>
        <v>4.5452929844032042E-3</v>
      </c>
      <c r="G70" s="138">
        <f t="shared" si="39"/>
        <v>1.4156600373098627E-3</v>
      </c>
      <c r="H70" s="138">
        <f t="shared" si="39"/>
        <v>4.314841626182897E-3</v>
      </c>
      <c r="I70" s="138">
        <f t="shared" si="39"/>
        <v>5.9457946917973459E-5</v>
      </c>
      <c r="J70" s="138">
        <f t="shared" si="39"/>
        <v>-2.8659500549110817E-4</v>
      </c>
      <c r="K70" s="138">
        <f>SUM(K64:K68)-K47</f>
        <v>1.0262120740662795E-3</v>
      </c>
      <c r="L70" s="138">
        <f>SUM(L64:L68)-L47</f>
        <v>3.0521403241436929E-3</v>
      </c>
      <c r="M70" s="138">
        <f t="shared" si="39"/>
        <v>4.8411590032628737E-3</v>
      </c>
      <c r="N70" s="138">
        <f t="shared" si="39"/>
        <v>-2.3582022768096067E-3</v>
      </c>
      <c r="O70" s="138">
        <f t="shared" si="39"/>
        <v>-5.5720371665302082E-4</v>
      </c>
      <c r="P70" s="138">
        <f t="shared" si="39"/>
        <v>-4.7436167774321802E-3</v>
      </c>
      <c r="Q70" s="138">
        <f t="shared" si="39"/>
        <v>-4.8723922559474886E-3</v>
      </c>
      <c r="R70" s="138">
        <f t="shared" si="39"/>
        <v>3.0600443121784338E-3</v>
      </c>
      <c r="S70" s="138">
        <f t="shared" si="39"/>
        <v>-1.4332879009089083E-3</v>
      </c>
      <c r="T70" s="138">
        <f t="shared" si="39"/>
        <v>-3.3445772360209958E-3</v>
      </c>
      <c r="U70" s="138">
        <f t="shared" si="39"/>
        <v>-2.4925710413299385E-3</v>
      </c>
      <c r="V70" s="138">
        <f t="shared" si="39"/>
        <v>1.9018726134163444E-3</v>
      </c>
      <c r="W70" s="209">
        <f t="shared" si="39"/>
        <v>-4.5613697193402913E-4</v>
      </c>
      <c r="X70" s="210">
        <f t="shared" ref="X70:AI70" si="40">SUM(X64:X68)-X47</f>
        <v>2.8685249249065237E-3</v>
      </c>
      <c r="Y70" s="210">
        <f t="shared" si="40"/>
        <v>3.6087037096876884E-3</v>
      </c>
      <c r="Z70" s="210">
        <f t="shared" si="40"/>
        <v>4.2492852608120302E-3</v>
      </c>
      <c r="AA70" s="210">
        <f t="shared" si="40"/>
        <v>-2.902892926158529E-3</v>
      </c>
      <c r="AB70" s="210">
        <f t="shared" si="40"/>
        <v>-4.7094660262700927E-3</v>
      </c>
      <c r="AC70" s="210">
        <f t="shared" si="40"/>
        <v>-5.1285253675814602E-4</v>
      </c>
      <c r="AD70" s="210">
        <f t="shared" si="40"/>
        <v>3.1608411129582237E-3</v>
      </c>
      <c r="AE70" s="210">
        <f t="shared" si="40"/>
        <v>-3.5465706130253238E-3</v>
      </c>
      <c r="AF70" s="210">
        <f t="shared" si="40"/>
        <v>-1.0686771011023666E-3</v>
      </c>
      <c r="AG70" s="210">
        <f t="shared" si="40"/>
        <v>-3.0307384349725908E-5</v>
      </c>
      <c r="AH70" s="210">
        <f t="shared" si="40"/>
        <v>2.6321766026740079E-3</v>
      </c>
      <c r="AI70" s="210">
        <f t="shared" si="40"/>
        <v>-3.2928803484537639E-3</v>
      </c>
      <c r="AJ70" s="210">
        <f t="shared" ref="AJ70:AT70" si="41">SUM(AJ64:AJ68)-AJ47</f>
        <v>-2.454775483784033E-3</v>
      </c>
      <c r="AK70" s="210">
        <f t="shared" si="41"/>
        <v>-3.0116339148662519E-3</v>
      </c>
      <c r="AL70" s="210">
        <f t="shared" si="41"/>
        <v>-4.0294430473295506E-3</v>
      </c>
      <c r="AM70" s="210">
        <f t="shared" si="41"/>
        <v>4.904988640191732E-3</v>
      </c>
      <c r="AN70" s="210">
        <f t="shared" si="41"/>
        <v>3.8670935427944642E-3</v>
      </c>
      <c r="AO70" s="210">
        <f t="shared" si="41"/>
        <v>-1.4374918846442597E-3</v>
      </c>
      <c r="AP70" s="210">
        <f t="shared" si="41"/>
        <v>2.2722817702742759E-3</v>
      </c>
      <c r="AQ70" s="210">
        <f t="shared" si="41"/>
        <v>1.6923822986427695E-3</v>
      </c>
      <c r="AR70" s="210">
        <f t="shared" si="41"/>
        <v>3.992757665400859E-3</v>
      </c>
      <c r="AS70" s="210">
        <f t="shared" si="41"/>
        <v>1.7343124745821115E-3</v>
      </c>
      <c r="AT70" s="210">
        <f t="shared" si="41"/>
        <v>1.8179641774622723E-3</v>
      </c>
      <c r="AU70" s="210">
        <f>SUM(AU64:AU68)-AU47</f>
        <v>-3.835000718027004E-3</v>
      </c>
      <c r="AV70" s="134">
        <f>SUM(AV64:AV68)-AV47</f>
        <v>-1.55352793262864E-3</v>
      </c>
      <c r="AW70" s="135">
        <f t="shared" si="39"/>
        <v>-6.3684848646516912E-4</v>
      </c>
      <c r="AX70" s="136">
        <f>SUM(AX64:AX68)-AX47</f>
        <v>-2.3325558122451184E-3</v>
      </c>
    </row>
    <row r="71" spans="1:50" ht="15.75" thickTop="1" x14ac:dyDescent="0.25">
      <c r="B71" s="10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4"/>
      <c r="AW71" s="105"/>
      <c r="AX71" s="108"/>
    </row>
    <row r="72" spans="1:50" x14ac:dyDescent="0.25">
      <c r="A72" s="76" t="s">
        <v>77</v>
      </c>
      <c r="B72" s="117">
        <f>(B19-SUM(B22:B26))+SUM(B64:B68)+A74</f>
        <v>-1426734.089625</v>
      </c>
      <c r="C72" s="121">
        <f>(C19-SUM(C22:C26))+SUM(C64:C68)+B72</f>
        <v>-3031459.6945388033</v>
      </c>
      <c r="D72" s="121">
        <f t="shared" ref="D72:AW72" si="42">(D19-SUM(D22:D26))+SUM(D64:D68)+C72</f>
        <v>-4452115.7774756057</v>
      </c>
      <c r="E72" s="121">
        <f t="shared" si="42"/>
        <v>-5308080.3382899035</v>
      </c>
      <c r="F72" s="121">
        <f t="shared" si="42"/>
        <v>-3856918.8737446107</v>
      </c>
      <c r="G72" s="121">
        <f t="shared" si="42"/>
        <v>-3764127.062328951</v>
      </c>
      <c r="H72" s="121">
        <f t="shared" si="42"/>
        <v>-2848820.9380141087</v>
      </c>
      <c r="I72" s="121">
        <f t="shared" si="42"/>
        <v>-2735438.7679546503</v>
      </c>
      <c r="J72" s="121">
        <f t="shared" si="42"/>
        <v>-1032023.5182412448</v>
      </c>
      <c r="K72" s="121">
        <f t="shared" si="42"/>
        <v>3917880.3927849676</v>
      </c>
      <c r="L72" s="121">
        <f t="shared" si="42"/>
        <v>6881505.8158371076</v>
      </c>
      <c r="M72" s="121">
        <f t="shared" si="42"/>
        <v>9352834.2106782682</v>
      </c>
      <c r="N72" s="121">
        <f t="shared" si="42"/>
        <v>8400585.5483200662</v>
      </c>
      <c r="O72" s="121">
        <f t="shared" si="42"/>
        <v>7119768.107762862</v>
      </c>
      <c r="P72" s="121">
        <f t="shared" si="42"/>
        <v>6055471.3630192447</v>
      </c>
      <c r="Q72" s="121">
        <f t="shared" si="42"/>
        <v>6372757.9681468522</v>
      </c>
      <c r="R72" s="121">
        <f t="shared" si="42"/>
        <v>7495733.0812068963</v>
      </c>
      <c r="S72" s="121">
        <f t="shared" si="42"/>
        <v>8255189.0797736086</v>
      </c>
      <c r="T72" s="121">
        <f t="shared" si="42"/>
        <v>8701142.2464290317</v>
      </c>
      <c r="U72" s="121">
        <f t="shared" si="42"/>
        <v>10478040.543936461</v>
      </c>
      <c r="V72" s="121">
        <f t="shared" si="42"/>
        <v>10636543.425838333</v>
      </c>
      <c r="W72" s="118">
        <f t="shared" si="42"/>
        <v>11593938.265382195</v>
      </c>
      <c r="X72" s="211">
        <f t="shared" ref="X72:AT72" si="43">(X19-SUM(X22:X26))+SUM(X64:X68)+W72</f>
        <v>13733708.258250721</v>
      </c>
      <c r="Y72" s="211">
        <f t="shared" si="43"/>
        <v>15008356.541859424</v>
      </c>
      <c r="Z72" s="211">
        <f t="shared" si="43"/>
        <v>13451432.706108708</v>
      </c>
      <c r="AA72" s="211">
        <f t="shared" si="43"/>
        <v>10439781.953205816</v>
      </c>
      <c r="AB72" s="211">
        <f t="shared" si="43"/>
        <v>8432564.9584963508</v>
      </c>
      <c r="AC72" s="211">
        <f t="shared" si="43"/>
        <v>9348808.3879834972</v>
      </c>
      <c r="AD72" s="211">
        <f t="shared" si="43"/>
        <v>10293276.921144338</v>
      </c>
      <c r="AE72" s="211">
        <f t="shared" si="43"/>
        <v>9800235.3575977683</v>
      </c>
      <c r="AF72" s="211">
        <f t="shared" si="43"/>
        <v>10198637.336529091</v>
      </c>
      <c r="AG72" s="211">
        <f t="shared" si="43"/>
        <v>8694650.256498782</v>
      </c>
      <c r="AH72" s="211">
        <f t="shared" si="43"/>
        <v>9918622.819130959</v>
      </c>
      <c r="AI72" s="211">
        <f t="shared" si="43"/>
        <v>13052389.65583808</v>
      </c>
      <c r="AJ72" s="211">
        <f t="shared" si="43"/>
        <v>18677840.593383305</v>
      </c>
      <c r="AK72" s="211">
        <f t="shared" si="43"/>
        <v>35814125.980371669</v>
      </c>
      <c r="AL72" s="211">
        <f t="shared" si="43"/>
        <v>29017578.386342224</v>
      </c>
      <c r="AM72" s="211">
        <f t="shared" si="43"/>
        <v>28291270.271247212</v>
      </c>
      <c r="AN72" s="211">
        <f t="shared" si="43"/>
        <v>27134945.905114304</v>
      </c>
      <c r="AO72" s="211">
        <f t="shared" si="43"/>
        <v>25904277.673676811</v>
      </c>
      <c r="AP72" s="211">
        <f t="shared" si="43"/>
        <v>24616741.365949094</v>
      </c>
      <c r="AQ72" s="211">
        <f t="shared" si="43"/>
        <v>23218472.567641478</v>
      </c>
      <c r="AR72" s="211">
        <f t="shared" si="43"/>
        <v>21751265.691634234</v>
      </c>
      <c r="AS72" s="211">
        <f t="shared" si="43"/>
        <v>20292475.663368545</v>
      </c>
      <c r="AT72" s="211">
        <f t="shared" si="43"/>
        <v>18742332.385186508</v>
      </c>
      <c r="AU72" s="211">
        <f>(AU19-SUM(AU22:AU26))+SUM(AU64:AU68)+AT72</f>
        <v>17349878.211351506</v>
      </c>
      <c r="AV72" s="117">
        <f>(AV19-SUM(AV22:AV26))+SUM(AV64:AV68)+AU72</f>
        <v>16062765.226859678</v>
      </c>
      <c r="AW72" s="121">
        <f t="shared" si="42"/>
        <v>14797559.05895943</v>
      </c>
      <c r="AX72" s="122">
        <f>(AX19-SUM(AX22:AX26))+SUM(AX64:AX68)+AW72</f>
        <v>13474630.390221495</v>
      </c>
    </row>
    <row r="73" spans="1:50" x14ac:dyDescent="0.25">
      <c r="A73" s="76" t="s">
        <v>78</v>
      </c>
      <c r="B73" s="104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8"/>
      <c r="AV73" s="104"/>
      <c r="AW73" s="105"/>
      <c r="AX73" s="108"/>
    </row>
    <row r="74" spans="1:50" ht="15.75" thickBot="1" x14ac:dyDescent="0.3">
      <c r="A74" s="110">
        <v>0</v>
      </c>
      <c r="B74" s="140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2"/>
      <c r="AV74" s="140"/>
      <c r="AW74" s="141"/>
      <c r="AX74" s="142"/>
    </row>
    <row r="76" spans="1:50" s="50" customFormat="1" x14ac:dyDescent="0.25">
      <c r="B76" s="178"/>
      <c r="C76" s="178"/>
      <c r="D76" s="178"/>
      <c r="E76" s="178"/>
      <c r="F76" s="178"/>
      <c r="G76" s="178"/>
      <c r="H76" s="179"/>
      <c r="I76" s="178"/>
      <c r="J76" s="178"/>
      <c r="K76" s="178"/>
      <c r="L76" s="212"/>
      <c r="M76" s="212"/>
      <c r="N76" s="212"/>
      <c r="O76" s="178"/>
      <c r="Q76" s="212"/>
      <c r="R76" s="212"/>
      <c r="T76" s="212"/>
      <c r="U76" s="212"/>
    </row>
    <row r="77" spans="1:50" s="50" customFormat="1" x14ac:dyDescent="0.25">
      <c r="B77" s="178"/>
      <c r="C77" s="178"/>
      <c r="D77" s="178"/>
      <c r="E77" s="178"/>
      <c r="F77" s="178"/>
      <c r="G77" s="178"/>
      <c r="H77" s="178"/>
      <c r="I77" s="178"/>
      <c r="J77" s="178"/>
      <c r="P77" s="212"/>
      <c r="S77" s="212"/>
      <c r="V77" s="212"/>
      <c r="W77" s="178"/>
      <c r="X77" s="178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213"/>
      <c r="AW77" s="213"/>
      <c r="AX77" s="213"/>
    </row>
    <row r="78" spans="1:50" s="50" customFormat="1" x14ac:dyDescent="0.25">
      <c r="C78" s="180"/>
      <c r="D78" s="180"/>
      <c r="E78" s="180"/>
      <c r="F78" s="180"/>
      <c r="G78" s="180"/>
      <c r="H78" s="180"/>
      <c r="S78" s="212"/>
    </row>
    <row r="79" spans="1:50" s="50" customFormat="1" x14ac:dyDescent="0.25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</row>
    <row r="80" spans="1:50" s="50" customFormat="1" x14ac:dyDescent="0.25">
      <c r="K80" s="213"/>
    </row>
    <row r="82" spans="2:49" x14ac:dyDescent="0.25"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</row>
    <row r="83" spans="2:49" x14ac:dyDescent="0.25">
      <c r="B83" s="56"/>
      <c r="C83" s="56"/>
      <c r="D83" s="56"/>
      <c r="E83" s="56"/>
      <c r="F83" s="56"/>
      <c r="G83" s="56"/>
      <c r="H83" s="56"/>
    </row>
    <row r="87" spans="2:49" x14ac:dyDescent="0.25">
      <c r="C87" s="56"/>
      <c r="D87" s="56"/>
      <c r="E87" s="56"/>
      <c r="F87" s="56"/>
      <c r="G87" s="56"/>
      <c r="H87" s="56"/>
    </row>
  </sheetData>
  <mergeCells count="1">
    <mergeCell ref="AV17:AX17"/>
  </mergeCells>
  <pageMargins left="0.7" right="0.7" top="0.75" bottom="0.75" header="0.3" footer="0.3"/>
  <pageSetup paperSize="5" scale="17" fitToHeight="0" orientation="landscape" r:id="rId1"/>
  <headerFooter scaleWithDoc="0">
    <oddFooter>&amp;R&amp;"Arial,Bold"&amp;12Schedule WRD-2, 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workbookViewId="0">
      <selection activeCell="A16" sqref="A16"/>
    </sheetView>
  </sheetViews>
  <sheetFormatPr defaultRowHeight="15" x14ac:dyDescent="0.25"/>
  <cols>
    <col min="1" max="1" width="13.85546875" style="76" customWidth="1"/>
    <col min="2" max="2" width="25" style="76" customWidth="1"/>
    <col min="3" max="3" width="17.28515625" style="76" customWidth="1"/>
    <col min="4" max="4" width="14.7109375" style="76" customWidth="1"/>
    <col min="5" max="5" width="14.42578125" style="76" bestFit="1" customWidth="1"/>
    <col min="6" max="6" width="14" style="76" customWidth="1"/>
    <col min="7" max="7" width="12.5703125" style="76" bestFit="1" customWidth="1"/>
    <col min="8" max="8" width="13.28515625" style="76" bestFit="1" customWidth="1"/>
    <col min="9" max="9" width="14" style="76" customWidth="1"/>
    <col min="10" max="10" width="9.140625" style="76" customWidth="1"/>
    <col min="11" max="16384" width="9.140625" style="76"/>
  </cols>
  <sheetData>
    <row r="1" spans="1:13" x14ac:dyDescent="0.25">
      <c r="A1" s="8" t="s">
        <v>117</v>
      </c>
      <c r="D1" s="50"/>
    </row>
    <row r="2" spans="1:13" ht="15.75" thickBot="1" x14ac:dyDescent="0.3">
      <c r="B2" s="166" t="s">
        <v>118</v>
      </c>
      <c r="C2" s="166"/>
      <c r="K2" s="50"/>
      <c r="L2" s="50"/>
      <c r="M2" s="50"/>
    </row>
    <row r="3" spans="1:13" ht="15.75" thickBot="1" x14ac:dyDescent="0.3">
      <c r="D3" s="289" t="s">
        <v>8</v>
      </c>
      <c r="E3" s="290"/>
      <c r="F3" s="290"/>
      <c r="G3" s="291"/>
      <c r="K3" s="50"/>
    </row>
    <row r="4" spans="1:13" ht="15.75" thickBot="1" x14ac:dyDescent="0.3">
      <c r="A4" s="242" t="s">
        <v>119</v>
      </c>
      <c r="B4" s="214">
        <v>28246578.739999998</v>
      </c>
      <c r="C4" s="76" t="s">
        <v>9</v>
      </c>
      <c r="D4" s="241"/>
      <c r="E4" s="249" t="s">
        <v>0</v>
      </c>
      <c r="F4" s="249" t="s">
        <v>1</v>
      </c>
      <c r="G4" s="250" t="s">
        <v>2</v>
      </c>
      <c r="H4" s="221" t="s">
        <v>9</v>
      </c>
      <c r="K4" s="58" t="s">
        <v>27</v>
      </c>
    </row>
    <row r="5" spans="1:13" ht="16.5" thickTop="1" thickBot="1" x14ac:dyDescent="0.3">
      <c r="A5" s="60"/>
      <c r="B5" s="50"/>
      <c r="C5" s="4"/>
      <c r="D5" s="243" t="s">
        <v>129</v>
      </c>
      <c r="E5" s="220">
        <v>609232</v>
      </c>
      <c r="F5" s="220">
        <v>528092</v>
      </c>
      <c r="G5" s="226">
        <v>15591</v>
      </c>
      <c r="H5" s="218">
        <f>SUM(E5:G5)</f>
        <v>1152915</v>
      </c>
      <c r="K5" s="58" t="s">
        <v>127</v>
      </c>
      <c r="L5" s="50"/>
      <c r="M5" s="50"/>
    </row>
    <row r="6" spans="1:13" ht="15.75" thickTop="1" x14ac:dyDescent="0.25">
      <c r="A6" s="60"/>
      <c r="B6" s="214">
        <v>14737345.43</v>
      </c>
      <c r="C6" s="76" t="s">
        <v>120</v>
      </c>
      <c r="D6" s="243"/>
      <c r="E6" s="245">
        <f>E5/H5</f>
        <v>0.52842750766535262</v>
      </c>
      <c r="F6" s="245">
        <f>+F5/H5</f>
        <v>0.45804937918233346</v>
      </c>
      <c r="G6" s="246">
        <f>+G5/H5</f>
        <v>1.3523113152313916E-2</v>
      </c>
      <c r="K6" s="3" t="s">
        <v>128</v>
      </c>
    </row>
    <row r="7" spans="1:13" x14ac:dyDescent="0.25">
      <c r="A7" s="60"/>
      <c r="B7" s="214">
        <v>13509233.310000001</v>
      </c>
      <c r="C7" s="76" t="s">
        <v>121</v>
      </c>
      <c r="D7" s="243"/>
      <c r="E7" s="265"/>
      <c r="F7" s="265"/>
      <c r="G7" s="266"/>
      <c r="J7" s="3"/>
      <c r="K7" s="3" t="s">
        <v>143</v>
      </c>
    </row>
    <row r="8" spans="1:13" x14ac:dyDescent="0.25">
      <c r="A8" s="60"/>
      <c r="B8" s="52"/>
      <c r="C8" s="239"/>
      <c r="D8" s="243" t="s">
        <v>142</v>
      </c>
      <c r="E8" s="269"/>
      <c r="F8" s="271">
        <v>0.11899999999999999</v>
      </c>
      <c r="G8" s="270"/>
      <c r="H8" s="239"/>
      <c r="I8" s="239"/>
    </row>
    <row r="9" spans="1:13" x14ac:dyDescent="0.25">
      <c r="A9" s="60"/>
      <c r="B9" s="4"/>
      <c r="C9" s="239"/>
      <c r="D9" s="243" t="s">
        <v>5</v>
      </c>
      <c r="E9" s="269"/>
      <c r="F9" s="271">
        <v>0.503</v>
      </c>
      <c r="G9" s="270"/>
      <c r="H9" s="239"/>
      <c r="I9" s="239"/>
    </row>
    <row r="10" spans="1:13" x14ac:dyDescent="0.25">
      <c r="B10" s="167" t="s">
        <v>122</v>
      </c>
      <c r="C10" s="239"/>
      <c r="D10" s="243" t="s">
        <v>6</v>
      </c>
      <c r="E10" s="269"/>
      <c r="F10" s="271">
        <v>0.224</v>
      </c>
      <c r="G10" s="270"/>
      <c r="H10" s="239"/>
      <c r="I10" s="239"/>
    </row>
    <row r="11" spans="1:13" x14ac:dyDescent="0.25">
      <c r="A11" s="60" t="s">
        <v>0</v>
      </c>
      <c r="B11" s="42">
        <f>SUM(E20:G20)</f>
        <v>7894375.2448816346</v>
      </c>
      <c r="C11" s="239"/>
      <c r="D11" s="243" t="s">
        <v>7</v>
      </c>
      <c r="E11" s="269"/>
      <c r="F11" s="271">
        <v>0.154</v>
      </c>
      <c r="G11" s="270"/>
      <c r="H11" s="239"/>
      <c r="I11" s="239"/>
    </row>
    <row r="12" spans="1:13" x14ac:dyDescent="0.25">
      <c r="A12" s="77" t="s">
        <v>4</v>
      </c>
      <c r="B12" s="42">
        <f>SUM(E21:G21)</f>
        <v>814313.45202908549</v>
      </c>
      <c r="C12" s="239"/>
      <c r="D12" s="243"/>
      <c r="E12" s="267"/>
      <c r="F12" s="267"/>
      <c r="G12" s="268"/>
      <c r="H12" s="239"/>
      <c r="I12" s="239"/>
    </row>
    <row r="13" spans="1:13" x14ac:dyDescent="0.25">
      <c r="A13" s="77" t="s">
        <v>5</v>
      </c>
      <c r="B13" s="42">
        <f>SUM(E22:G22)</f>
        <v>3442014.0031145378</v>
      </c>
      <c r="C13" s="4"/>
      <c r="D13" s="243" t="s">
        <v>4</v>
      </c>
      <c r="E13" s="245"/>
      <c r="F13" s="272">
        <f>+$F$5*F8</f>
        <v>62842.947999999997</v>
      </c>
      <c r="G13" s="246"/>
    </row>
    <row r="14" spans="1:13" x14ac:dyDescent="0.25">
      <c r="A14" s="77" t="s">
        <v>6</v>
      </c>
      <c r="B14" s="42">
        <f>SUM(E23:G23)</f>
        <v>1532825.3214665139</v>
      </c>
      <c r="D14" s="243" t="s">
        <v>5</v>
      </c>
      <c r="E14" s="245"/>
      <c r="F14" s="272">
        <f t="shared" ref="F14:F16" si="0">+$F$5*F9</f>
        <v>265630.27600000001</v>
      </c>
      <c r="G14" s="246"/>
    </row>
    <row r="15" spans="1:13" x14ac:dyDescent="0.25">
      <c r="A15" s="77" t="s">
        <v>7</v>
      </c>
      <c r="B15" s="42">
        <f>SUM(E24:G24)</f>
        <v>1053817.4085082281</v>
      </c>
      <c r="D15" s="243" t="s">
        <v>6</v>
      </c>
      <c r="E15" s="245"/>
      <c r="F15" s="272">
        <f t="shared" si="0"/>
        <v>118292.60800000001</v>
      </c>
      <c r="G15" s="246"/>
    </row>
    <row r="16" spans="1:13" ht="15.75" thickBot="1" x14ac:dyDescent="0.3">
      <c r="A16" s="77" t="s">
        <v>9</v>
      </c>
      <c r="B16" s="120">
        <f>SUM(B11:B15)</f>
        <v>14737345.430000002</v>
      </c>
      <c r="D16" s="243" t="s">
        <v>7</v>
      </c>
      <c r="E16" s="245"/>
      <c r="F16" s="272">
        <f t="shared" si="0"/>
        <v>81326.168000000005</v>
      </c>
      <c r="G16" s="246"/>
    </row>
    <row r="17" spans="2:8" ht="16.5" thickTop="1" thickBot="1" x14ac:dyDescent="0.3">
      <c r="B17" s="21">
        <f>B6-B16</f>
        <v>0</v>
      </c>
      <c r="D17" s="251"/>
      <c r="E17" s="257"/>
      <c r="F17" s="256">
        <f>SUM(F13:F16)</f>
        <v>528092</v>
      </c>
      <c r="G17" s="258"/>
    </row>
    <row r="18" spans="2:8" ht="16.5" thickTop="1" thickBot="1" x14ac:dyDescent="0.3">
      <c r="C18" s="239"/>
      <c r="D18" s="251"/>
      <c r="E18" s="223"/>
      <c r="F18" s="225"/>
      <c r="G18" s="227"/>
      <c r="H18" s="239"/>
    </row>
    <row r="19" spans="2:8" ht="16.5" thickTop="1" thickBot="1" x14ac:dyDescent="0.3">
      <c r="D19" s="254" t="s">
        <v>130</v>
      </c>
      <c r="E19" s="228">
        <f>+$B$6*E6</f>
        <v>7787618.7151782745</v>
      </c>
      <c r="F19" s="228">
        <f>+$B$6*F6</f>
        <v>6750431.9250070993</v>
      </c>
      <c r="G19" s="222">
        <f>+$B$6*G6</f>
        <v>199294.78981462639</v>
      </c>
    </row>
    <row r="20" spans="2:8" x14ac:dyDescent="0.25">
      <c r="D20" s="243" t="s">
        <v>0</v>
      </c>
      <c r="E20" s="252">
        <f>E19</f>
        <v>7787618.7151782745</v>
      </c>
      <c r="F20" s="252">
        <v>0</v>
      </c>
      <c r="G20" s="253">
        <f>+((E5/($H$5-$G$5))*$G$19)</f>
        <v>106756.52970336023</v>
      </c>
    </row>
    <row r="21" spans="2:8" x14ac:dyDescent="0.25">
      <c r="D21" s="243" t="s">
        <v>4</v>
      </c>
      <c r="E21" s="247">
        <v>0</v>
      </c>
      <c r="F21" s="247">
        <f>+F13/$F$5*$F$19</f>
        <v>803301.39907584479</v>
      </c>
      <c r="G21" s="253">
        <f>+((F13/($H$5-$G$5))*$G$19)</f>
        <v>11012.052953240673</v>
      </c>
    </row>
    <row r="22" spans="2:8" x14ac:dyDescent="0.25">
      <c r="D22" s="243" t="s">
        <v>5</v>
      </c>
      <c r="E22" s="247">
        <v>0</v>
      </c>
      <c r="F22" s="247">
        <f>+F14/$F$5*$F$19</f>
        <v>3395467.2582785711</v>
      </c>
      <c r="G22" s="253">
        <f>+((F14/($H$5-$G$5))*$G$19)</f>
        <v>46546.744835966885</v>
      </c>
    </row>
    <row r="23" spans="2:8" x14ac:dyDescent="0.25">
      <c r="D23" s="243" t="s">
        <v>6</v>
      </c>
      <c r="E23" s="247">
        <v>0</v>
      </c>
      <c r="F23" s="247">
        <f>+F15/$F$5*$F$19</f>
        <v>1512096.7512015903</v>
      </c>
      <c r="G23" s="253">
        <f>+((F15/($H$5-$G$5))*$G$19)</f>
        <v>20728.570264923623</v>
      </c>
    </row>
    <row r="24" spans="2:8" ht="15.75" thickBot="1" x14ac:dyDescent="0.3">
      <c r="D24" s="244" t="s">
        <v>7</v>
      </c>
      <c r="E24" s="248">
        <v>0</v>
      </c>
      <c r="F24" s="248">
        <f>+F16/$F$5*$F$19</f>
        <v>1039566.5164510933</v>
      </c>
      <c r="G24" s="224">
        <f>+((F16/($H$5-$G$5))*$G$19)</f>
        <v>14250.89205713499</v>
      </c>
    </row>
  </sheetData>
  <mergeCells count="1">
    <mergeCell ref="D3:G3"/>
  </mergeCells>
  <pageMargins left="0.7" right="0.7" top="0.75" bottom="0.75" header="0.3" footer="0.3"/>
  <pageSetup paperSize="5" scale="79" fitToHeight="0" orientation="landscape" r:id="rId1"/>
  <headerFooter scaleWithDoc="0">
    <oddFooter>&amp;R&amp;"Arial,Bold"&amp;12Schedule WRD-2, 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>
      <selection activeCell="A16" sqref="A16"/>
    </sheetView>
  </sheetViews>
  <sheetFormatPr defaultRowHeight="15" x14ac:dyDescent="0.25"/>
  <cols>
    <col min="1" max="16384" width="9.140625" style="239"/>
  </cols>
  <sheetData/>
  <pageMargins left="0.7" right="0.7" top="0.75" bottom="0.75" header="0.3" footer="0.3"/>
  <pageSetup paperSize="5" fitToHeight="0" orientation="landscape" r:id="rId1"/>
  <headerFooter scaleWithDoc="0">
    <oddFooter>&amp;R&amp;"Arial,Bold"&amp;12Schedule WRD-2, 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>
      <selection activeCell="A16" sqref="A16"/>
    </sheetView>
  </sheetViews>
  <sheetFormatPr defaultRowHeight="15" x14ac:dyDescent="0.25"/>
  <sheetData/>
  <pageMargins left="0.7" right="0.7" top="0.75" bottom="0.75" header="0.3" footer="0.3"/>
  <pageSetup paperSize="5" fitToHeight="0" orientation="landscape" r:id="rId1"/>
  <headerFooter scaleWithDoc="0">
    <oddFooter>&amp;R&amp;"Arial,Bold"&amp;12Schedule WRD-2,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B944D9F5C13B448476DDFBC86659BB" ma:contentTypeVersion="0" ma:contentTypeDescription="Create a new document." ma:contentTypeScope="" ma:versionID="aeb2031216eccf3d4f681768e67398e0">
  <xsd:schema xmlns:xsd="http://www.w3.org/2001/XMLSchema" xmlns:xs="http://www.w3.org/2001/XMLSchema" xmlns:p="http://schemas.microsoft.com/office/2006/metadata/properties" xmlns:ns2="37C40F9E-044B-4F26-A90E-5C1316E52537" targetNamespace="http://schemas.microsoft.com/office/2006/metadata/properties" ma:root="true" ma:fieldsID="654a14b5bf3b0798fe15557ad3f66839" ns2:_="">
    <xsd:import namespace="37C40F9E-044B-4F26-A90E-5C1316E52537"/>
    <xsd:element name="properties">
      <xsd:complexType>
        <xsd:sequence>
          <xsd:element name="documentManagement">
            <xsd:complexType>
              <xsd:all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40F9E-044B-4F26-A90E-5C1316E52537" elementFormDefault="qualified">
    <xsd:import namespace="http://schemas.microsoft.com/office/2006/documentManagement/types"/>
    <xsd:import namespace="http://schemas.microsoft.com/office/infopath/2007/PartnerControls"/>
    <xsd:element name="Comments0" ma:index="8" nillable="true" ma:displayName="Comments" ma:description="Comments" ma:internalName="Comment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Comments0 xmlns="37C40F9E-044B-4F26-A90E-5C1316E52537" xsi:nil="true"/>
  </documentManagement>
</p:properties>
</file>

<file path=customXml/itemProps1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A61F5F-0FB9-4EBF-8DBB-EF1336DAE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40F9E-044B-4F26-A90E-5C1316E52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E680F6-EEBC-41A4-AEB5-0B773B5EACA2}">
  <ds:schemaRefs>
    <ds:schemaRef ds:uri="http://schemas.microsoft.com/office/2006/documentManagement/types"/>
    <ds:schemaRef ds:uri="37C40F9E-044B-4F26-A90E-5C1316E52537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PPC</vt:lpstr>
      <vt:lpstr>PCR</vt:lpstr>
      <vt:lpstr>PCR (M1)</vt:lpstr>
      <vt:lpstr>PTD</vt:lpstr>
      <vt:lpstr>TDR</vt:lpstr>
      <vt:lpstr>TDR (M1)</vt:lpstr>
      <vt:lpstr>PI (M1)</vt:lpstr>
      <vt:lpstr>PIR (M1)</vt:lpstr>
      <vt:lpstr>EO</vt:lpstr>
      <vt:lpstr>EOR</vt:lpstr>
      <vt:lpstr>OA</vt:lpstr>
      <vt:lpstr>tariff tables</vt:lpstr>
      <vt:lpstr>tariff tables (M1)</vt:lpstr>
      <vt:lpstr>sheet 91.11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Eaves, Beckie J</cp:lastModifiedBy>
  <cp:lastPrinted>2016-11-22T21:08:45Z</cp:lastPrinted>
  <dcterms:created xsi:type="dcterms:W3CDTF">2013-08-12T19:20:10Z</dcterms:created>
  <dcterms:modified xsi:type="dcterms:W3CDTF">2016-11-22T21:08:52Z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0x010100ECB944D9F5C13B448476DDFBC86659BB</vt:lpwstr>
  </property>
  <property fmtid="{D5CDD505-2E9C-101B-9397-08002B2CF9AE}" pid="3" name="SV_QUERY_LIST_4F35BF76-6C0D-4D9B-82B2-816C12CF3733">
    <vt:lpwstr>empty_477D106A-C0D6-4607-AEBD-E2C9D60EA279</vt:lpwstr>
  </property>
</Properties>
</file>