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seworks.ameren.com/255/RiderEEIC/Library/2017 Nov Filing/"/>
    </mc:Choice>
  </mc:AlternateContent>
  <bookViews>
    <workbookView xWindow="0" yWindow="0" windowWidth="28800" windowHeight="12285" tabRatio="908" activeTab="10"/>
  </bookViews>
  <sheets>
    <sheet name="PPC" sheetId="4" r:id="rId1"/>
    <sheet name="PCR" sheetId="1" r:id="rId2"/>
    <sheet name="PCR (M1 Final)" sheetId="14" r:id="rId3"/>
    <sheet name="PTD" sheetId="12" r:id="rId4"/>
    <sheet name="TDR" sheetId="11" r:id="rId5"/>
    <sheet name="TDR (M1 Final)" sheetId="15" r:id="rId6"/>
    <sheet name="PI (M1)" sheetId="16" r:id="rId7"/>
    <sheet name="PIR (M1)" sheetId="19" r:id="rId8"/>
    <sheet name="EO" sheetId="8" r:id="rId9"/>
    <sheet name="EOR" sheetId="9" r:id="rId10"/>
    <sheet name="OA" sheetId="10" r:id="rId11"/>
    <sheet name="tariff tables" sheetId="5" r:id="rId12"/>
    <sheet name="tariff tables (M1)" sheetId="17" r:id="rId13"/>
    <sheet name="sheet 91.11" sheetId="13" r:id="rId14"/>
  </sheets>
  <externalReferences>
    <externalReference r:id="rId15"/>
  </externalReferences>
  <definedNames>
    <definedName name="_xlnm.Print_Area" localSheetId="1">PCR!$A$13:$G$51</definedName>
    <definedName name="_xlnm.Print_Area" localSheetId="7">'PIR (M1)'!$A$13:$G$38</definedName>
  </definedNames>
  <calcPr calcId="162913"/>
</workbook>
</file>

<file path=xl/calcChain.xml><?xml version="1.0" encoding="utf-8"?>
<calcChain xmlns="http://schemas.openxmlformats.org/spreadsheetml/2006/main">
  <c r="I31" i="5" l="1"/>
  <c r="J27" i="5"/>
  <c r="J28" i="5"/>
  <c r="J29" i="5"/>
  <c r="J30" i="5"/>
  <c r="J31" i="5"/>
  <c r="J26" i="5"/>
  <c r="K31" i="5"/>
  <c r="J32" i="5" l="1"/>
  <c r="L22" i="19"/>
  <c r="N36" i="19"/>
  <c r="M36" i="19"/>
  <c r="L36" i="19"/>
  <c r="Z36" i="11"/>
  <c r="Y36" i="11"/>
  <c r="X36" i="11"/>
  <c r="Z49" i="1" l="1"/>
  <c r="Y49" i="1"/>
  <c r="X49" i="1"/>
  <c r="X35" i="1" s="1"/>
  <c r="G10" i="10" l="1"/>
  <c r="E68" i="1" l="1"/>
  <c r="O61" i="1"/>
  <c r="O73" i="1"/>
  <c r="O76" i="1"/>
  <c r="N76" i="1"/>
  <c r="X22" i="11" l="1"/>
  <c r="G4" i="17" l="1"/>
  <c r="B15" i="4"/>
  <c r="G5" i="17"/>
  <c r="G6" i="17"/>
  <c r="G7" i="17"/>
  <c r="G8" i="17"/>
  <c r="G20" i="13"/>
  <c r="P61" i="1"/>
  <c r="O74" i="1"/>
  <c r="X14" i="11"/>
  <c r="X14" i="1"/>
  <c r="X29" i="11" l="1"/>
  <c r="X42" i="11" s="1"/>
  <c r="W29" i="11"/>
  <c r="R29" i="11"/>
  <c r="S29" i="11"/>
  <c r="S42" i="11" s="1"/>
  <c r="T29" i="11"/>
  <c r="T42" i="11" s="1"/>
  <c r="U29" i="11"/>
  <c r="V29" i="11"/>
  <c r="R30" i="11"/>
  <c r="R43" i="11" s="1"/>
  <c r="S30" i="11"/>
  <c r="T30" i="11"/>
  <c r="T43" i="11" s="1"/>
  <c r="U30" i="11"/>
  <c r="V30" i="11"/>
  <c r="W30" i="11"/>
  <c r="R31" i="11"/>
  <c r="R44" i="11" s="1"/>
  <c r="S31" i="11"/>
  <c r="S44" i="11" s="1"/>
  <c r="T31" i="11"/>
  <c r="T44" i="11" s="1"/>
  <c r="U31" i="11"/>
  <c r="V31" i="11"/>
  <c r="V44" i="11" s="1"/>
  <c r="W31" i="11"/>
  <c r="W44" i="11" s="1"/>
  <c r="R32" i="11"/>
  <c r="R45" i="11" s="1"/>
  <c r="S32" i="11"/>
  <c r="T32" i="11"/>
  <c r="U32" i="11"/>
  <c r="U45" i="11" s="1"/>
  <c r="V32" i="11"/>
  <c r="V45" i="11" s="1"/>
  <c r="W32" i="11"/>
  <c r="R33" i="11"/>
  <c r="S33" i="11"/>
  <c r="T33" i="11"/>
  <c r="T46" i="11" s="1"/>
  <c r="U33" i="11"/>
  <c r="U46" i="11" s="1"/>
  <c r="V33" i="11"/>
  <c r="W33" i="11"/>
  <c r="Q33" i="11"/>
  <c r="Q32" i="11"/>
  <c r="Q31" i="11"/>
  <c r="Q30" i="11"/>
  <c r="Q29" i="11"/>
  <c r="Q42" i="11" s="1"/>
  <c r="C42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R46" i="11"/>
  <c r="B43" i="11"/>
  <c r="B44" i="11"/>
  <c r="B45" i="11"/>
  <c r="B46" i="11"/>
  <c r="B42" i="11"/>
  <c r="Y22" i="11"/>
  <c r="W46" i="11"/>
  <c r="V46" i="11"/>
  <c r="S46" i="11"/>
  <c r="P33" i="11"/>
  <c r="O33" i="11"/>
  <c r="N33" i="11"/>
  <c r="M33" i="11"/>
  <c r="L33" i="11"/>
  <c r="K33" i="11"/>
  <c r="J33" i="11"/>
  <c r="I33" i="11"/>
  <c r="H33" i="11"/>
  <c r="G33" i="11"/>
  <c r="F33" i="11"/>
  <c r="W45" i="11"/>
  <c r="T45" i="11"/>
  <c r="S45" i="11"/>
  <c r="P32" i="11"/>
  <c r="O32" i="11"/>
  <c r="N32" i="11"/>
  <c r="M32" i="11"/>
  <c r="L32" i="11"/>
  <c r="K32" i="11"/>
  <c r="J32" i="11"/>
  <c r="I32" i="11"/>
  <c r="H32" i="11"/>
  <c r="G32" i="11"/>
  <c r="F32" i="11"/>
  <c r="U44" i="11"/>
  <c r="P31" i="11"/>
  <c r="O31" i="11"/>
  <c r="N31" i="11"/>
  <c r="M31" i="11"/>
  <c r="L31" i="11"/>
  <c r="K31" i="11"/>
  <c r="J31" i="11"/>
  <c r="I31" i="11"/>
  <c r="H31" i="11"/>
  <c r="G31" i="11"/>
  <c r="F31" i="11"/>
  <c r="W43" i="11"/>
  <c r="V43" i="11"/>
  <c r="U43" i="11"/>
  <c r="S43" i="11"/>
  <c r="Q43" i="11"/>
  <c r="P30" i="11"/>
  <c r="O30" i="11"/>
  <c r="N30" i="11"/>
  <c r="M30" i="11"/>
  <c r="L30" i="11"/>
  <c r="K30" i="11"/>
  <c r="J30" i="11"/>
  <c r="I30" i="11"/>
  <c r="H30" i="11"/>
  <c r="G30" i="11"/>
  <c r="F30" i="11"/>
  <c r="W42" i="11"/>
  <c r="V42" i="11"/>
  <c r="U42" i="11"/>
  <c r="R42" i="11"/>
  <c r="P29" i="11"/>
  <c r="O29" i="11"/>
  <c r="N29" i="11"/>
  <c r="M29" i="11"/>
  <c r="L29" i="11"/>
  <c r="K29" i="11"/>
  <c r="J29" i="11"/>
  <c r="I29" i="11"/>
  <c r="H29" i="11"/>
  <c r="G29" i="11"/>
  <c r="F29" i="11"/>
  <c r="A36" i="11"/>
  <c r="Q46" i="11" l="1"/>
  <c r="Q45" i="11"/>
  <c r="Q44" i="11"/>
  <c r="Z22" i="11"/>
  <c r="I5" i="16" l="1"/>
  <c r="B16" i="16" l="1"/>
  <c r="J5" i="17" l="1"/>
  <c r="J6" i="17"/>
  <c r="J7" i="17"/>
  <c r="J8" i="17"/>
  <c r="B5" i="1"/>
  <c r="B6" i="1"/>
  <c r="B7" i="1"/>
  <c r="B8" i="1"/>
  <c r="B4" i="1"/>
  <c r="B9" i="1"/>
  <c r="D4" i="11" l="1"/>
  <c r="C10" i="10" s="1"/>
  <c r="AY34" i="15" l="1"/>
  <c r="AY33" i="15"/>
  <c r="AY32" i="15"/>
  <c r="M22" i="19" l="1"/>
  <c r="B29" i="19"/>
  <c r="N22" i="19" l="1"/>
  <c r="B45" i="19"/>
  <c r="B33" i="19"/>
  <c r="B32" i="19"/>
  <c r="B31" i="19"/>
  <c r="B30" i="19"/>
  <c r="C33" i="19"/>
  <c r="C32" i="19"/>
  <c r="C31" i="19"/>
  <c r="C30" i="19"/>
  <c r="C29" i="19"/>
  <c r="D33" i="19"/>
  <c r="D32" i="19"/>
  <c r="D31" i="19"/>
  <c r="D30" i="19"/>
  <c r="D29" i="19"/>
  <c r="E33" i="19"/>
  <c r="E32" i="19"/>
  <c r="E31" i="19"/>
  <c r="E30" i="19"/>
  <c r="E29" i="19"/>
  <c r="B41" i="19"/>
  <c r="M23" i="19" l="1"/>
  <c r="N23" i="19"/>
  <c r="M24" i="19"/>
  <c r="N24" i="19"/>
  <c r="M25" i="19"/>
  <c r="N25" i="19"/>
  <c r="M26" i="19"/>
  <c r="N26" i="19"/>
  <c r="L23" i="19"/>
  <c r="L24" i="19"/>
  <c r="L25" i="19"/>
  <c r="L26" i="19"/>
  <c r="F43" i="1"/>
  <c r="F42" i="1"/>
  <c r="F29" i="19"/>
  <c r="C5" i="19"/>
  <c r="C6" i="19"/>
  <c r="C7" i="19"/>
  <c r="C8" i="19"/>
  <c r="C4" i="19"/>
  <c r="C41" i="19"/>
  <c r="D41" i="19"/>
  <c r="E41" i="19"/>
  <c r="C42" i="19"/>
  <c r="D42" i="19"/>
  <c r="E42" i="19"/>
  <c r="C43" i="19"/>
  <c r="D43" i="19"/>
  <c r="E43" i="19"/>
  <c r="C44" i="19"/>
  <c r="D44" i="19"/>
  <c r="E44" i="19"/>
  <c r="C45" i="19"/>
  <c r="D45" i="19"/>
  <c r="E45" i="19"/>
  <c r="B42" i="19"/>
  <c r="B43" i="19"/>
  <c r="B44" i="19"/>
  <c r="L29" i="19" l="1"/>
  <c r="B52" i="19"/>
  <c r="B51" i="19"/>
  <c r="B50" i="19"/>
  <c r="B49" i="19"/>
  <c r="B48" i="19"/>
  <c r="K33" i="19"/>
  <c r="K45" i="19" s="1"/>
  <c r="J33" i="19"/>
  <c r="J45" i="19" s="1"/>
  <c r="I33" i="19"/>
  <c r="I45" i="19" s="1"/>
  <c r="H33" i="19"/>
  <c r="H45" i="19" s="1"/>
  <c r="G33" i="19"/>
  <c r="G45" i="19" s="1"/>
  <c r="F33" i="19"/>
  <c r="F45" i="19" s="1"/>
  <c r="K32" i="19"/>
  <c r="K44" i="19" s="1"/>
  <c r="J32" i="19"/>
  <c r="J44" i="19" s="1"/>
  <c r="I32" i="19"/>
  <c r="I44" i="19" s="1"/>
  <c r="H32" i="19"/>
  <c r="H44" i="19" s="1"/>
  <c r="G32" i="19"/>
  <c r="G44" i="19" s="1"/>
  <c r="F32" i="19"/>
  <c r="F44" i="19" s="1"/>
  <c r="K31" i="19"/>
  <c r="K43" i="19" s="1"/>
  <c r="J31" i="19"/>
  <c r="J43" i="19" s="1"/>
  <c r="I31" i="19"/>
  <c r="I43" i="19" s="1"/>
  <c r="H31" i="19"/>
  <c r="H43" i="19" s="1"/>
  <c r="G31" i="19"/>
  <c r="G43" i="19" s="1"/>
  <c r="F31" i="19"/>
  <c r="F43" i="19" s="1"/>
  <c r="K30" i="19"/>
  <c r="K42" i="19" s="1"/>
  <c r="J30" i="19"/>
  <c r="J42" i="19" s="1"/>
  <c r="I30" i="19"/>
  <c r="I42" i="19" s="1"/>
  <c r="H30" i="19"/>
  <c r="H42" i="19" s="1"/>
  <c r="G30" i="19"/>
  <c r="G42" i="19" s="1"/>
  <c r="F30" i="19"/>
  <c r="F42" i="19" s="1"/>
  <c r="K29" i="19"/>
  <c r="K41" i="19" s="1"/>
  <c r="J29" i="19"/>
  <c r="J41" i="19" s="1"/>
  <c r="I29" i="19"/>
  <c r="I41" i="19" s="1"/>
  <c r="H29" i="19"/>
  <c r="H41" i="19" s="1"/>
  <c r="G29" i="19"/>
  <c r="G41" i="19" s="1"/>
  <c r="F41" i="19"/>
  <c r="A36" i="19"/>
  <c r="C14" i="19"/>
  <c r="D14" i="19" s="1"/>
  <c r="E14" i="19" s="1"/>
  <c r="F14" i="19" s="1"/>
  <c r="G14" i="19" s="1"/>
  <c r="H14" i="19" s="1"/>
  <c r="I14" i="19" s="1"/>
  <c r="J14" i="19" s="1"/>
  <c r="K14" i="19" s="1"/>
  <c r="V25" i="1"/>
  <c r="V24" i="1"/>
  <c r="V23" i="1"/>
  <c r="V22" i="1"/>
  <c r="V21" i="1"/>
  <c r="W67" i="1"/>
  <c r="L41" i="19" l="1"/>
  <c r="X67" i="1"/>
  <c r="L54" i="19" s="1"/>
  <c r="K54" i="19"/>
  <c r="B6" i="19"/>
  <c r="D6" i="19" s="1"/>
  <c r="M33" i="19"/>
  <c r="M45" i="19" s="1"/>
  <c r="N32" i="19"/>
  <c r="N44" i="19" s="1"/>
  <c r="M30" i="19"/>
  <c r="M42" i="19" s="1"/>
  <c r="L30" i="19"/>
  <c r="L42" i="19" s="1"/>
  <c r="L32" i="19"/>
  <c r="L44" i="19" s="1"/>
  <c r="L14" i="19"/>
  <c r="M14" i="19" s="1"/>
  <c r="N14" i="19" s="1"/>
  <c r="B5" i="19"/>
  <c r="B7" i="19"/>
  <c r="D7" i="19" s="1"/>
  <c r="M32" i="19"/>
  <c r="M44" i="19" s="1"/>
  <c r="M29" i="19"/>
  <c r="M41" i="19" s="1"/>
  <c r="L31" i="19"/>
  <c r="L43" i="19" s="1"/>
  <c r="L33" i="19"/>
  <c r="L45" i="19" s="1"/>
  <c r="B4" i="19"/>
  <c r="B8" i="19"/>
  <c r="M31" i="19"/>
  <c r="M43" i="19" s="1"/>
  <c r="N30" i="19" l="1"/>
  <c r="N42" i="19" s="1"/>
  <c r="N29" i="19"/>
  <c r="N41" i="19" s="1"/>
  <c r="N31" i="19"/>
  <c r="N43" i="19" s="1"/>
  <c r="N33" i="19"/>
  <c r="N45" i="19" s="1"/>
  <c r="D5" i="19"/>
  <c r="B9" i="19"/>
  <c r="D8" i="19"/>
  <c r="C9" i="19"/>
  <c r="D4" i="19"/>
  <c r="D9" i="19" l="1"/>
  <c r="W55" i="11" l="1"/>
  <c r="V67" i="1" l="1"/>
  <c r="U67" i="1"/>
  <c r="T67" i="1"/>
  <c r="N77" i="1"/>
  <c r="H54" i="19" l="1"/>
  <c r="T55" i="11"/>
  <c r="I54" i="19"/>
  <c r="U55" i="11"/>
  <c r="J54" i="19"/>
  <c r="V55" i="11"/>
  <c r="S67" i="1"/>
  <c r="R67" i="1"/>
  <c r="Q67" i="1"/>
  <c r="P67" i="1"/>
  <c r="O67" i="1"/>
  <c r="N67" i="1"/>
  <c r="M67" i="1"/>
  <c r="M55" i="11" s="1"/>
  <c r="K67" i="1"/>
  <c r="L67" i="1"/>
  <c r="L55" i="11" s="1"/>
  <c r="Q42" i="1"/>
  <c r="F54" i="19" l="1"/>
  <c r="R55" i="11"/>
  <c r="G54" i="19"/>
  <c r="S55" i="11"/>
  <c r="B54" i="19"/>
  <c r="N55" i="11"/>
  <c r="C54" i="19"/>
  <c r="O55" i="11"/>
  <c r="D54" i="19"/>
  <c r="P55" i="11"/>
  <c r="E54" i="19"/>
  <c r="Q55" i="11"/>
  <c r="G42" i="1"/>
  <c r="B58" i="19" l="1"/>
  <c r="C51" i="19" s="1"/>
  <c r="C58" i="19" s="1"/>
  <c r="D51" i="19" s="1"/>
  <c r="D58" i="19" s="1"/>
  <c r="E51" i="19" s="1"/>
  <c r="E58" i="19" s="1"/>
  <c r="F51" i="19" s="1"/>
  <c r="F58" i="19" s="1"/>
  <c r="G51" i="19" s="1"/>
  <c r="G58" i="19" s="1"/>
  <c r="H51" i="19" s="1"/>
  <c r="H58" i="19" s="1"/>
  <c r="I51" i="19" s="1"/>
  <c r="I58" i="19" s="1"/>
  <c r="J51" i="19" s="1"/>
  <c r="J58" i="19" s="1"/>
  <c r="K51" i="19" s="1"/>
  <c r="K58" i="19" s="1"/>
  <c r="L51" i="19" s="1"/>
  <c r="L58" i="19" s="1"/>
  <c r="M51" i="19" s="1"/>
  <c r="B56" i="19"/>
  <c r="C49" i="19" s="1"/>
  <c r="C56" i="19" s="1"/>
  <c r="D49" i="19" s="1"/>
  <c r="D56" i="19" s="1"/>
  <c r="E49" i="19" s="1"/>
  <c r="E56" i="19" s="1"/>
  <c r="F49" i="19" s="1"/>
  <c r="F56" i="19" s="1"/>
  <c r="G49" i="19" s="1"/>
  <c r="G56" i="19" s="1"/>
  <c r="H49" i="19" s="1"/>
  <c r="H56" i="19" s="1"/>
  <c r="I49" i="19" s="1"/>
  <c r="I56" i="19" s="1"/>
  <c r="J49" i="19" s="1"/>
  <c r="J56" i="19" s="1"/>
  <c r="K49" i="19" s="1"/>
  <c r="K56" i="19" s="1"/>
  <c r="L49" i="19" s="1"/>
  <c r="L56" i="19" s="1"/>
  <c r="M49" i="19" s="1"/>
  <c r="B55" i="19"/>
  <c r="B57" i="19"/>
  <c r="C50" i="19" s="1"/>
  <c r="C57" i="19" s="1"/>
  <c r="D50" i="19" s="1"/>
  <c r="D57" i="19" s="1"/>
  <c r="E50" i="19" s="1"/>
  <c r="E57" i="19" s="1"/>
  <c r="F50" i="19" s="1"/>
  <c r="F57" i="19" s="1"/>
  <c r="G50" i="19" s="1"/>
  <c r="G57" i="19" s="1"/>
  <c r="H50" i="19" s="1"/>
  <c r="H57" i="19" s="1"/>
  <c r="I50" i="19" s="1"/>
  <c r="I57" i="19" s="1"/>
  <c r="J50" i="19" s="1"/>
  <c r="J57" i="19" s="1"/>
  <c r="K50" i="19" s="1"/>
  <c r="K57" i="19" s="1"/>
  <c r="L50" i="19" s="1"/>
  <c r="L57" i="19" s="1"/>
  <c r="M50" i="19" s="1"/>
  <c r="B59" i="19"/>
  <c r="C52" i="19" s="1"/>
  <c r="C59" i="19" s="1"/>
  <c r="D52" i="19" s="1"/>
  <c r="AX57" i="14"/>
  <c r="AX59" i="15" s="1"/>
  <c r="AW57" i="14"/>
  <c r="AW59" i="15" s="1"/>
  <c r="AV57" i="14"/>
  <c r="AV59" i="15" s="1"/>
  <c r="D59" i="19" l="1"/>
  <c r="E52" i="19"/>
  <c r="E59" i="19" s="1"/>
  <c r="F52" i="19" s="1"/>
  <c r="F59" i="19" s="1"/>
  <c r="G52" i="19" s="1"/>
  <c r="G59" i="19" s="1"/>
  <c r="H52" i="19" s="1"/>
  <c r="H59" i="19" s="1"/>
  <c r="I52" i="19" s="1"/>
  <c r="I59" i="19" s="1"/>
  <c r="J52" i="19" s="1"/>
  <c r="J59" i="19" s="1"/>
  <c r="K52" i="19" s="1"/>
  <c r="K59" i="19" s="1"/>
  <c r="L52" i="19" s="1"/>
  <c r="L59" i="19" s="1"/>
  <c r="M52" i="19" s="1"/>
  <c r="C48" i="19"/>
  <c r="B61" i="19"/>
  <c r="B63" i="19"/>
  <c r="B60" i="19"/>
  <c r="AU22" i="14"/>
  <c r="AU21" i="14"/>
  <c r="C55" i="19" l="1"/>
  <c r="D48" i="19"/>
  <c r="AV21" i="14"/>
  <c r="AV44" i="14" s="1"/>
  <c r="AW21" i="14"/>
  <c r="AW44" i="14" s="1"/>
  <c r="AX21" i="14"/>
  <c r="AX44" i="14" s="1"/>
  <c r="AV22" i="14"/>
  <c r="AV45" i="14" s="1"/>
  <c r="AW22" i="14"/>
  <c r="AW45" i="14" s="1"/>
  <c r="AX22" i="14"/>
  <c r="AX45" i="14" s="1"/>
  <c r="AV23" i="14"/>
  <c r="AV46" i="14" s="1"/>
  <c r="AW23" i="14"/>
  <c r="AW46" i="14" s="1"/>
  <c r="AX23" i="14"/>
  <c r="AX46" i="14" s="1"/>
  <c r="AV24" i="14"/>
  <c r="AV47" i="14" s="1"/>
  <c r="AW24" i="14"/>
  <c r="AW47" i="14" s="1"/>
  <c r="AX24" i="14"/>
  <c r="AX47" i="14" s="1"/>
  <c r="AV25" i="14"/>
  <c r="AV48" i="14" s="1"/>
  <c r="AW25" i="14"/>
  <c r="AW48" i="14" s="1"/>
  <c r="AX25" i="14"/>
  <c r="AX48" i="14" s="1"/>
  <c r="D55" i="19" l="1"/>
  <c r="E48" i="19" s="1"/>
  <c r="C63" i="19"/>
  <c r="C60" i="19" s="1"/>
  <c r="C61" i="19"/>
  <c r="D21" i="1"/>
  <c r="G31" i="13"/>
  <c r="F31" i="13"/>
  <c r="E31" i="13"/>
  <c r="D31" i="13"/>
  <c r="D25" i="1"/>
  <c r="E25" i="1"/>
  <c r="E58" i="1" s="1"/>
  <c r="F25" i="1"/>
  <c r="G25" i="1"/>
  <c r="H25" i="1"/>
  <c r="I25" i="1"/>
  <c r="J25" i="1"/>
  <c r="W25" i="1"/>
  <c r="X25" i="1"/>
  <c r="Y25" i="1"/>
  <c r="Z25" i="1"/>
  <c r="K25" i="1"/>
  <c r="L25" i="1"/>
  <c r="M25" i="1"/>
  <c r="N25" i="1"/>
  <c r="O25" i="1"/>
  <c r="P25" i="1"/>
  <c r="Q25" i="1"/>
  <c r="R25" i="1"/>
  <c r="S25" i="1"/>
  <c r="T25" i="1"/>
  <c r="U25" i="1"/>
  <c r="X39" i="1"/>
  <c r="Y39" i="1"/>
  <c r="Z39" i="1"/>
  <c r="B58" i="1"/>
  <c r="B65" i="1" s="1"/>
  <c r="C58" i="1"/>
  <c r="D67" i="1"/>
  <c r="D55" i="11" s="1"/>
  <c r="E67" i="1"/>
  <c r="E55" i="11" s="1"/>
  <c r="F46" i="1"/>
  <c r="F67" i="1"/>
  <c r="F55" i="11" s="1"/>
  <c r="G46" i="1"/>
  <c r="G67" i="1"/>
  <c r="H46" i="1"/>
  <c r="H58" i="1" s="1"/>
  <c r="H67" i="1"/>
  <c r="H55" i="11" s="1"/>
  <c r="I46" i="1"/>
  <c r="I67" i="1"/>
  <c r="I55" i="11" s="1"/>
  <c r="J46" i="1"/>
  <c r="J67" i="1"/>
  <c r="J55" i="11" s="1"/>
  <c r="K46" i="1"/>
  <c r="K58" i="1" s="1"/>
  <c r="L46" i="1"/>
  <c r="M46" i="1"/>
  <c r="N46" i="1"/>
  <c r="O46" i="1"/>
  <c r="O58" i="1" s="1"/>
  <c r="P46" i="1"/>
  <c r="Q46" i="1"/>
  <c r="R46" i="1"/>
  <c r="S46" i="1"/>
  <c r="T46" i="1"/>
  <c r="U46" i="1"/>
  <c r="V46" i="1"/>
  <c r="V58" i="1" s="1"/>
  <c r="W46" i="1"/>
  <c r="X36" i="1"/>
  <c r="X37" i="1"/>
  <c r="X38" i="1"/>
  <c r="Y35" i="1"/>
  <c r="Y67" i="1"/>
  <c r="Y36" i="1"/>
  <c r="Y37" i="1"/>
  <c r="Y38" i="1"/>
  <c r="Z36" i="1"/>
  <c r="Z37" i="1"/>
  <c r="Z38" i="1"/>
  <c r="X26" i="11"/>
  <c r="X33" i="11" s="1"/>
  <c r="Y26" i="11"/>
  <c r="Y33" i="11" s="1"/>
  <c r="Y46" i="11" s="1"/>
  <c r="Z26" i="11"/>
  <c r="Z33" i="11" s="1"/>
  <c r="Z46" i="11" s="1"/>
  <c r="B55" i="11"/>
  <c r="C55" i="11"/>
  <c r="G55" i="11"/>
  <c r="K55" i="11"/>
  <c r="D24" i="1"/>
  <c r="D57" i="1" s="1"/>
  <c r="E24" i="1"/>
  <c r="E57" i="1" s="1"/>
  <c r="F24" i="1"/>
  <c r="G24" i="1"/>
  <c r="H24" i="1"/>
  <c r="I24" i="1"/>
  <c r="J24" i="1"/>
  <c r="W24" i="1"/>
  <c r="X24" i="1"/>
  <c r="Y24" i="1"/>
  <c r="Z24" i="1"/>
  <c r="K24" i="1"/>
  <c r="L24" i="1"/>
  <c r="M24" i="1"/>
  <c r="N24" i="1"/>
  <c r="O24" i="1"/>
  <c r="P24" i="1"/>
  <c r="Q24" i="1"/>
  <c r="R24" i="1"/>
  <c r="S24" i="1"/>
  <c r="T24" i="1"/>
  <c r="U24" i="1"/>
  <c r="B57" i="1"/>
  <c r="B64" i="1" s="1"/>
  <c r="C57" i="1"/>
  <c r="F45" i="1"/>
  <c r="G45" i="1"/>
  <c r="G57" i="1" s="1"/>
  <c r="H45" i="1"/>
  <c r="I45" i="1"/>
  <c r="I57" i="1" s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25" i="11"/>
  <c r="X32" i="11" s="1"/>
  <c r="Y25" i="11"/>
  <c r="Y32" i="11" s="1"/>
  <c r="Y45" i="11" s="1"/>
  <c r="Z25" i="11"/>
  <c r="Z32" i="11" s="1"/>
  <c r="Z45" i="11" s="1"/>
  <c r="D23" i="1"/>
  <c r="E23" i="1"/>
  <c r="F23" i="1"/>
  <c r="G23" i="1"/>
  <c r="H23" i="1"/>
  <c r="I23" i="1"/>
  <c r="J23" i="1"/>
  <c r="W23" i="1"/>
  <c r="X23" i="1"/>
  <c r="Y23" i="1"/>
  <c r="Z23" i="1"/>
  <c r="K23" i="1"/>
  <c r="L23" i="1"/>
  <c r="M23" i="1"/>
  <c r="N23" i="1"/>
  <c r="O23" i="1"/>
  <c r="P23" i="1"/>
  <c r="Q23" i="1"/>
  <c r="R23" i="1"/>
  <c r="S23" i="1"/>
  <c r="T23" i="1"/>
  <c r="U23" i="1"/>
  <c r="B56" i="1"/>
  <c r="B63" i="1" s="1"/>
  <c r="C56" i="1"/>
  <c r="E56" i="1"/>
  <c r="F44" i="1"/>
  <c r="F56" i="1" s="1"/>
  <c r="G44" i="1"/>
  <c r="G56" i="1" s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B6" i="14"/>
  <c r="X24" i="11"/>
  <c r="X31" i="11" s="1"/>
  <c r="Y24" i="11"/>
  <c r="Y31" i="11" s="1"/>
  <c r="Y44" i="11" s="1"/>
  <c r="Z24" i="11"/>
  <c r="Z31" i="11" s="1"/>
  <c r="Z44" i="11" s="1"/>
  <c r="D22" i="1"/>
  <c r="D55" i="1" s="1"/>
  <c r="E22" i="1"/>
  <c r="E55" i="1" s="1"/>
  <c r="F22" i="1"/>
  <c r="F55" i="1" s="1"/>
  <c r="G22" i="1"/>
  <c r="H22" i="1"/>
  <c r="I22" i="1"/>
  <c r="J22" i="1"/>
  <c r="W22" i="1"/>
  <c r="X22" i="1"/>
  <c r="Y22" i="1"/>
  <c r="Z22" i="1"/>
  <c r="K22" i="1"/>
  <c r="L22" i="1"/>
  <c r="M22" i="1"/>
  <c r="N22" i="1"/>
  <c r="O22" i="1"/>
  <c r="P22" i="1"/>
  <c r="Q22" i="1"/>
  <c r="R22" i="1"/>
  <c r="S22" i="1"/>
  <c r="T22" i="1"/>
  <c r="U22" i="1"/>
  <c r="B55" i="1"/>
  <c r="B62" i="1" s="1"/>
  <c r="B69" i="1" s="1"/>
  <c r="C55" i="1"/>
  <c r="G43" i="1"/>
  <c r="G55" i="1" s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V55" i="1" s="1"/>
  <c r="W43" i="1"/>
  <c r="X23" i="11"/>
  <c r="Y23" i="11"/>
  <c r="Y30" i="11" s="1"/>
  <c r="Y43" i="11" s="1"/>
  <c r="Z23" i="11"/>
  <c r="Z30" i="11" s="1"/>
  <c r="Z43" i="11" s="1"/>
  <c r="E21" i="1"/>
  <c r="F21" i="1"/>
  <c r="F54" i="1" s="1"/>
  <c r="G21" i="1"/>
  <c r="H21" i="1"/>
  <c r="I21" i="1"/>
  <c r="J21" i="1"/>
  <c r="K21" i="1"/>
  <c r="L21" i="1"/>
  <c r="M21" i="1"/>
  <c r="N21" i="1"/>
  <c r="O21" i="1"/>
  <c r="P21" i="1"/>
  <c r="Q21" i="1"/>
  <c r="Q54" i="1" s="1"/>
  <c r="R21" i="1"/>
  <c r="S21" i="1"/>
  <c r="T21" i="1"/>
  <c r="U21" i="1"/>
  <c r="W21" i="1"/>
  <c r="X21" i="1"/>
  <c r="Y21" i="1"/>
  <c r="Z21" i="1"/>
  <c r="D54" i="1"/>
  <c r="B54" i="1"/>
  <c r="B61" i="1" s="1"/>
  <c r="C54" i="1"/>
  <c r="G54" i="1"/>
  <c r="H42" i="1"/>
  <c r="I42" i="1"/>
  <c r="J42" i="1"/>
  <c r="K42" i="1"/>
  <c r="K54" i="1" s="1"/>
  <c r="L42" i="1"/>
  <c r="M42" i="1"/>
  <c r="N42" i="1"/>
  <c r="O42" i="1"/>
  <c r="O54" i="1" s="1"/>
  <c r="P42" i="1"/>
  <c r="R42" i="1"/>
  <c r="S42" i="1"/>
  <c r="T42" i="1"/>
  <c r="U42" i="1"/>
  <c r="V42" i="1"/>
  <c r="W42" i="1"/>
  <c r="B4" i="14"/>
  <c r="Y29" i="11"/>
  <c r="Z29" i="11"/>
  <c r="Z42" i="11" s="1"/>
  <c r="F31" i="17"/>
  <c r="I21" i="17"/>
  <c r="F21" i="17"/>
  <c r="E9" i="17"/>
  <c r="D9" i="17"/>
  <c r="C9" i="17"/>
  <c r="K8" i="17"/>
  <c r="O8" i="17" s="1"/>
  <c r="N8" i="17"/>
  <c r="D8" i="17"/>
  <c r="C8" i="17"/>
  <c r="N7" i="17"/>
  <c r="K7" i="17"/>
  <c r="O7" i="17" s="1"/>
  <c r="D7" i="17"/>
  <c r="C7" i="17"/>
  <c r="O6" i="17"/>
  <c r="K6" i="17"/>
  <c r="D6" i="17"/>
  <c r="C6" i="17"/>
  <c r="D5" i="17"/>
  <c r="C5" i="17"/>
  <c r="D4" i="17"/>
  <c r="C4" i="17"/>
  <c r="F31" i="5"/>
  <c r="C9" i="5"/>
  <c r="D9" i="5"/>
  <c r="F21" i="5"/>
  <c r="D20" i="5"/>
  <c r="D19" i="5"/>
  <c r="D18" i="5"/>
  <c r="D17" i="5"/>
  <c r="D16" i="5"/>
  <c r="G8" i="5"/>
  <c r="G7" i="5"/>
  <c r="G6" i="5"/>
  <c r="G5" i="5"/>
  <c r="G16" i="16"/>
  <c r="G15" i="16"/>
  <c r="G14" i="16"/>
  <c r="G13" i="16"/>
  <c r="F6" i="16"/>
  <c r="F19" i="16" s="1"/>
  <c r="F20" i="16" s="1"/>
  <c r="AZ34" i="15"/>
  <c r="B27" i="15"/>
  <c r="B28" i="15" s="1"/>
  <c r="C14" i="15"/>
  <c r="D14" i="15" s="1"/>
  <c r="E14" i="15" s="1"/>
  <c r="F14" i="15" s="1"/>
  <c r="G14" i="15" s="1"/>
  <c r="H14" i="15" s="1"/>
  <c r="I14" i="15" s="1"/>
  <c r="J14" i="15" s="1"/>
  <c r="K14" i="15" s="1"/>
  <c r="L14" i="15" s="1"/>
  <c r="M14" i="15" s="1"/>
  <c r="N14" i="15" s="1"/>
  <c r="O14" i="15" s="1"/>
  <c r="P14" i="15" s="1"/>
  <c r="Q14" i="15" s="1"/>
  <c r="R14" i="15" s="1"/>
  <c r="S14" i="15" s="1"/>
  <c r="T14" i="15" s="1"/>
  <c r="U14" i="15" s="1"/>
  <c r="V14" i="15" s="1"/>
  <c r="W14" i="15" s="1"/>
  <c r="X14" i="15" s="1"/>
  <c r="Y14" i="15" s="1"/>
  <c r="Z14" i="15" s="1"/>
  <c r="AA14" i="15" s="1"/>
  <c r="AB14" i="15" s="1"/>
  <c r="AC14" i="15" s="1"/>
  <c r="AD14" i="15" s="1"/>
  <c r="AE14" i="15" s="1"/>
  <c r="AF14" i="15" s="1"/>
  <c r="AG14" i="15" s="1"/>
  <c r="AH14" i="15" s="1"/>
  <c r="AI14" i="15" s="1"/>
  <c r="AJ14" i="15" s="1"/>
  <c r="AK14" i="15" s="1"/>
  <c r="AL14" i="15" s="1"/>
  <c r="AM14" i="15" s="1"/>
  <c r="AN14" i="15" s="1"/>
  <c r="AO14" i="15" s="1"/>
  <c r="AP14" i="15" s="1"/>
  <c r="AQ14" i="15" s="1"/>
  <c r="AR14" i="15" s="1"/>
  <c r="AS14" i="15" s="1"/>
  <c r="AT14" i="15" s="1"/>
  <c r="AU14" i="15" s="1"/>
  <c r="AV14" i="15" s="1"/>
  <c r="AW14" i="15" s="1"/>
  <c r="AX14" i="15" s="1"/>
  <c r="B8" i="15"/>
  <c r="B7" i="15"/>
  <c r="C6" i="15"/>
  <c r="B6" i="15"/>
  <c r="C5" i="15"/>
  <c r="B5" i="15"/>
  <c r="B9" i="15" s="1"/>
  <c r="C4" i="15"/>
  <c r="B4" i="15"/>
  <c r="B53" i="11"/>
  <c r="B52" i="11"/>
  <c r="B51" i="11"/>
  <c r="B50" i="11"/>
  <c r="B49" i="11"/>
  <c r="C14" i="11"/>
  <c r="D14" i="11" s="1"/>
  <c r="E14" i="11" s="1"/>
  <c r="F14" i="11" s="1"/>
  <c r="G14" i="11" s="1"/>
  <c r="H14" i="11" s="1"/>
  <c r="I14" i="11" s="1"/>
  <c r="J14" i="11" s="1"/>
  <c r="K14" i="11" s="1"/>
  <c r="D8" i="11"/>
  <c r="C14" i="10" s="1"/>
  <c r="D7" i="11"/>
  <c r="C13" i="10" s="1"/>
  <c r="D6" i="11"/>
  <c r="C12" i="10" s="1"/>
  <c r="D5" i="11"/>
  <c r="C11" i="10" s="1"/>
  <c r="B9" i="12"/>
  <c r="AU57" i="14"/>
  <c r="AU59" i="15" s="1"/>
  <c r="AT57" i="14"/>
  <c r="AT59" i="15" s="1"/>
  <c r="AS57" i="14"/>
  <c r="AS59" i="15" s="1"/>
  <c r="AR57" i="14"/>
  <c r="AR59" i="15" s="1"/>
  <c r="AQ57" i="14"/>
  <c r="AQ59" i="15" s="1"/>
  <c r="AP57" i="14"/>
  <c r="AP59" i="15" s="1"/>
  <c r="AO57" i="14"/>
  <c r="AO59" i="15" s="1"/>
  <c r="AN57" i="14"/>
  <c r="AN59" i="15" s="1"/>
  <c r="AM57" i="14"/>
  <c r="AM59" i="15" s="1"/>
  <c r="AL57" i="14"/>
  <c r="AL59" i="15" s="1"/>
  <c r="AK57" i="14"/>
  <c r="AK59" i="15" s="1"/>
  <c r="AJ57" i="14"/>
  <c r="AJ59" i="15" s="1"/>
  <c r="AI57" i="14"/>
  <c r="AI59" i="15" s="1"/>
  <c r="AH57" i="14"/>
  <c r="AH59" i="15" s="1"/>
  <c r="AG57" i="14"/>
  <c r="AG59" i="15" s="1"/>
  <c r="AF57" i="14"/>
  <c r="AF59" i="15" s="1"/>
  <c r="AE57" i="14"/>
  <c r="AE59" i="15" s="1"/>
  <c r="AD57" i="14"/>
  <c r="AD59" i="15" s="1"/>
  <c r="AC57" i="14"/>
  <c r="AC59" i="15" s="1"/>
  <c r="AB57" i="14"/>
  <c r="AB59" i="15" s="1"/>
  <c r="AA57" i="14"/>
  <c r="AA59" i="15" s="1"/>
  <c r="Z57" i="14"/>
  <c r="Z59" i="15" s="1"/>
  <c r="Y57" i="14"/>
  <c r="Y59" i="15" s="1"/>
  <c r="X57" i="14"/>
  <c r="X59" i="15" s="1"/>
  <c r="W57" i="14"/>
  <c r="W59" i="15" s="1"/>
  <c r="V57" i="14"/>
  <c r="V59" i="15" s="1"/>
  <c r="U57" i="14"/>
  <c r="U59" i="15" s="1"/>
  <c r="T57" i="14"/>
  <c r="T59" i="15" s="1"/>
  <c r="S57" i="14"/>
  <c r="S59" i="15" s="1"/>
  <c r="R57" i="14"/>
  <c r="R59" i="15" s="1"/>
  <c r="Q57" i="14"/>
  <c r="Q59" i="15" s="1"/>
  <c r="P57" i="14"/>
  <c r="P59" i="15" s="1"/>
  <c r="O57" i="14"/>
  <c r="O59" i="15" s="1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A39" i="14"/>
  <c r="A38" i="14"/>
  <c r="A37" i="14"/>
  <c r="A36" i="14"/>
  <c r="A35" i="14"/>
  <c r="AU25" i="14"/>
  <c r="AU48" i="14" s="1"/>
  <c r="AT25" i="14"/>
  <c r="AT48" i="14" s="1"/>
  <c r="AS25" i="14"/>
  <c r="AS48" i="14" s="1"/>
  <c r="AR25" i="14"/>
  <c r="AR48" i="14" s="1"/>
  <c r="AQ25" i="14"/>
  <c r="AQ48" i="14" s="1"/>
  <c r="AP25" i="14"/>
  <c r="AP48" i="14" s="1"/>
  <c r="AO25" i="14"/>
  <c r="AO48" i="14" s="1"/>
  <c r="AN25" i="14"/>
  <c r="AN48" i="14" s="1"/>
  <c r="AM25" i="14"/>
  <c r="AM48" i="14" s="1"/>
  <c r="AL25" i="14"/>
  <c r="AL48" i="14" s="1"/>
  <c r="AK25" i="14"/>
  <c r="AK48" i="14" s="1"/>
  <c r="AJ25" i="14"/>
  <c r="AJ48" i="14" s="1"/>
  <c r="AI25" i="14"/>
  <c r="AI48" i="14" s="1"/>
  <c r="AH25" i="14"/>
  <c r="AH48" i="14" s="1"/>
  <c r="AG25" i="14"/>
  <c r="AG48" i="14" s="1"/>
  <c r="AF25" i="14"/>
  <c r="AF48" i="14" s="1"/>
  <c r="AE25" i="14"/>
  <c r="AE48" i="14" s="1"/>
  <c r="AD25" i="14"/>
  <c r="AD48" i="14" s="1"/>
  <c r="AC25" i="14"/>
  <c r="AC48" i="14" s="1"/>
  <c r="AB25" i="14"/>
  <c r="AB48" i="14" s="1"/>
  <c r="AA25" i="14"/>
  <c r="AA48" i="14" s="1"/>
  <c r="Z25" i="14"/>
  <c r="Z48" i="14" s="1"/>
  <c r="Y25" i="14"/>
  <c r="Y48" i="14" s="1"/>
  <c r="X25" i="14"/>
  <c r="X48" i="14" s="1"/>
  <c r="W25" i="14"/>
  <c r="W48" i="14" s="1"/>
  <c r="V25" i="14"/>
  <c r="V48" i="14" s="1"/>
  <c r="U25" i="14"/>
  <c r="U48" i="14" s="1"/>
  <c r="T25" i="14"/>
  <c r="T48" i="14" s="1"/>
  <c r="S25" i="14"/>
  <c r="S48" i="14" s="1"/>
  <c r="R25" i="14"/>
  <c r="R48" i="14" s="1"/>
  <c r="Q25" i="14"/>
  <c r="Q48" i="14" s="1"/>
  <c r="P25" i="14"/>
  <c r="P48" i="14" s="1"/>
  <c r="O25" i="14"/>
  <c r="O48" i="14" s="1"/>
  <c r="N25" i="14"/>
  <c r="N48" i="14" s="1"/>
  <c r="M25" i="14"/>
  <c r="M48" i="14" s="1"/>
  <c r="L25" i="14"/>
  <c r="L48" i="14" s="1"/>
  <c r="K25" i="14"/>
  <c r="K48" i="14" s="1"/>
  <c r="J25" i="14"/>
  <c r="J48" i="14" s="1"/>
  <c r="I25" i="14"/>
  <c r="I48" i="14" s="1"/>
  <c r="H25" i="14"/>
  <c r="H48" i="14" s="1"/>
  <c r="G25" i="14"/>
  <c r="G48" i="14" s="1"/>
  <c r="F25" i="14"/>
  <c r="F48" i="14" s="1"/>
  <c r="E25" i="14"/>
  <c r="E48" i="14" s="1"/>
  <c r="D25" i="14"/>
  <c r="D48" i="14" s="1"/>
  <c r="C25" i="14"/>
  <c r="C48" i="14" s="1"/>
  <c r="B25" i="14"/>
  <c r="B48" i="14" s="1"/>
  <c r="B55" i="14" s="1"/>
  <c r="AU24" i="14"/>
  <c r="AU47" i="14" s="1"/>
  <c r="AT24" i="14"/>
  <c r="AT47" i="14" s="1"/>
  <c r="AS24" i="14"/>
  <c r="AS47" i="14" s="1"/>
  <c r="AR24" i="14"/>
  <c r="AR47" i="14" s="1"/>
  <c r="AQ24" i="14"/>
  <c r="AQ47" i="14" s="1"/>
  <c r="AP24" i="14"/>
  <c r="AP47" i="14" s="1"/>
  <c r="AO24" i="14"/>
  <c r="AO47" i="14" s="1"/>
  <c r="AN24" i="14"/>
  <c r="AN47" i="14" s="1"/>
  <c r="AM24" i="14"/>
  <c r="AM47" i="14" s="1"/>
  <c r="AL24" i="14"/>
  <c r="AL47" i="14" s="1"/>
  <c r="AK24" i="14"/>
  <c r="AK47" i="14" s="1"/>
  <c r="AJ24" i="14"/>
  <c r="AJ47" i="14" s="1"/>
  <c r="AI24" i="14"/>
  <c r="AI47" i="14" s="1"/>
  <c r="AH24" i="14"/>
  <c r="AH47" i="14" s="1"/>
  <c r="AG24" i="14"/>
  <c r="AG47" i="14" s="1"/>
  <c r="AF24" i="14"/>
  <c r="AF47" i="14" s="1"/>
  <c r="AE24" i="14"/>
  <c r="AE47" i="14" s="1"/>
  <c r="AD24" i="14"/>
  <c r="AD47" i="14" s="1"/>
  <c r="AC24" i="14"/>
  <c r="AC47" i="14" s="1"/>
  <c r="AB24" i="14"/>
  <c r="AB47" i="14" s="1"/>
  <c r="AA24" i="14"/>
  <c r="AA47" i="14" s="1"/>
  <c r="Z24" i="14"/>
  <c r="Z47" i="14" s="1"/>
  <c r="Y24" i="14"/>
  <c r="Y47" i="14" s="1"/>
  <c r="X24" i="14"/>
  <c r="X47" i="14" s="1"/>
  <c r="W24" i="14"/>
  <c r="W47" i="14" s="1"/>
  <c r="V24" i="14"/>
  <c r="V47" i="14" s="1"/>
  <c r="U24" i="14"/>
  <c r="U47" i="14" s="1"/>
  <c r="T24" i="14"/>
  <c r="T47" i="14" s="1"/>
  <c r="S24" i="14"/>
  <c r="S47" i="14" s="1"/>
  <c r="R24" i="14"/>
  <c r="R47" i="14" s="1"/>
  <c r="Q24" i="14"/>
  <c r="Q47" i="14" s="1"/>
  <c r="P24" i="14"/>
  <c r="P47" i="14" s="1"/>
  <c r="O24" i="14"/>
  <c r="O47" i="14" s="1"/>
  <c r="N24" i="14"/>
  <c r="N47" i="14" s="1"/>
  <c r="M24" i="14"/>
  <c r="M47" i="14" s="1"/>
  <c r="L24" i="14"/>
  <c r="L47" i="14" s="1"/>
  <c r="K24" i="14"/>
  <c r="K47" i="14" s="1"/>
  <c r="J24" i="14"/>
  <c r="J47" i="14" s="1"/>
  <c r="I24" i="14"/>
  <c r="I47" i="14" s="1"/>
  <c r="H24" i="14"/>
  <c r="H47" i="14" s="1"/>
  <c r="G24" i="14"/>
  <c r="G47" i="14" s="1"/>
  <c r="F24" i="14"/>
  <c r="F47" i="14" s="1"/>
  <c r="E24" i="14"/>
  <c r="E47" i="14" s="1"/>
  <c r="D24" i="14"/>
  <c r="D47" i="14" s="1"/>
  <c r="C24" i="14"/>
  <c r="C47" i="14" s="1"/>
  <c r="B24" i="14"/>
  <c r="B47" i="14" s="1"/>
  <c r="B54" i="14" s="1"/>
  <c r="AU23" i="14"/>
  <c r="AU46" i="14" s="1"/>
  <c r="AT23" i="14"/>
  <c r="AT46" i="14" s="1"/>
  <c r="AS23" i="14"/>
  <c r="AS46" i="14" s="1"/>
  <c r="AR23" i="14"/>
  <c r="AR46" i="14" s="1"/>
  <c r="AQ23" i="14"/>
  <c r="AQ46" i="14" s="1"/>
  <c r="AP23" i="14"/>
  <c r="AP46" i="14" s="1"/>
  <c r="AO23" i="14"/>
  <c r="AO46" i="14" s="1"/>
  <c r="AN23" i="14"/>
  <c r="AN46" i="14" s="1"/>
  <c r="AM23" i="14"/>
  <c r="AM46" i="14" s="1"/>
  <c r="AL23" i="14"/>
  <c r="AL46" i="14" s="1"/>
  <c r="AK23" i="14"/>
  <c r="AK46" i="14" s="1"/>
  <c r="AJ23" i="14"/>
  <c r="AJ46" i="14" s="1"/>
  <c r="AI23" i="14"/>
  <c r="AI46" i="14" s="1"/>
  <c r="AH23" i="14"/>
  <c r="AH46" i="14" s="1"/>
  <c r="AG23" i="14"/>
  <c r="AG46" i="14" s="1"/>
  <c r="AF23" i="14"/>
  <c r="AF46" i="14" s="1"/>
  <c r="AE23" i="14"/>
  <c r="AE46" i="14" s="1"/>
  <c r="AD23" i="14"/>
  <c r="AD46" i="14" s="1"/>
  <c r="AC23" i="14"/>
  <c r="AC46" i="14" s="1"/>
  <c r="AB23" i="14"/>
  <c r="AB46" i="14" s="1"/>
  <c r="AA23" i="14"/>
  <c r="AA46" i="14" s="1"/>
  <c r="Z23" i="14"/>
  <c r="Z46" i="14" s="1"/>
  <c r="Y23" i="14"/>
  <c r="Y46" i="14" s="1"/>
  <c r="X23" i="14"/>
  <c r="X46" i="14" s="1"/>
  <c r="W23" i="14"/>
  <c r="W46" i="14" s="1"/>
  <c r="V23" i="14"/>
  <c r="V46" i="14" s="1"/>
  <c r="U23" i="14"/>
  <c r="U46" i="14" s="1"/>
  <c r="T23" i="14"/>
  <c r="T46" i="14" s="1"/>
  <c r="S23" i="14"/>
  <c r="S46" i="14" s="1"/>
  <c r="R23" i="14"/>
  <c r="R46" i="14" s="1"/>
  <c r="Q23" i="14"/>
  <c r="Q46" i="14" s="1"/>
  <c r="P23" i="14"/>
  <c r="P46" i="14" s="1"/>
  <c r="O23" i="14"/>
  <c r="O46" i="14" s="1"/>
  <c r="N23" i="14"/>
  <c r="N46" i="14" s="1"/>
  <c r="M23" i="14"/>
  <c r="M46" i="14" s="1"/>
  <c r="L23" i="14"/>
  <c r="L46" i="14" s="1"/>
  <c r="K23" i="14"/>
  <c r="K46" i="14" s="1"/>
  <c r="J23" i="14"/>
  <c r="J46" i="14" s="1"/>
  <c r="I23" i="14"/>
  <c r="I46" i="14" s="1"/>
  <c r="H23" i="14"/>
  <c r="H46" i="14" s="1"/>
  <c r="G23" i="14"/>
  <c r="G46" i="14" s="1"/>
  <c r="F23" i="14"/>
  <c r="F46" i="14" s="1"/>
  <c r="E23" i="14"/>
  <c r="E46" i="14" s="1"/>
  <c r="D23" i="14"/>
  <c r="D46" i="14" s="1"/>
  <c r="C23" i="14"/>
  <c r="C46" i="14" s="1"/>
  <c r="B23" i="14"/>
  <c r="B46" i="14" s="1"/>
  <c r="B53" i="14" s="1"/>
  <c r="AU45" i="14"/>
  <c r="AT22" i="14"/>
  <c r="AT45" i="14" s="1"/>
  <c r="AS22" i="14"/>
  <c r="AS45" i="14" s="1"/>
  <c r="AR22" i="14"/>
  <c r="AR45" i="14" s="1"/>
  <c r="AQ22" i="14"/>
  <c r="AQ45" i="14" s="1"/>
  <c r="AP22" i="14"/>
  <c r="AP45" i="14" s="1"/>
  <c r="AO22" i="14"/>
  <c r="AO45" i="14" s="1"/>
  <c r="AN22" i="14"/>
  <c r="AN45" i="14" s="1"/>
  <c r="AM22" i="14"/>
  <c r="AM45" i="14" s="1"/>
  <c r="AL22" i="14"/>
  <c r="AL45" i="14" s="1"/>
  <c r="AK22" i="14"/>
  <c r="AK45" i="14" s="1"/>
  <c r="AJ22" i="14"/>
  <c r="AJ45" i="14" s="1"/>
  <c r="AI22" i="14"/>
  <c r="AI45" i="14" s="1"/>
  <c r="AH22" i="14"/>
  <c r="AH45" i="14" s="1"/>
  <c r="AG22" i="14"/>
  <c r="AG45" i="14" s="1"/>
  <c r="AF22" i="14"/>
  <c r="AF45" i="14" s="1"/>
  <c r="AE22" i="14"/>
  <c r="AE45" i="14" s="1"/>
  <c r="AD22" i="14"/>
  <c r="AD45" i="14" s="1"/>
  <c r="AC22" i="14"/>
  <c r="AC45" i="14" s="1"/>
  <c r="AB22" i="14"/>
  <c r="AB45" i="14" s="1"/>
  <c r="AA22" i="14"/>
  <c r="AA45" i="14" s="1"/>
  <c r="Z22" i="14"/>
  <c r="Z45" i="14" s="1"/>
  <c r="Y22" i="14"/>
  <c r="Y45" i="14" s="1"/>
  <c r="X22" i="14"/>
  <c r="X45" i="14" s="1"/>
  <c r="W22" i="14"/>
  <c r="W45" i="14" s="1"/>
  <c r="V22" i="14"/>
  <c r="V45" i="14" s="1"/>
  <c r="U22" i="14"/>
  <c r="U45" i="14" s="1"/>
  <c r="T22" i="14"/>
  <c r="T45" i="14" s="1"/>
  <c r="S22" i="14"/>
  <c r="S45" i="14" s="1"/>
  <c r="R22" i="14"/>
  <c r="R45" i="14" s="1"/>
  <c r="Q22" i="14"/>
  <c r="Q45" i="14" s="1"/>
  <c r="P22" i="14"/>
  <c r="P45" i="14" s="1"/>
  <c r="O22" i="14"/>
  <c r="O45" i="14" s="1"/>
  <c r="N22" i="14"/>
  <c r="N45" i="14" s="1"/>
  <c r="M22" i="14"/>
  <c r="M45" i="14" s="1"/>
  <c r="L22" i="14"/>
  <c r="L45" i="14" s="1"/>
  <c r="K22" i="14"/>
  <c r="K45" i="14" s="1"/>
  <c r="J22" i="14"/>
  <c r="J45" i="14" s="1"/>
  <c r="I22" i="14"/>
  <c r="I45" i="14" s="1"/>
  <c r="H22" i="14"/>
  <c r="H45" i="14" s="1"/>
  <c r="G22" i="14"/>
  <c r="G45" i="14" s="1"/>
  <c r="F22" i="14"/>
  <c r="F45" i="14" s="1"/>
  <c r="E22" i="14"/>
  <c r="E45" i="14" s="1"/>
  <c r="D22" i="14"/>
  <c r="D45" i="14" s="1"/>
  <c r="C22" i="14"/>
  <c r="C45" i="14" s="1"/>
  <c r="B22" i="14"/>
  <c r="B45" i="14" s="1"/>
  <c r="B52" i="14" s="1"/>
  <c r="AU44" i="14"/>
  <c r="AT21" i="14"/>
  <c r="AT44" i="14" s="1"/>
  <c r="AS21" i="14"/>
  <c r="AS44" i="14" s="1"/>
  <c r="AR21" i="14"/>
  <c r="AR44" i="14" s="1"/>
  <c r="AQ21" i="14"/>
  <c r="AQ44" i="14" s="1"/>
  <c r="AP21" i="14"/>
  <c r="AP44" i="14" s="1"/>
  <c r="AO21" i="14"/>
  <c r="AO44" i="14" s="1"/>
  <c r="AN21" i="14"/>
  <c r="AN44" i="14" s="1"/>
  <c r="AM21" i="14"/>
  <c r="AM44" i="14" s="1"/>
  <c r="AL21" i="14"/>
  <c r="AL44" i="14" s="1"/>
  <c r="AK21" i="14"/>
  <c r="AK44" i="14" s="1"/>
  <c r="AJ21" i="14"/>
  <c r="AJ44" i="14" s="1"/>
  <c r="AI21" i="14"/>
  <c r="AI44" i="14" s="1"/>
  <c r="AH21" i="14"/>
  <c r="AH44" i="14" s="1"/>
  <c r="AG21" i="14"/>
  <c r="AG44" i="14" s="1"/>
  <c r="AF21" i="14"/>
  <c r="AF44" i="14" s="1"/>
  <c r="AE21" i="14"/>
  <c r="AE44" i="14" s="1"/>
  <c r="AD21" i="14"/>
  <c r="AD44" i="14" s="1"/>
  <c r="AC21" i="14"/>
  <c r="AC44" i="14" s="1"/>
  <c r="AB21" i="14"/>
  <c r="AB44" i="14" s="1"/>
  <c r="AA21" i="14"/>
  <c r="AA44" i="14" s="1"/>
  <c r="Z21" i="14"/>
  <c r="Z44" i="14" s="1"/>
  <c r="Y21" i="14"/>
  <c r="Y44" i="14" s="1"/>
  <c r="X21" i="14"/>
  <c r="X44" i="14" s="1"/>
  <c r="W21" i="14"/>
  <c r="W44" i="14" s="1"/>
  <c r="V21" i="14"/>
  <c r="V44" i="14" s="1"/>
  <c r="U21" i="14"/>
  <c r="U44" i="14" s="1"/>
  <c r="T21" i="14"/>
  <c r="T44" i="14" s="1"/>
  <c r="S21" i="14"/>
  <c r="S44" i="14" s="1"/>
  <c r="R21" i="14"/>
  <c r="R44" i="14" s="1"/>
  <c r="Q21" i="14"/>
  <c r="Q44" i="14" s="1"/>
  <c r="P21" i="14"/>
  <c r="P44" i="14" s="1"/>
  <c r="O21" i="14"/>
  <c r="O44" i="14" s="1"/>
  <c r="N21" i="14"/>
  <c r="N44" i="14" s="1"/>
  <c r="M21" i="14"/>
  <c r="M44" i="14" s="1"/>
  <c r="L21" i="14"/>
  <c r="L44" i="14" s="1"/>
  <c r="K21" i="14"/>
  <c r="K44" i="14" s="1"/>
  <c r="J21" i="14"/>
  <c r="J44" i="14" s="1"/>
  <c r="I21" i="14"/>
  <c r="I44" i="14" s="1"/>
  <c r="H21" i="14"/>
  <c r="H44" i="14" s="1"/>
  <c r="G21" i="14"/>
  <c r="G44" i="14" s="1"/>
  <c r="F21" i="14"/>
  <c r="F44" i="14" s="1"/>
  <c r="E21" i="14"/>
  <c r="E44" i="14" s="1"/>
  <c r="D21" i="14"/>
  <c r="D44" i="14" s="1"/>
  <c r="C21" i="14"/>
  <c r="C44" i="14" s="1"/>
  <c r="B21" i="14"/>
  <c r="C14" i="14"/>
  <c r="D14" i="14" s="1"/>
  <c r="E14" i="14" s="1"/>
  <c r="F14" i="14" s="1"/>
  <c r="G14" i="14" s="1"/>
  <c r="H14" i="14" s="1"/>
  <c r="I14" i="14" s="1"/>
  <c r="J14" i="14" s="1"/>
  <c r="K14" i="14" s="1"/>
  <c r="L14" i="14" s="1"/>
  <c r="M14" i="14" s="1"/>
  <c r="N14" i="14" s="1"/>
  <c r="O14" i="14" s="1"/>
  <c r="P14" i="14" s="1"/>
  <c r="Q14" i="14" s="1"/>
  <c r="R14" i="14" s="1"/>
  <c r="S14" i="14" s="1"/>
  <c r="T14" i="14" s="1"/>
  <c r="U14" i="14" s="1"/>
  <c r="V14" i="14" s="1"/>
  <c r="W14" i="14" s="1"/>
  <c r="X14" i="14" s="1"/>
  <c r="Y14" i="14" s="1"/>
  <c r="Z14" i="14" s="1"/>
  <c r="AA14" i="14" s="1"/>
  <c r="AB14" i="14" s="1"/>
  <c r="AC14" i="14" s="1"/>
  <c r="AD14" i="14" s="1"/>
  <c r="AE14" i="14" s="1"/>
  <c r="AF14" i="14" s="1"/>
  <c r="AG14" i="14" s="1"/>
  <c r="AH14" i="14" s="1"/>
  <c r="AI14" i="14" s="1"/>
  <c r="AJ14" i="14" s="1"/>
  <c r="AK14" i="14" s="1"/>
  <c r="AL14" i="14" s="1"/>
  <c r="AM14" i="14" s="1"/>
  <c r="AN14" i="14" s="1"/>
  <c r="AO14" i="14" s="1"/>
  <c r="AP14" i="14" s="1"/>
  <c r="AQ14" i="14" s="1"/>
  <c r="AR14" i="14" s="1"/>
  <c r="AS14" i="14" s="1"/>
  <c r="AT14" i="14" s="1"/>
  <c r="AU14" i="14" s="1"/>
  <c r="C4" i="14"/>
  <c r="C5" i="14"/>
  <c r="C6" i="14"/>
  <c r="C7" i="14"/>
  <c r="C8" i="14"/>
  <c r="A35" i="1"/>
  <c r="A49" i="1" s="1"/>
  <c r="A39" i="1"/>
  <c r="A38" i="1"/>
  <c r="A37" i="1"/>
  <c r="A36" i="1"/>
  <c r="C14" i="1"/>
  <c r="D14" i="1" s="1"/>
  <c r="E14" i="1" s="1"/>
  <c r="F14" i="1" s="1"/>
  <c r="G14" i="1" s="1"/>
  <c r="H14" i="1" s="1"/>
  <c r="I14" i="1" s="1"/>
  <c r="J14" i="1" s="1"/>
  <c r="K14" i="1" s="1"/>
  <c r="D4" i="1"/>
  <c r="D5" i="1"/>
  <c r="D6" i="1"/>
  <c r="D7" i="1"/>
  <c r="D8" i="1"/>
  <c r="F15" i="4"/>
  <c r="F14" i="4"/>
  <c r="F13" i="4"/>
  <c r="F12" i="4"/>
  <c r="G11" i="4"/>
  <c r="F11" i="4"/>
  <c r="F9" i="4"/>
  <c r="B9" i="4"/>
  <c r="H8" i="4"/>
  <c r="H15" i="4" s="1"/>
  <c r="G8" i="4"/>
  <c r="G15" i="4" s="1"/>
  <c r="H7" i="4"/>
  <c r="I7" i="4" s="1"/>
  <c r="I14" i="4" s="1"/>
  <c r="G7" i="4"/>
  <c r="G14" i="4" s="1"/>
  <c r="H6" i="4"/>
  <c r="I6" i="4" s="1"/>
  <c r="I13" i="4" s="1"/>
  <c r="G6" i="4"/>
  <c r="G13" i="4" s="1"/>
  <c r="H5" i="4"/>
  <c r="I5" i="4" s="1"/>
  <c r="I12" i="4" s="1"/>
  <c r="G5" i="4"/>
  <c r="H4" i="4"/>
  <c r="X30" i="11" l="1"/>
  <c r="C15" i="10"/>
  <c r="Q8" i="17"/>
  <c r="H12" i="4"/>
  <c r="H14" i="4"/>
  <c r="H9" i="4"/>
  <c r="G9" i="4"/>
  <c r="H11" i="4"/>
  <c r="H13" i="4"/>
  <c r="Q7" i="17"/>
  <c r="X46" i="11"/>
  <c r="C8" i="11"/>
  <c r="X45" i="11"/>
  <c r="C7" i="11"/>
  <c r="X44" i="11"/>
  <c r="C6" i="11"/>
  <c r="X43" i="11"/>
  <c r="C5" i="11"/>
  <c r="Y42" i="11"/>
  <c r="C4" i="11"/>
  <c r="C6" i="4"/>
  <c r="C18" i="5" s="1"/>
  <c r="F18" i="5" s="1"/>
  <c r="E55" i="19"/>
  <c r="F48" i="19" s="1"/>
  <c r="R55" i="1"/>
  <c r="N55" i="1"/>
  <c r="D63" i="19"/>
  <c r="D60" i="19" s="1"/>
  <c r="D61" i="19"/>
  <c r="B58" i="11"/>
  <c r="C51" i="11" s="1"/>
  <c r="C58" i="11" s="1"/>
  <c r="D51" i="11" s="1"/>
  <c r="B60" i="11"/>
  <c r="Z67" i="1"/>
  <c r="M54" i="19"/>
  <c r="Y14" i="11"/>
  <c r="Z14" i="11" s="1"/>
  <c r="L14" i="11"/>
  <c r="M14" i="11" s="1"/>
  <c r="N14" i="11" s="1"/>
  <c r="O14" i="11" s="1"/>
  <c r="P14" i="11" s="1"/>
  <c r="Q14" i="11" s="1"/>
  <c r="R14" i="11" s="1"/>
  <c r="S14" i="11" s="1"/>
  <c r="T14" i="11" s="1"/>
  <c r="U14" i="11" s="1"/>
  <c r="V14" i="11" s="1"/>
  <c r="W14" i="11" s="1"/>
  <c r="B56" i="11"/>
  <c r="S58" i="1"/>
  <c r="Z34" i="15"/>
  <c r="AM34" i="15"/>
  <c r="AU34" i="15"/>
  <c r="R34" i="15"/>
  <c r="K34" i="15"/>
  <c r="AF34" i="15"/>
  <c r="D34" i="15"/>
  <c r="C7" i="15"/>
  <c r="B29" i="15"/>
  <c r="AZ32" i="15"/>
  <c r="W32" i="15" s="1"/>
  <c r="C53" i="11"/>
  <c r="C60" i="11" s="1"/>
  <c r="D53" i="11" s="1"/>
  <c r="I56" i="1"/>
  <c r="H55" i="1"/>
  <c r="T56" i="1"/>
  <c r="P56" i="1"/>
  <c r="L56" i="1"/>
  <c r="T57" i="1"/>
  <c r="P57" i="1"/>
  <c r="L57" i="1"/>
  <c r="H57" i="1"/>
  <c r="G58" i="1"/>
  <c r="V56" i="1"/>
  <c r="N56" i="1"/>
  <c r="F57" i="1"/>
  <c r="I21" i="5"/>
  <c r="K57" i="1"/>
  <c r="C5" i="1"/>
  <c r="S54" i="1"/>
  <c r="R57" i="1"/>
  <c r="N57" i="1"/>
  <c r="R58" i="1"/>
  <c r="N58" i="1"/>
  <c r="B57" i="11"/>
  <c r="C50" i="11" s="1"/>
  <c r="C57" i="11" s="1"/>
  <c r="B59" i="11"/>
  <c r="C52" i="11" s="1"/>
  <c r="C59" i="11" s="1"/>
  <c r="D52" i="11" s="1"/>
  <c r="J57" i="1"/>
  <c r="I58" i="1"/>
  <c r="I55" i="1"/>
  <c r="N54" i="1"/>
  <c r="H54" i="1"/>
  <c r="Q56" i="1"/>
  <c r="J56" i="1"/>
  <c r="V54" i="1"/>
  <c r="R54" i="1"/>
  <c r="J54" i="1"/>
  <c r="K55" i="1"/>
  <c r="S57" i="1"/>
  <c r="T55" i="1"/>
  <c r="P55" i="1"/>
  <c r="L55" i="1"/>
  <c r="O55" i="1"/>
  <c r="C6" i="1"/>
  <c r="L58" i="1"/>
  <c r="K56" i="1"/>
  <c r="H56" i="1"/>
  <c r="P54" i="1"/>
  <c r="L54" i="1"/>
  <c r="M54" i="1"/>
  <c r="I54" i="1"/>
  <c r="C62" i="1"/>
  <c r="J55" i="1"/>
  <c r="Y42" i="1"/>
  <c r="Y54" i="1" s="1"/>
  <c r="D9" i="1"/>
  <c r="S55" i="1"/>
  <c r="U56" i="1"/>
  <c r="R56" i="1"/>
  <c r="T58" i="1"/>
  <c r="P58" i="1"/>
  <c r="M56" i="1"/>
  <c r="V57" i="1"/>
  <c r="X55" i="11"/>
  <c r="X46" i="1"/>
  <c r="X58" i="1" s="1"/>
  <c r="W58" i="1"/>
  <c r="W56" i="1"/>
  <c r="W55" i="1"/>
  <c r="W57" i="1"/>
  <c r="Q58" i="1"/>
  <c r="T54" i="1"/>
  <c r="O57" i="1"/>
  <c r="U55" i="1"/>
  <c r="Q55" i="1"/>
  <c r="M55" i="1"/>
  <c r="S56" i="1"/>
  <c r="O56" i="1"/>
  <c r="U58" i="1"/>
  <c r="M58" i="1"/>
  <c r="U57" i="1"/>
  <c r="Q57" i="1"/>
  <c r="M57" i="1"/>
  <c r="W54" i="1"/>
  <c r="E4" i="1"/>
  <c r="E7" i="1"/>
  <c r="E8" i="1"/>
  <c r="AV14" i="14"/>
  <c r="AW14" i="14" s="1"/>
  <c r="AX14" i="14" s="1"/>
  <c r="B44" i="14"/>
  <c r="B51" i="14" s="1"/>
  <c r="B58" i="14" s="1"/>
  <c r="D4" i="14"/>
  <c r="C9" i="14"/>
  <c r="Y14" i="1"/>
  <c r="Z14" i="1" s="1"/>
  <c r="L14" i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B59" i="14"/>
  <c r="B61" i="14"/>
  <c r="C54" i="14"/>
  <c r="C7" i="4"/>
  <c r="C19" i="5" s="1"/>
  <c r="F19" i="5" s="1"/>
  <c r="B60" i="14"/>
  <c r="C53" i="14" s="1"/>
  <c r="B62" i="14"/>
  <c r="C55" i="14" s="1"/>
  <c r="I4" i="4"/>
  <c r="I8" i="4"/>
  <c r="I15" i="4" s="1"/>
  <c r="C8" i="4" s="1"/>
  <c r="C20" i="5" s="1"/>
  <c r="F20" i="5" s="1"/>
  <c r="G12" i="4"/>
  <c r="C5" i="4" s="1"/>
  <c r="C17" i="5" s="1"/>
  <c r="F17" i="5" s="1"/>
  <c r="C8" i="15"/>
  <c r="J4" i="17"/>
  <c r="G4" i="5"/>
  <c r="D9" i="11"/>
  <c r="AW34" i="15"/>
  <c r="AS34" i="15"/>
  <c r="AO34" i="15"/>
  <c r="AK34" i="15"/>
  <c r="AG34" i="15"/>
  <c r="AC34" i="15"/>
  <c r="Y34" i="15"/>
  <c r="U34" i="15"/>
  <c r="Q34" i="15"/>
  <c r="M34" i="15"/>
  <c r="I34" i="15"/>
  <c r="E34" i="15"/>
  <c r="AT34" i="15"/>
  <c r="AN34" i="15"/>
  <c r="AI34" i="15"/>
  <c r="AD34" i="15"/>
  <c r="X34" i="15"/>
  <c r="S34" i="15"/>
  <c r="N34" i="15"/>
  <c r="H34" i="15"/>
  <c r="C34" i="15"/>
  <c r="AX34" i="15"/>
  <c r="AQ34" i="15"/>
  <c r="AJ34" i="15"/>
  <c r="AB34" i="15"/>
  <c r="V34" i="15"/>
  <c r="O34" i="15"/>
  <c r="G34" i="15"/>
  <c r="AV34" i="15"/>
  <c r="AP34" i="15"/>
  <c r="AH34" i="15"/>
  <c r="AA34" i="15"/>
  <c r="T34" i="15"/>
  <c r="L34" i="15"/>
  <c r="F34" i="15"/>
  <c r="AR34" i="15"/>
  <c r="AL34" i="15"/>
  <c r="AE34" i="15"/>
  <c r="W34" i="15"/>
  <c r="P34" i="15"/>
  <c r="J34" i="15"/>
  <c r="B34" i="15"/>
  <c r="AZ33" i="15"/>
  <c r="AU33" i="15" s="1"/>
  <c r="C69" i="1"/>
  <c r="D62" i="1" s="1"/>
  <c r="G22" i="16"/>
  <c r="E6" i="1"/>
  <c r="D56" i="1"/>
  <c r="G17" i="16"/>
  <c r="B70" i="1"/>
  <c r="C63" i="1" s="1"/>
  <c r="B71" i="1"/>
  <c r="C64" i="1" s="1"/>
  <c r="G24" i="16"/>
  <c r="G6" i="16"/>
  <c r="G19" i="16" s="1"/>
  <c r="U54" i="1"/>
  <c r="E54" i="1"/>
  <c r="B8" i="14"/>
  <c r="Y46" i="1"/>
  <c r="Y58" i="1" s="1"/>
  <c r="B72" i="1"/>
  <c r="C65" i="1" s="1"/>
  <c r="C8" i="1"/>
  <c r="H31" i="13"/>
  <c r="H6" i="16"/>
  <c r="K5" i="17"/>
  <c r="O5" i="17" s="1"/>
  <c r="E5" i="1"/>
  <c r="C7" i="1"/>
  <c r="X42" i="1"/>
  <c r="X54" i="1" s="1"/>
  <c r="X61" i="1" s="1"/>
  <c r="X45" i="1"/>
  <c r="X57" i="1" s="1"/>
  <c r="X43" i="1"/>
  <c r="X55" i="1" s="1"/>
  <c r="X44" i="1"/>
  <c r="X56" i="1" s="1"/>
  <c r="J58" i="1"/>
  <c r="B5" i="14"/>
  <c r="Y44" i="1"/>
  <c r="Y56" i="1" s="1"/>
  <c r="Y45" i="1"/>
  <c r="Y57" i="1" s="1"/>
  <c r="Y43" i="1"/>
  <c r="Y55" i="1" s="1"/>
  <c r="B68" i="1"/>
  <c r="Z35" i="1"/>
  <c r="C4" i="1" s="1"/>
  <c r="F58" i="1"/>
  <c r="D58" i="1"/>
  <c r="Y55" i="11"/>
  <c r="X68" i="1" l="1"/>
  <c r="B13" i="10"/>
  <c r="D13" i="10" s="1"/>
  <c r="F7" i="1"/>
  <c r="B11" i="10"/>
  <c r="D11" i="10" s="1"/>
  <c r="F5" i="1"/>
  <c r="B12" i="10"/>
  <c r="D12" i="10" s="1"/>
  <c r="F6" i="1"/>
  <c r="B10" i="10"/>
  <c r="F4" i="1"/>
  <c r="B14" i="10"/>
  <c r="D14" i="10" s="1"/>
  <c r="F8" i="1"/>
  <c r="H19" i="16"/>
  <c r="F55" i="19"/>
  <c r="G48" i="19" s="1"/>
  <c r="E63" i="19"/>
  <c r="E60" i="19" s="1"/>
  <c r="E61" i="19"/>
  <c r="C49" i="11"/>
  <c r="C56" i="11" s="1"/>
  <c r="C62" i="11" s="1"/>
  <c r="B64" i="11"/>
  <c r="B61" i="11" s="1"/>
  <c r="C9" i="15"/>
  <c r="M32" i="15"/>
  <c r="M36" i="15" s="1"/>
  <c r="AU32" i="15"/>
  <c r="AU36" i="15" s="1"/>
  <c r="AX32" i="15"/>
  <c r="AT32" i="15"/>
  <c r="AT36" i="15" s="1"/>
  <c r="M56" i="19"/>
  <c r="N49" i="19" s="1"/>
  <c r="M58" i="19"/>
  <c r="N51" i="19" s="1"/>
  <c r="M57" i="19"/>
  <c r="N50" i="19" s="1"/>
  <c r="M59" i="19"/>
  <c r="N52" i="19" s="1"/>
  <c r="Z55" i="11"/>
  <c r="N54" i="19"/>
  <c r="C61" i="1"/>
  <c r="B76" i="1"/>
  <c r="B73" i="1" s="1"/>
  <c r="D50" i="11"/>
  <c r="D57" i="11" s="1"/>
  <c r="E50" i="11" s="1"/>
  <c r="B62" i="11"/>
  <c r="C9" i="1"/>
  <c r="C51" i="14"/>
  <c r="C58" i="14" s="1"/>
  <c r="D51" i="14" s="1"/>
  <c r="D8" i="14"/>
  <c r="E8" i="14" s="1"/>
  <c r="D69" i="1"/>
  <c r="E62" i="1" s="1"/>
  <c r="C68" i="1"/>
  <c r="D61" i="1" s="1"/>
  <c r="C70" i="1"/>
  <c r="D63" i="1" s="1"/>
  <c r="K4" i="17"/>
  <c r="O4" i="17" s="1"/>
  <c r="B74" i="1"/>
  <c r="C72" i="1"/>
  <c r="D65" i="1" s="1"/>
  <c r="H23" i="16"/>
  <c r="AQ32" i="15"/>
  <c r="AQ36" i="15" s="1"/>
  <c r="AM32" i="15"/>
  <c r="AM36" i="15" s="1"/>
  <c r="AI32" i="15"/>
  <c r="AI36" i="15" s="1"/>
  <c r="AE32" i="15"/>
  <c r="AE36" i="15" s="1"/>
  <c r="AA32" i="15"/>
  <c r="AA36" i="15" s="1"/>
  <c r="W36" i="15"/>
  <c r="S32" i="15"/>
  <c r="S36" i="15" s="1"/>
  <c r="O32" i="15"/>
  <c r="O36" i="15" s="1"/>
  <c r="K32" i="15"/>
  <c r="K36" i="15" s="1"/>
  <c r="G32" i="15"/>
  <c r="G36" i="15" s="1"/>
  <c r="C32" i="15"/>
  <c r="C36" i="15" s="1"/>
  <c r="AV32" i="15"/>
  <c r="AV36" i="15" s="1"/>
  <c r="AP32" i="15"/>
  <c r="AP36" i="15" s="1"/>
  <c r="AK32" i="15"/>
  <c r="AK36" i="15" s="1"/>
  <c r="AF32" i="15"/>
  <c r="AF36" i="15" s="1"/>
  <c r="Z32" i="15"/>
  <c r="Z36" i="15" s="1"/>
  <c r="U32" i="15"/>
  <c r="U36" i="15" s="1"/>
  <c r="P32" i="15"/>
  <c r="P36" i="15" s="1"/>
  <c r="J32" i="15"/>
  <c r="J36" i="15" s="1"/>
  <c r="E32" i="15"/>
  <c r="E36" i="15" s="1"/>
  <c r="AN32" i="15"/>
  <c r="AN36" i="15" s="1"/>
  <c r="AG32" i="15"/>
  <c r="AG36" i="15" s="1"/>
  <c r="Y32" i="15"/>
  <c r="Y36" i="15" s="1"/>
  <c r="R32" i="15"/>
  <c r="R36" i="15" s="1"/>
  <c r="L32" i="15"/>
  <c r="L36" i="15" s="1"/>
  <c r="D32" i="15"/>
  <c r="D36" i="15" s="1"/>
  <c r="AS32" i="15"/>
  <c r="AS36" i="15" s="1"/>
  <c r="AL32" i="15"/>
  <c r="AL36" i="15" s="1"/>
  <c r="AD32" i="15"/>
  <c r="AD36" i="15" s="1"/>
  <c r="X32" i="15"/>
  <c r="X36" i="15" s="1"/>
  <c r="Q32" i="15"/>
  <c r="Q36" i="15" s="1"/>
  <c r="I32" i="15"/>
  <c r="I36" i="15" s="1"/>
  <c r="B32" i="15"/>
  <c r="B36" i="15" s="1"/>
  <c r="AW32" i="15"/>
  <c r="AW36" i="15" s="1"/>
  <c r="AO32" i="15"/>
  <c r="AO36" i="15" s="1"/>
  <c r="AH32" i="15"/>
  <c r="AH36" i="15" s="1"/>
  <c r="AB32" i="15"/>
  <c r="AB36" i="15" s="1"/>
  <c r="T32" i="15"/>
  <c r="T36" i="15" s="1"/>
  <c r="F32" i="15"/>
  <c r="F36" i="15" s="1"/>
  <c r="AJ32" i="15"/>
  <c r="AJ36" i="15" s="1"/>
  <c r="H32" i="15"/>
  <c r="H36" i="15" s="1"/>
  <c r="AC32" i="15"/>
  <c r="AC36" i="15" s="1"/>
  <c r="AR32" i="15"/>
  <c r="AR36" i="15" s="1"/>
  <c r="N32" i="15"/>
  <c r="N36" i="15" s="1"/>
  <c r="V32" i="15"/>
  <c r="V36" i="15" s="1"/>
  <c r="D5" i="14"/>
  <c r="E5" i="14" s="1"/>
  <c r="I9" i="4"/>
  <c r="I11" i="4"/>
  <c r="C4" i="4" s="1"/>
  <c r="E9" i="1"/>
  <c r="AV33" i="15"/>
  <c r="AV37" i="15" s="1"/>
  <c r="AV47" i="15" s="1"/>
  <c r="AR33" i="15"/>
  <c r="AR37" i="15" s="1"/>
  <c r="AR47" i="15" s="1"/>
  <c r="AN33" i="15"/>
  <c r="AN40" i="15" s="1"/>
  <c r="AN50" i="15" s="1"/>
  <c r="AJ33" i="15"/>
  <c r="AJ38" i="15" s="1"/>
  <c r="AJ48" i="15" s="1"/>
  <c r="AF33" i="15"/>
  <c r="AB33" i="15"/>
  <c r="AB37" i="15" s="1"/>
  <c r="AB47" i="15" s="1"/>
  <c r="X33" i="15"/>
  <c r="X37" i="15" s="1"/>
  <c r="X47" i="15" s="1"/>
  <c r="T33" i="15"/>
  <c r="T38" i="15" s="1"/>
  <c r="T48" i="15" s="1"/>
  <c r="P33" i="15"/>
  <c r="P39" i="15" s="1"/>
  <c r="P49" i="15" s="1"/>
  <c r="L33" i="15"/>
  <c r="L37" i="15" s="1"/>
  <c r="L47" i="15" s="1"/>
  <c r="H33" i="15"/>
  <c r="H40" i="15" s="1"/>
  <c r="H50" i="15" s="1"/>
  <c r="D33" i="15"/>
  <c r="AW33" i="15"/>
  <c r="AW39" i="15" s="1"/>
  <c r="AW49" i="15" s="1"/>
  <c r="AQ33" i="15"/>
  <c r="AQ37" i="15" s="1"/>
  <c r="AQ47" i="15" s="1"/>
  <c r="AL33" i="15"/>
  <c r="AL40" i="15" s="1"/>
  <c r="AL50" i="15" s="1"/>
  <c r="AG33" i="15"/>
  <c r="AG37" i="15" s="1"/>
  <c r="AG47" i="15" s="1"/>
  <c r="AA33" i="15"/>
  <c r="AA38" i="15" s="1"/>
  <c r="AA48" i="15" s="1"/>
  <c r="V33" i="15"/>
  <c r="V38" i="15" s="1"/>
  <c r="V48" i="15" s="1"/>
  <c r="Q33" i="15"/>
  <c r="Q40" i="15" s="1"/>
  <c r="Q50" i="15" s="1"/>
  <c r="K33" i="15"/>
  <c r="F33" i="15"/>
  <c r="F38" i="15" s="1"/>
  <c r="F48" i="15" s="1"/>
  <c r="AS33" i="15"/>
  <c r="AS40" i="15" s="1"/>
  <c r="AS50" i="15" s="1"/>
  <c r="AK33" i="15"/>
  <c r="AK39" i="15" s="1"/>
  <c r="AK49" i="15" s="1"/>
  <c r="AD33" i="15"/>
  <c r="AD38" i="15" s="1"/>
  <c r="AD48" i="15" s="1"/>
  <c r="W33" i="15"/>
  <c r="W37" i="15" s="1"/>
  <c r="W47" i="15" s="1"/>
  <c r="O33" i="15"/>
  <c r="O38" i="15" s="1"/>
  <c r="O48" i="15" s="1"/>
  <c r="I33" i="15"/>
  <c r="I37" i="15" s="1"/>
  <c r="I47" i="15" s="1"/>
  <c r="B33" i="15"/>
  <c r="B37" i="15" s="1"/>
  <c r="AX33" i="15"/>
  <c r="AX40" i="15" s="1"/>
  <c r="AX50" i="15" s="1"/>
  <c r="AP33" i="15"/>
  <c r="AP37" i="15" s="1"/>
  <c r="AP47" i="15" s="1"/>
  <c r="AI33" i="15"/>
  <c r="AI37" i="15" s="1"/>
  <c r="AI47" i="15" s="1"/>
  <c r="AC33" i="15"/>
  <c r="AC37" i="15" s="1"/>
  <c r="AC47" i="15" s="1"/>
  <c r="U33" i="15"/>
  <c r="U38" i="15" s="1"/>
  <c r="U48" i="15" s="1"/>
  <c r="N33" i="15"/>
  <c r="N38" i="15" s="1"/>
  <c r="N48" i="15" s="1"/>
  <c r="G33" i="15"/>
  <c r="G39" i="15" s="1"/>
  <c r="G49" i="15" s="1"/>
  <c r="AT33" i="15"/>
  <c r="AT40" i="15" s="1"/>
  <c r="AT50" i="15" s="1"/>
  <c r="AM33" i="15"/>
  <c r="AE33" i="15"/>
  <c r="AE37" i="15" s="1"/>
  <c r="AE47" i="15" s="1"/>
  <c r="Y33" i="15"/>
  <c r="Y40" i="15" s="1"/>
  <c r="Y50" i="15" s="1"/>
  <c r="R33" i="15"/>
  <c r="J33" i="15"/>
  <c r="J39" i="15" s="1"/>
  <c r="J49" i="15" s="1"/>
  <c r="C33" i="15"/>
  <c r="C38" i="15" s="1"/>
  <c r="C48" i="15" s="1"/>
  <c r="AH33" i="15"/>
  <c r="AH38" i="15" s="1"/>
  <c r="AH48" i="15" s="1"/>
  <c r="E33" i="15"/>
  <c r="E39" i="15" s="1"/>
  <c r="E49" i="15" s="1"/>
  <c r="Z33" i="15"/>
  <c r="S33" i="15"/>
  <c r="S37" i="15" s="1"/>
  <c r="S47" i="15" s="1"/>
  <c r="AO33" i="15"/>
  <c r="AO37" i="15" s="1"/>
  <c r="AO47" i="15" s="1"/>
  <c r="M33" i="15"/>
  <c r="M39" i="15" s="1"/>
  <c r="M49" i="15" s="1"/>
  <c r="C60" i="14"/>
  <c r="D53" i="14" s="1"/>
  <c r="C61" i="14"/>
  <c r="D54" i="14" s="1"/>
  <c r="H21" i="16"/>
  <c r="C71" i="1"/>
  <c r="D64" i="1" s="1"/>
  <c r="C9" i="11"/>
  <c r="AX36" i="15"/>
  <c r="D6" i="14"/>
  <c r="E6" i="14" s="1"/>
  <c r="C62" i="14"/>
  <c r="D55" i="14" s="1"/>
  <c r="N6" i="17"/>
  <c r="Q6" i="17" s="1"/>
  <c r="Z42" i="1"/>
  <c r="Z54" i="1" s="1"/>
  <c r="Z43" i="1"/>
  <c r="Z55" i="1" s="1"/>
  <c r="Z44" i="1"/>
  <c r="Z56" i="1" s="1"/>
  <c r="Z46" i="1"/>
  <c r="Z58" i="1" s="1"/>
  <c r="B7" i="14"/>
  <c r="B9" i="14" s="1"/>
  <c r="N5" i="17"/>
  <c r="Q5" i="17" s="1"/>
  <c r="G21" i="16"/>
  <c r="G23" i="16"/>
  <c r="C14" i="16" s="1"/>
  <c r="E19" i="17" s="1"/>
  <c r="Z45" i="1"/>
  <c r="Z57" i="1" s="1"/>
  <c r="D7" i="14"/>
  <c r="B64" i="14"/>
  <c r="B66" i="14"/>
  <c r="C52" i="14"/>
  <c r="D59" i="11"/>
  <c r="D58" i="11"/>
  <c r="D60" i="11"/>
  <c r="Y61" i="1" l="1"/>
  <c r="T37" i="15"/>
  <c r="T47" i="15" s="1"/>
  <c r="AV39" i="15"/>
  <c r="AV49" i="15" s="1"/>
  <c r="AG38" i="15"/>
  <c r="AG48" i="15" s="1"/>
  <c r="AT37" i="15"/>
  <c r="AT47" i="15" s="1"/>
  <c r="D10" i="10"/>
  <c r="B15" i="10"/>
  <c r="C12" i="16"/>
  <c r="E17" i="17" s="1"/>
  <c r="H20" i="16"/>
  <c r="C11" i="16" s="1"/>
  <c r="H24" i="16"/>
  <c r="C15" i="16" s="1"/>
  <c r="E20" i="17" s="1"/>
  <c r="H22" i="16"/>
  <c r="C13" i="16" s="1"/>
  <c r="E18" i="17" s="1"/>
  <c r="AW37" i="15"/>
  <c r="AW47" i="15" s="1"/>
  <c r="J37" i="15"/>
  <c r="J47" i="15" s="1"/>
  <c r="AE38" i="15"/>
  <c r="AE48" i="15" s="1"/>
  <c r="AL38" i="15"/>
  <c r="AL48" i="15" s="1"/>
  <c r="L39" i="15"/>
  <c r="L49" i="15" s="1"/>
  <c r="Q39" i="15"/>
  <c r="Q49" i="15" s="1"/>
  <c r="Y38" i="15"/>
  <c r="Y48" i="15" s="1"/>
  <c r="X38" i="15"/>
  <c r="X48" i="15" s="1"/>
  <c r="AH37" i="15"/>
  <c r="AH47" i="15" s="1"/>
  <c r="D49" i="11"/>
  <c r="D56" i="11" s="1"/>
  <c r="E49" i="11" s="1"/>
  <c r="E56" i="11" s="1"/>
  <c r="F49" i="11" s="1"/>
  <c r="G55" i="19"/>
  <c r="H48" i="19" s="1"/>
  <c r="N59" i="19"/>
  <c r="E8" i="19" s="1"/>
  <c r="F8" i="19" s="1"/>
  <c r="E30" i="17" s="1"/>
  <c r="F30" i="17" s="1"/>
  <c r="N58" i="19"/>
  <c r="E7" i="19" s="1"/>
  <c r="F7" i="19" s="1"/>
  <c r="E29" i="17" s="1"/>
  <c r="F29" i="17" s="1"/>
  <c r="F63" i="19"/>
  <c r="G63" i="19" s="1"/>
  <c r="F61" i="19"/>
  <c r="AH39" i="15"/>
  <c r="AH49" i="15" s="1"/>
  <c r="AB38" i="15"/>
  <c r="AB48" i="15" s="1"/>
  <c r="AS38" i="15"/>
  <c r="AS48" i="15" s="1"/>
  <c r="V37" i="15"/>
  <c r="V47" i="15" s="1"/>
  <c r="AI40" i="15"/>
  <c r="AI50" i="15" s="1"/>
  <c r="AP38" i="15"/>
  <c r="AP48" i="15" s="1"/>
  <c r="AQ40" i="15"/>
  <c r="AQ50" i="15" s="1"/>
  <c r="AJ37" i="15"/>
  <c r="AJ47" i="15" s="1"/>
  <c r="B40" i="15"/>
  <c r="B50" i="15" s="1"/>
  <c r="B57" i="15" s="1"/>
  <c r="AG39" i="15"/>
  <c r="AG49" i="15" s="1"/>
  <c r="AT38" i="15"/>
  <c r="AT48" i="15" s="1"/>
  <c r="AC38" i="15"/>
  <c r="AC48" i="15" s="1"/>
  <c r="M38" i="15"/>
  <c r="M48" i="15" s="1"/>
  <c r="AK37" i="15"/>
  <c r="AK47" i="15" s="1"/>
  <c r="AG40" i="15"/>
  <c r="AG50" i="15" s="1"/>
  <c r="Q37" i="15"/>
  <c r="Q47" i="15" s="1"/>
  <c r="AC40" i="15"/>
  <c r="AC50" i="15" s="1"/>
  <c r="AN37" i="15"/>
  <c r="AN47" i="15" s="1"/>
  <c r="B38" i="15"/>
  <c r="B48" i="15" s="1"/>
  <c r="B55" i="15" s="1"/>
  <c r="AI39" i="15"/>
  <c r="AI49" i="15" s="1"/>
  <c r="AH40" i="15"/>
  <c r="AH50" i="15" s="1"/>
  <c r="AD39" i="15"/>
  <c r="AD49" i="15" s="1"/>
  <c r="B39" i="15"/>
  <c r="B49" i="15" s="1"/>
  <c r="B56" i="15" s="1"/>
  <c r="AT39" i="15"/>
  <c r="AT49" i="15" s="1"/>
  <c r="X40" i="15"/>
  <c r="X50" i="15" s="1"/>
  <c r="T39" i="15"/>
  <c r="T49" i="15" s="1"/>
  <c r="AC39" i="15"/>
  <c r="AC49" i="15" s="1"/>
  <c r="AN39" i="15"/>
  <c r="AN49" i="15" s="1"/>
  <c r="H38" i="15"/>
  <c r="H48" i="15" s="1"/>
  <c r="N57" i="19"/>
  <c r="E6" i="19" s="1"/>
  <c r="F6" i="19" s="1"/>
  <c r="E28" i="17" s="1"/>
  <c r="F28" i="17" s="1"/>
  <c r="N56" i="19"/>
  <c r="E5" i="19" s="1"/>
  <c r="F5" i="19" s="1"/>
  <c r="E27" i="17" s="1"/>
  <c r="F27" i="17" s="1"/>
  <c r="F9" i="1"/>
  <c r="AR39" i="15"/>
  <c r="AR49" i="15" s="1"/>
  <c r="AB39" i="15"/>
  <c r="AB49" i="15" s="1"/>
  <c r="AS39" i="15"/>
  <c r="AS49" i="15" s="1"/>
  <c r="S39" i="15"/>
  <c r="S49" i="15" s="1"/>
  <c r="V39" i="15"/>
  <c r="V49" i="15" s="1"/>
  <c r="L40" i="15"/>
  <c r="L50" i="15" s="1"/>
  <c r="C40" i="15"/>
  <c r="C50" i="15" s="1"/>
  <c r="C39" i="15"/>
  <c r="C49" i="15" s="1"/>
  <c r="AB40" i="15"/>
  <c r="AB50" i="15" s="1"/>
  <c r="T40" i="15"/>
  <c r="T50" i="15" s="1"/>
  <c r="AS37" i="15"/>
  <c r="AS47" i="15" s="1"/>
  <c r="V40" i="15"/>
  <c r="V50" i="15" s="1"/>
  <c r="AP40" i="15"/>
  <c r="AP50" i="15" s="1"/>
  <c r="L38" i="15"/>
  <c r="L48" i="15" s="1"/>
  <c r="AE39" i="15"/>
  <c r="AE49" i="15" s="1"/>
  <c r="AQ38" i="15"/>
  <c r="AQ48" i="15" s="1"/>
  <c r="AK38" i="15"/>
  <c r="AK48" i="15" s="1"/>
  <c r="E37" i="15"/>
  <c r="E47" i="15" s="1"/>
  <c r="AJ39" i="15"/>
  <c r="AJ49" i="15" s="1"/>
  <c r="N39" i="15"/>
  <c r="N49" i="15" s="1"/>
  <c r="O40" i="15"/>
  <c r="O50" i="15" s="1"/>
  <c r="C37" i="15"/>
  <c r="C47" i="15" s="1"/>
  <c r="S40" i="15"/>
  <c r="S50" i="15" s="1"/>
  <c r="AP39" i="15"/>
  <c r="AP49" i="15" s="1"/>
  <c r="AE40" i="15"/>
  <c r="AE50" i="15" s="1"/>
  <c r="AQ39" i="15"/>
  <c r="AQ49" i="15" s="1"/>
  <c r="E38" i="15"/>
  <c r="E48" i="15" s="1"/>
  <c r="G38" i="15"/>
  <c r="G48" i="15" s="1"/>
  <c r="AR38" i="15"/>
  <c r="AR48" i="15" s="1"/>
  <c r="O39" i="15"/>
  <c r="O49" i="15" s="1"/>
  <c r="E40" i="15"/>
  <c r="E50" i="15" s="1"/>
  <c r="AO38" i="15"/>
  <c r="AO48" i="15" s="1"/>
  <c r="C64" i="11"/>
  <c r="C61" i="11" s="1"/>
  <c r="E7" i="14"/>
  <c r="D60" i="14"/>
  <c r="E53" i="14" s="1"/>
  <c r="AJ46" i="15"/>
  <c r="L46" i="15"/>
  <c r="AK46" i="15"/>
  <c r="AD46" i="15"/>
  <c r="AN46" i="15"/>
  <c r="G46" i="15"/>
  <c r="V46" i="15"/>
  <c r="AO46" i="15"/>
  <c r="AS46" i="15"/>
  <c r="E46" i="15"/>
  <c r="AE46" i="15"/>
  <c r="Q46" i="15"/>
  <c r="X46" i="15"/>
  <c r="AL46" i="15"/>
  <c r="D58" i="14"/>
  <c r="E51" i="14" s="1"/>
  <c r="AI46" i="15"/>
  <c r="Z37" i="15"/>
  <c r="Z47" i="15" s="1"/>
  <c r="Z39" i="15"/>
  <c r="Z49" i="15" s="1"/>
  <c r="Z40" i="15"/>
  <c r="Z50" i="15" s="1"/>
  <c r="Z38" i="15"/>
  <c r="Z48" i="15" s="1"/>
  <c r="AM38" i="15"/>
  <c r="AM48" i="15" s="1"/>
  <c r="AM37" i="15"/>
  <c r="AM47" i="15" s="1"/>
  <c r="AM39" i="15"/>
  <c r="AM49" i="15" s="1"/>
  <c r="AM40" i="15"/>
  <c r="AM50" i="15" s="1"/>
  <c r="AT46" i="15"/>
  <c r="C46" i="15"/>
  <c r="AB46" i="15"/>
  <c r="AV46" i="15"/>
  <c r="J38" i="15"/>
  <c r="J48" i="15" s="1"/>
  <c r="J40" i="15"/>
  <c r="J50" i="15" s="1"/>
  <c r="M46" i="15"/>
  <c r="M37" i="15"/>
  <c r="M47" i="15" s="1"/>
  <c r="AX38" i="15"/>
  <c r="AX48" i="15" s="1"/>
  <c r="D61" i="14"/>
  <c r="E54" i="14" s="1"/>
  <c r="W40" i="15"/>
  <c r="W50" i="15" s="1"/>
  <c r="AK40" i="15"/>
  <c r="AK50" i="15" s="1"/>
  <c r="E4" i="14"/>
  <c r="D9" i="14"/>
  <c r="AW40" i="15"/>
  <c r="AW50" i="15" s="1"/>
  <c r="AG46" i="15"/>
  <c r="Q38" i="15"/>
  <c r="Q48" i="15" s="1"/>
  <c r="X39" i="15"/>
  <c r="X49" i="15" s="1"/>
  <c r="AV40" i="15"/>
  <c r="AV50" i="15" s="1"/>
  <c r="AV38" i="15"/>
  <c r="AV48" i="15" s="1"/>
  <c r="AL37" i="15"/>
  <c r="AL47" i="15" s="1"/>
  <c r="M40" i="15"/>
  <c r="M50" i="15" s="1"/>
  <c r="AN38" i="15"/>
  <c r="AN48" i="15" s="1"/>
  <c r="S38" i="15"/>
  <c r="S48" i="15" s="1"/>
  <c r="AX39" i="15"/>
  <c r="AX49" i="15" s="1"/>
  <c r="B47" i="15"/>
  <c r="B54" i="15" s="1"/>
  <c r="Y39" i="15"/>
  <c r="Y49" i="15" s="1"/>
  <c r="Y37" i="15"/>
  <c r="Y47" i="15" s="1"/>
  <c r="AI38" i="15"/>
  <c r="AI48" i="15" s="1"/>
  <c r="W38" i="15"/>
  <c r="W48" i="15" s="1"/>
  <c r="W39" i="15"/>
  <c r="W49" i="15" s="1"/>
  <c r="AU39" i="15"/>
  <c r="AU49" i="15" s="1"/>
  <c r="AU38" i="15"/>
  <c r="AU48" i="15" s="1"/>
  <c r="AU37" i="15"/>
  <c r="AU47" i="15" s="1"/>
  <c r="AU40" i="15"/>
  <c r="AU50" i="15" s="1"/>
  <c r="U39" i="15"/>
  <c r="U49" i="15" s="1"/>
  <c r="AD37" i="15"/>
  <c r="AD47" i="15" s="1"/>
  <c r="AD40" i="15"/>
  <c r="AD50" i="15" s="1"/>
  <c r="H39" i="15"/>
  <c r="H49" i="15" s="1"/>
  <c r="AJ40" i="15"/>
  <c r="AJ50" i="15" s="1"/>
  <c r="G37" i="15"/>
  <c r="G47" i="15" s="1"/>
  <c r="AA40" i="15"/>
  <c r="AA50" i="15" s="1"/>
  <c r="AA39" i="15"/>
  <c r="AA49" i="15" s="1"/>
  <c r="AR40" i="15"/>
  <c r="AR50" i="15" s="1"/>
  <c r="P40" i="15"/>
  <c r="P50" i="15" s="1"/>
  <c r="D46" i="15"/>
  <c r="AF46" i="15"/>
  <c r="N4" i="17"/>
  <c r="Q4" i="17" s="1"/>
  <c r="AO39" i="15"/>
  <c r="AO49" i="15" s="1"/>
  <c r="I40" i="15"/>
  <c r="I50" i="15" s="1"/>
  <c r="N37" i="15"/>
  <c r="N47" i="15" s="1"/>
  <c r="N40" i="15"/>
  <c r="N50" i="15" s="1"/>
  <c r="O37" i="15"/>
  <c r="O47" i="15" s="1"/>
  <c r="F39" i="15"/>
  <c r="F49" i="15" s="1"/>
  <c r="C59" i="14"/>
  <c r="D52" i="14" s="1"/>
  <c r="D71" i="1"/>
  <c r="E64" i="1" s="1"/>
  <c r="AQ46" i="15"/>
  <c r="AF39" i="15"/>
  <c r="AF49" i="15" s="1"/>
  <c r="AF38" i="15"/>
  <c r="AF48" i="15" s="1"/>
  <c r="AF37" i="15"/>
  <c r="AF47" i="15" s="1"/>
  <c r="AF40" i="15"/>
  <c r="AF50" i="15" s="1"/>
  <c r="U46" i="15"/>
  <c r="H46" i="15"/>
  <c r="AA37" i="15"/>
  <c r="AA47" i="15" s="1"/>
  <c r="AR46" i="15"/>
  <c r="P46" i="15"/>
  <c r="AM46" i="15"/>
  <c r="F20" i="17"/>
  <c r="C76" i="1"/>
  <c r="I46" i="15"/>
  <c r="O46" i="15"/>
  <c r="F46" i="15"/>
  <c r="D68" i="1"/>
  <c r="E61" i="1" s="1"/>
  <c r="E69" i="1"/>
  <c r="F62" i="1" s="1"/>
  <c r="C66" i="14"/>
  <c r="B63" i="14"/>
  <c r="AW38" i="15"/>
  <c r="AW48" i="15" s="1"/>
  <c r="T46" i="15"/>
  <c r="AL39" i="15"/>
  <c r="AL49" i="15" s="1"/>
  <c r="J46" i="15"/>
  <c r="F19" i="17"/>
  <c r="AC46" i="15"/>
  <c r="AX37" i="15"/>
  <c r="AX47" i="15" s="1"/>
  <c r="F18" i="17"/>
  <c r="AH46" i="15"/>
  <c r="R39" i="15"/>
  <c r="R49" i="15" s="1"/>
  <c r="R38" i="15"/>
  <c r="R48" i="15" s="1"/>
  <c r="R40" i="15"/>
  <c r="R50" i="15" s="1"/>
  <c r="R37" i="15"/>
  <c r="R47" i="15" s="1"/>
  <c r="K38" i="15"/>
  <c r="K48" i="15" s="1"/>
  <c r="K37" i="15"/>
  <c r="K47" i="15" s="1"/>
  <c r="K40" i="15"/>
  <c r="K50" i="15" s="1"/>
  <c r="K39" i="15"/>
  <c r="K49" i="15" s="1"/>
  <c r="D39" i="15"/>
  <c r="D49" i="15" s="1"/>
  <c r="D38" i="15"/>
  <c r="D48" i="15" s="1"/>
  <c r="D37" i="15"/>
  <c r="D47" i="15" s="1"/>
  <c r="D40" i="15"/>
  <c r="D50" i="15" s="1"/>
  <c r="C16" i="5"/>
  <c r="F16" i="5" s="1"/>
  <c r="C9" i="4"/>
  <c r="C10" i="4" s="1"/>
  <c r="U40" i="15"/>
  <c r="U50" i="15" s="1"/>
  <c r="U37" i="15"/>
  <c r="U47" i="15" s="1"/>
  <c r="H37" i="15"/>
  <c r="H47" i="15" s="1"/>
  <c r="G40" i="15"/>
  <c r="G50" i="15" s="1"/>
  <c r="P37" i="15"/>
  <c r="P47" i="15" s="1"/>
  <c r="P38" i="15"/>
  <c r="P48" i="15" s="1"/>
  <c r="R46" i="15"/>
  <c r="K46" i="15"/>
  <c r="AO40" i="15"/>
  <c r="AO50" i="15" s="1"/>
  <c r="I38" i="15"/>
  <c r="I48" i="15" s="1"/>
  <c r="F37" i="15"/>
  <c r="F47" i="15" s="1"/>
  <c r="F40" i="15"/>
  <c r="F50" i="15" s="1"/>
  <c r="C74" i="1"/>
  <c r="AW46" i="15"/>
  <c r="S46" i="15"/>
  <c r="AX46" i="15"/>
  <c r="B46" i="15"/>
  <c r="B53" i="15" s="1"/>
  <c r="D4" i="15"/>
  <c r="Y46" i="15"/>
  <c r="W46" i="15"/>
  <c r="F17" i="17"/>
  <c r="D62" i="14"/>
  <c r="E55" i="14"/>
  <c r="AP46" i="15"/>
  <c r="AA46" i="15"/>
  <c r="Z46" i="15"/>
  <c r="AU46" i="15"/>
  <c r="D72" i="1"/>
  <c r="E65" i="1" s="1"/>
  <c r="I39" i="15"/>
  <c r="I49" i="15" s="1"/>
  <c r="N46" i="15"/>
  <c r="D70" i="1"/>
  <c r="E63" i="1" s="1"/>
  <c r="E52" i="11"/>
  <c r="E57" i="11"/>
  <c r="F50" i="11" s="1"/>
  <c r="E53" i="11"/>
  <c r="E51" i="11"/>
  <c r="F60" i="19" l="1"/>
  <c r="D62" i="11"/>
  <c r="L6" i="17"/>
  <c r="P6" i="17" s="1"/>
  <c r="F7" i="13" s="1"/>
  <c r="F28" i="13" s="1"/>
  <c r="D15" i="10"/>
  <c r="E10" i="10" s="1"/>
  <c r="E6" i="17"/>
  <c r="H6" i="17" s="1"/>
  <c r="C16" i="16"/>
  <c r="C17" i="16" s="1"/>
  <c r="E16" i="17"/>
  <c r="F16" i="17" s="1"/>
  <c r="N41" i="15"/>
  <c r="L41" i="15"/>
  <c r="V41" i="15"/>
  <c r="AP41" i="15"/>
  <c r="AS41" i="15"/>
  <c r="AH41" i="15"/>
  <c r="W41" i="15"/>
  <c r="AG41" i="15"/>
  <c r="AT41" i="15"/>
  <c r="L8" i="17"/>
  <c r="P8" i="17" s="1"/>
  <c r="F9" i="13" s="1"/>
  <c r="F30" i="13" s="1"/>
  <c r="L5" i="17"/>
  <c r="P5" i="17" s="1"/>
  <c r="F6" i="13" s="1"/>
  <c r="F27" i="13" s="1"/>
  <c r="E5" i="17"/>
  <c r="H5" i="17" s="1"/>
  <c r="E8" i="17"/>
  <c r="H55" i="19"/>
  <c r="I48" i="19" s="1"/>
  <c r="E7" i="17"/>
  <c r="H7" i="17" s="1"/>
  <c r="L7" i="17"/>
  <c r="P7" i="17" s="1"/>
  <c r="F8" i="13" s="1"/>
  <c r="F29" i="13" s="1"/>
  <c r="G61" i="19"/>
  <c r="G60" i="19"/>
  <c r="B41" i="15"/>
  <c r="Z41" i="15"/>
  <c r="T41" i="15"/>
  <c r="Y41" i="15"/>
  <c r="AC41" i="15"/>
  <c r="J41" i="15"/>
  <c r="AQ41" i="15"/>
  <c r="AB41" i="15"/>
  <c r="AW41" i="15"/>
  <c r="AK41" i="15"/>
  <c r="AA41" i="15"/>
  <c r="AX41" i="15"/>
  <c r="AE41" i="15"/>
  <c r="S41" i="15"/>
  <c r="R41" i="15"/>
  <c r="O41" i="15"/>
  <c r="C41" i="15"/>
  <c r="E41" i="15"/>
  <c r="D64" i="11"/>
  <c r="D61" i="11" s="1"/>
  <c r="E70" i="1"/>
  <c r="F63" i="1" s="1"/>
  <c r="E72" i="1"/>
  <c r="F65" i="1" s="1"/>
  <c r="F72" i="1" s="1"/>
  <c r="G65" i="1" s="1"/>
  <c r="F69" i="1"/>
  <c r="G62" i="1" s="1"/>
  <c r="D59" i="14"/>
  <c r="D64" i="14" s="1"/>
  <c r="E4" i="15"/>
  <c r="D5" i="15"/>
  <c r="E5" i="15" s="1"/>
  <c r="E58" i="14"/>
  <c r="B64" i="15"/>
  <c r="C57" i="15" s="1"/>
  <c r="F41" i="15"/>
  <c r="I41" i="15"/>
  <c r="P41" i="15"/>
  <c r="U41" i="15"/>
  <c r="AF41" i="15"/>
  <c r="B61" i="15"/>
  <c r="C54" i="15" s="1"/>
  <c r="X41" i="15"/>
  <c r="AN41" i="15"/>
  <c r="AJ41" i="15"/>
  <c r="D76" i="1"/>
  <c r="C73" i="1"/>
  <c r="H41" i="15"/>
  <c r="E71" i="1"/>
  <c r="F64" i="1" s="1"/>
  <c r="D7" i="15"/>
  <c r="E7" i="15" s="1"/>
  <c r="B60" i="15"/>
  <c r="C53" i="15" s="1"/>
  <c r="C63" i="14"/>
  <c r="AR41" i="15"/>
  <c r="D41" i="15"/>
  <c r="D6" i="15"/>
  <c r="E6" i="15" s="1"/>
  <c r="AV41" i="15"/>
  <c r="AI41" i="15"/>
  <c r="E60" i="14"/>
  <c r="D74" i="1"/>
  <c r="E9" i="14"/>
  <c r="E61" i="14"/>
  <c r="F54" i="14" s="1"/>
  <c r="B63" i="15"/>
  <c r="C56" i="15" s="1"/>
  <c r="AU41" i="15"/>
  <c r="E62" i="14"/>
  <c r="F55" i="14" s="1"/>
  <c r="K41" i="15"/>
  <c r="D8" i="15"/>
  <c r="E8" i="15" s="1"/>
  <c r="AM41" i="15"/>
  <c r="C64" i="14"/>
  <c r="B62" i="15"/>
  <c r="M41" i="15"/>
  <c r="AL41" i="15"/>
  <c r="Q41" i="15"/>
  <c r="AO41" i="15"/>
  <c r="G41" i="15"/>
  <c r="AD41" i="15"/>
  <c r="E60" i="11"/>
  <c r="F53" i="11" s="1"/>
  <c r="F57" i="11"/>
  <c r="G50" i="11" s="1"/>
  <c r="E58" i="11"/>
  <c r="F51" i="11" s="1"/>
  <c r="E59" i="11"/>
  <c r="F52" i="11" s="1"/>
  <c r="F56" i="11"/>
  <c r="G49" i="11" s="1"/>
  <c r="I18" i="17" l="1"/>
  <c r="F10" i="10"/>
  <c r="M6" i="17"/>
  <c r="I17" i="17"/>
  <c r="E14" i="10"/>
  <c r="E12" i="10"/>
  <c r="E13" i="10"/>
  <c r="E11" i="10"/>
  <c r="M5" i="17"/>
  <c r="M7" i="17"/>
  <c r="I19" i="17"/>
  <c r="H8" i="17"/>
  <c r="M8" i="17" s="1"/>
  <c r="I20" i="17"/>
  <c r="I55" i="19"/>
  <c r="J48" i="19"/>
  <c r="H63" i="19"/>
  <c r="H60" i="19" s="1"/>
  <c r="H61" i="19"/>
  <c r="E74" i="1"/>
  <c r="G69" i="1"/>
  <c r="H62" i="1" s="1"/>
  <c r="H69" i="1" s="1"/>
  <c r="I62" i="1" s="1"/>
  <c r="D66" i="14"/>
  <c r="D63" i="14" s="1"/>
  <c r="E52" i="14"/>
  <c r="G72" i="1"/>
  <c r="H65" i="1" s="1"/>
  <c r="H72" i="1" s="1"/>
  <c r="I65" i="1" s="1"/>
  <c r="I72" i="1" s="1"/>
  <c r="J65" i="1" s="1"/>
  <c r="J72" i="1" s="1"/>
  <c r="K65" i="1" s="1"/>
  <c r="F61" i="14"/>
  <c r="G54" i="14" s="1"/>
  <c r="C64" i="15"/>
  <c r="D57" i="15" s="1"/>
  <c r="F62" i="14"/>
  <c r="G55" i="14" s="1"/>
  <c r="C55" i="15"/>
  <c r="E9" i="15"/>
  <c r="F61" i="1"/>
  <c r="C60" i="15"/>
  <c r="D53" i="15" s="1"/>
  <c r="C61" i="15"/>
  <c r="D54" i="15" s="1"/>
  <c r="B66" i="15"/>
  <c r="B68" i="15"/>
  <c r="F71" i="1"/>
  <c r="G64" i="1" s="1"/>
  <c r="G71" i="1" s="1"/>
  <c r="H64" i="1" s="1"/>
  <c r="E76" i="1"/>
  <c r="D73" i="1"/>
  <c r="E59" i="14"/>
  <c r="E64" i="14" s="1"/>
  <c r="F70" i="1"/>
  <c r="G63" i="1" s="1"/>
  <c r="C63" i="15"/>
  <c r="D9" i="15"/>
  <c r="F53" i="14"/>
  <c r="F51" i="14"/>
  <c r="E62" i="11"/>
  <c r="G57" i="11"/>
  <c r="H50" i="11" s="1"/>
  <c r="F58" i="11"/>
  <c r="G51" i="11" s="1"/>
  <c r="F59" i="11"/>
  <c r="E64" i="11"/>
  <c r="F60" i="11"/>
  <c r="G53" i="11" s="1"/>
  <c r="G56" i="11"/>
  <c r="F11" i="10" l="1"/>
  <c r="F13" i="10"/>
  <c r="F12" i="10"/>
  <c r="F14" i="10"/>
  <c r="H10" i="10"/>
  <c r="F4" i="5" s="1"/>
  <c r="E15" i="10"/>
  <c r="I61" i="19"/>
  <c r="I63" i="19"/>
  <c r="I60" i="19" s="1"/>
  <c r="J55" i="19"/>
  <c r="K48" i="19" s="1"/>
  <c r="K55" i="19" s="1"/>
  <c r="F52" i="14"/>
  <c r="F59" i="14" s="1"/>
  <c r="G52" i="14" s="1"/>
  <c r="E66" i="14"/>
  <c r="E63" i="14" s="1"/>
  <c r="D61" i="15"/>
  <c r="E54" i="15" s="1"/>
  <c r="G61" i="14"/>
  <c r="H54" i="14" s="1"/>
  <c r="H71" i="1"/>
  <c r="I64" i="1" s="1"/>
  <c r="I71" i="1" s="1"/>
  <c r="G62" i="14"/>
  <c r="H55" i="14" s="1"/>
  <c r="D60" i="15"/>
  <c r="F58" i="14"/>
  <c r="G70" i="1"/>
  <c r="H63" i="1" s="1"/>
  <c r="H70" i="1" s="1"/>
  <c r="F68" i="1"/>
  <c r="F74" i="1" s="1"/>
  <c r="F60" i="14"/>
  <c r="G53" i="14" s="1"/>
  <c r="D56" i="15"/>
  <c r="E73" i="1"/>
  <c r="B65" i="15"/>
  <c r="C62" i="15"/>
  <c r="C68" i="15" s="1"/>
  <c r="D64" i="15"/>
  <c r="E57" i="15" s="1"/>
  <c r="F62" i="11"/>
  <c r="K72" i="1"/>
  <c r="L65" i="1" s="1"/>
  <c r="E61" i="11"/>
  <c r="F64" i="11"/>
  <c r="I69" i="1"/>
  <c r="J62" i="1" s="1"/>
  <c r="G58" i="11"/>
  <c r="H51" i="11" s="1"/>
  <c r="H57" i="11"/>
  <c r="I50" i="11" s="1"/>
  <c r="G52" i="11"/>
  <c r="H49" i="11"/>
  <c r="G60" i="11"/>
  <c r="H53" i="11" s="1"/>
  <c r="G15" i="10" l="1"/>
  <c r="O4" i="5"/>
  <c r="H13" i="10"/>
  <c r="F7" i="5" s="1"/>
  <c r="O7" i="5" s="1"/>
  <c r="F15" i="10"/>
  <c r="H14" i="10"/>
  <c r="F8" i="5" s="1"/>
  <c r="O8" i="5" s="1"/>
  <c r="H12" i="10"/>
  <c r="F6" i="5" s="1"/>
  <c r="O6" i="5" s="1"/>
  <c r="H11" i="10"/>
  <c r="L48" i="19"/>
  <c r="K61" i="19"/>
  <c r="J61" i="19"/>
  <c r="J63" i="19"/>
  <c r="K63" i="19" s="1"/>
  <c r="K60" i="19" s="1"/>
  <c r="G61" i="1"/>
  <c r="G68" i="1" s="1"/>
  <c r="G74" i="1" s="1"/>
  <c r="F66" i="14"/>
  <c r="G59" i="14"/>
  <c r="H52" i="14" s="1"/>
  <c r="H61" i="14"/>
  <c r="I54" i="14" s="1"/>
  <c r="G60" i="14"/>
  <c r="H53" i="14" s="1"/>
  <c r="C66" i="15"/>
  <c r="F64" i="14"/>
  <c r="H62" i="14"/>
  <c r="I55" i="14" s="1"/>
  <c r="E64" i="15"/>
  <c r="F57" i="15" s="1"/>
  <c r="F63" i="14"/>
  <c r="I63" i="1"/>
  <c r="I70" i="1" s="1"/>
  <c r="J63" i="1" s="1"/>
  <c r="J64" i="1"/>
  <c r="J71" i="1" s="1"/>
  <c r="K64" i="1" s="1"/>
  <c r="C65" i="15"/>
  <c r="D63" i="15"/>
  <c r="E56" i="15" s="1"/>
  <c r="E61" i="15"/>
  <c r="F54" i="15" s="1"/>
  <c r="D55" i="15"/>
  <c r="F76" i="1"/>
  <c r="G51" i="14"/>
  <c r="E53" i="15"/>
  <c r="J69" i="1"/>
  <c r="K62" i="1" s="1"/>
  <c r="L72" i="1"/>
  <c r="M65" i="1" s="1"/>
  <c r="H60" i="11"/>
  <c r="I53" i="11" s="1"/>
  <c r="G59" i="11"/>
  <c r="G62" i="11" s="1"/>
  <c r="H58" i="11"/>
  <c r="I51" i="11" s="1"/>
  <c r="F61" i="11"/>
  <c r="H56" i="11"/>
  <c r="I49" i="11" s="1"/>
  <c r="I57" i="11"/>
  <c r="J50" i="11" s="1"/>
  <c r="G17" i="13" l="1"/>
  <c r="G28" i="13" s="1"/>
  <c r="G18" i="13"/>
  <c r="G29" i="13" s="1"/>
  <c r="G15" i="13"/>
  <c r="G26" i="13" s="1"/>
  <c r="H15" i="10"/>
  <c r="F5" i="5"/>
  <c r="O5" i="5" s="1"/>
  <c r="G19" i="13"/>
  <c r="G30" i="13" s="1"/>
  <c r="J60" i="19"/>
  <c r="L55" i="19"/>
  <c r="M48" i="19" s="1"/>
  <c r="G64" i="11"/>
  <c r="G61" i="11" s="1"/>
  <c r="H60" i="14"/>
  <c r="I53" i="14" s="1"/>
  <c r="F64" i="15"/>
  <c r="G57" i="15" s="1"/>
  <c r="I61" i="14"/>
  <c r="J54" i="14" s="1"/>
  <c r="F61" i="15"/>
  <c r="G54" i="15" s="1"/>
  <c r="H61" i="1"/>
  <c r="F73" i="1"/>
  <c r="G76" i="1"/>
  <c r="I62" i="14"/>
  <c r="J55" i="14" s="1"/>
  <c r="E60" i="15"/>
  <c r="F53" i="15" s="1"/>
  <c r="D62" i="15"/>
  <c r="E63" i="15"/>
  <c r="F56" i="15" s="1"/>
  <c r="H59" i="14"/>
  <c r="I52" i="14" s="1"/>
  <c r="G58" i="14"/>
  <c r="H52" i="11"/>
  <c r="H59" i="11" s="1"/>
  <c r="K71" i="1"/>
  <c r="L64" i="1" s="1"/>
  <c r="I60" i="11"/>
  <c r="J53" i="11" s="1"/>
  <c r="K69" i="1"/>
  <c r="L62" i="1" s="1"/>
  <c r="I56" i="11"/>
  <c r="J49" i="11" s="1"/>
  <c r="M72" i="1"/>
  <c r="N65" i="1" s="1"/>
  <c r="J70" i="1"/>
  <c r="I58" i="11"/>
  <c r="J51" i="11" s="1"/>
  <c r="J57" i="11"/>
  <c r="K50" i="11" s="1"/>
  <c r="G16" i="13" l="1"/>
  <c r="G27" i="13" s="1"/>
  <c r="M55" i="19"/>
  <c r="N48" i="19" s="1"/>
  <c r="N55" i="19" s="1"/>
  <c r="L63" i="19"/>
  <c r="L60" i="19" s="1"/>
  <c r="L61" i="19"/>
  <c r="H64" i="11"/>
  <c r="H61" i="11" s="1"/>
  <c r="J62" i="14"/>
  <c r="K55" i="14"/>
  <c r="G61" i="15"/>
  <c r="H54" i="15" s="1"/>
  <c r="G64" i="15"/>
  <c r="H57" i="15" s="1"/>
  <c r="J61" i="14"/>
  <c r="K54" i="14" s="1"/>
  <c r="I60" i="14"/>
  <c r="J53" i="14" s="1"/>
  <c r="G64" i="14"/>
  <c r="G66" i="14"/>
  <c r="F63" i="15"/>
  <c r="G56" i="15" s="1"/>
  <c r="I59" i="14"/>
  <c r="J52" i="14" s="1"/>
  <c r="D66" i="15"/>
  <c r="D68" i="15"/>
  <c r="G73" i="1"/>
  <c r="H51" i="14"/>
  <c r="F60" i="15"/>
  <c r="E55" i="15"/>
  <c r="H68" i="1"/>
  <c r="I52" i="11"/>
  <c r="I59" i="11" s="1"/>
  <c r="J52" i="11" s="1"/>
  <c r="H62" i="11"/>
  <c r="J58" i="11"/>
  <c r="K51" i="11" s="1"/>
  <c r="J56" i="11"/>
  <c r="K49" i="11" s="1"/>
  <c r="J60" i="11"/>
  <c r="K53" i="11" s="1"/>
  <c r="K63" i="1"/>
  <c r="N72" i="1"/>
  <c r="L69" i="1"/>
  <c r="M62" i="1" s="1"/>
  <c r="L71" i="1"/>
  <c r="M64" i="1" s="1"/>
  <c r="K57" i="11"/>
  <c r="E4" i="19" l="1"/>
  <c r="N61" i="19"/>
  <c r="M63" i="19"/>
  <c r="M60" i="19" s="1"/>
  <c r="M61" i="19"/>
  <c r="L50" i="11"/>
  <c r="L57" i="11" s="1"/>
  <c r="M50" i="11" s="1"/>
  <c r="H74" i="1"/>
  <c r="G63" i="15"/>
  <c r="H56" i="15" s="1"/>
  <c r="H61" i="15"/>
  <c r="I54" i="15" s="1"/>
  <c r="I61" i="1"/>
  <c r="I68" i="1" s="1"/>
  <c r="G53" i="15"/>
  <c r="H58" i="14"/>
  <c r="I51" i="14" s="1"/>
  <c r="D65" i="15"/>
  <c r="J59" i="14"/>
  <c r="K52" i="14" s="1"/>
  <c r="G63" i="14"/>
  <c r="K61" i="14"/>
  <c r="L54" i="14" s="1"/>
  <c r="E62" i="15"/>
  <c r="E66" i="15" s="1"/>
  <c r="H76" i="1"/>
  <c r="H73" i="1" s="1"/>
  <c r="J60" i="14"/>
  <c r="K53" i="14" s="1"/>
  <c r="H64" i="15"/>
  <c r="I57" i="15" s="1"/>
  <c r="K62" i="14"/>
  <c r="L55" i="14" s="1"/>
  <c r="M69" i="1"/>
  <c r="N62" i="1" s="1"/>
  <c r="J59" i="11"/>
  <c r="K52" i="11" s="1"/>
  <c r="I64" i="11"/>
  <c r="K56" i="11"/>
  <c r="L49" i="11" s="1"/>
  <c r="K70" i="1"/>
  <c r="I62" i="11"/>
  <c r="K58" i="11"/>
  <c r="M71" i="1"/>
  <c r="N64" i="1" s="1"/>
  <c r="K60" i="11"/>
  <c r="N63" i="19" l="1"/>
  <c r="N60" i="19" s="1"/>
  <c r="F4" i="19"/>
  <c r="E9" i="19"/>
  <c r="E10" i="19" s="1"/>
  <c r="L53" i="11"/>
  <c r="L60" i="11" s="1"/>
  <c r="M53" i="11" s="1"/>
  <c r="M60" i="11" s="1"/>
  <c r="N53" i="11" s="1"/>
  <c r="L56" i="11"/>
  <c r="M49" i="11" s="1"/>
  <c r="M57" i="11"/>
  <c r="N50" i="11" s="1"/>
  <c r="L51" i="11"/>
  <c r="L58" i="11" s="1"/>
  <c r="M51" i="11" s="1"/>
  <c r="F55" i="15"/>
  <c r="F62" i="15" s="1"/>
  <c r="F66" i="15" s="1"/>
  <c r="H66" i="14"/>
  <c r="L62" i="14"/>
  <c r="M55" i="14" s="1"/>
  <c r="I64" i="15"/>
  <c r="J57" i="15" s="1"/>
  <c r="L61" i="14"/>
  <c r="M54" i="14" s="1"/>
  <c r="K60" i="14"/>
  <c r="L53" i="14" s="1"/>
  <c r="I76" i="1"/>
  <c r="K59" i="14"/>
  <c r="L52" i="14" s="1"/>
  <c r="I58" i="14"/>
  <c r="I64" i="14" s="1"/>
  <c r="J51" i="14"/>
  <c r="I61" i="15"/>
  <c r="J54" i="15" s="1"/>
  <c r="G60" i="15"/>
  <c r="H53" i="15" s="1"/>
  <c r="H63" i="14"/>
  <c r="E68" i="15"/>
  <c r="J61" i="1"/>
  <c r="J68" i="1" s="1"/>
  <c r="I74" i="1"/>
  <c r="H63" i="15"/>
  <c r="I56" i="15" s="1"/>
  <c r="H64" i="14"/>
  <c r="J62" i="11"/>
  <c r="N71" i="1"/>
  <c r="N69" i="1"/>
  <c r="K59" i="11"/>
  <c r="L63" i="1"/>
  <c r="I61" i="11"/>
  <c r="J64" i="11"/>
  <c r="F9" i="19" l="1"/>
  <c r="E26" i="17"/>
  <c r="F26" i="17" s="1"/>
  <c r="N57" i="11"/>
  <c r="N60" i="11"/>
  <c r="M58" i="11"/>
  <c r="N51" i="11" s="1"/>
  <c r="M56" i="11"/>
  <c r="N49" i="11" s="1"/>
  <c r="L52" i="11"/>
  <c r="L59" i="11" s="1"/>
  <c r="M52" i="11" s="1"/>
  <c r="M59" i="11" s="1"/>
  <c r="N52" i="11" s="1"/>
  <c r="G55" i="15"/>
  <c r="G62" i="15" s="1"/>
  <c r="H55" i="15" s="1"/>
  <c r="I66" i="14"/>
  <c r="I63" i="14" s="1"/>
  <c r="J61" i="15"/>
  <c r="K54" i="15" s="1"/>
  <c r="H60" i="15"/>
  <c r="I53" i="15" s="1"/>
  <c r="J64" i="15"/>
  <c r="K57" i="15" s="1"/>
  <c r="I63" i="15"/>
  <c r="J56" i="15" s="1"/>
  <c r="L59" i="14"/>
  <c r="M52" i="14" s="1"/>
  <c r="M62" i="14"/>
  <c r="N55" i="14" s="1"/>
  <c r="E65" i="15"/>
  <c r="F68" i="15"/>
  <c r="J58" i="14"/>
  <c r="J64" i="14" s="1"/>
  <c r="I73" i="1"/>
  <c r="J76" i="1"/>
  <c r="M61" i="14"/>
  <c r="N54" i="14" s="1"/>
  <c r="L60" i="14"/>
  <c r="M53" i="14" s="1"/>
  <c r="K61" i="1"/>
  <c r="K68" i="1" s="1"/>
  <c r="K74" i="1" s="1"/>
  <c r="J74" i="1"/>
  <c r="K62" i="11"/>
  <c r="L70" i="1"/>
  <c r="J61" i="11"/>
  <c r="K64" i="11"/>
  <c r="E4" i="17" l="1"/>
  <c r="H4" i="17" s="1"/>
  <c r="L4" i="17"/>
  <c r="L62" i="11"/>
  <c r="L64" i="11"/>
  <c r="L61" i="11" s="1"/>
  <c r="N56" i="11"/>
  <c r="N58" i="11"/>
  <c r="N59" i="11"/>
  <c r="M62" i="11"/>
  <c r="G66" i="15"/>
  <c r="K51" i="14"/>
  <c r="K58" i="14" s="1"/>
  <c r="K64" i="14" s="1"/>
  <c r="N62" i="14"/>
  <c r="O55" i="14" s="1"/>
  <c r="I60" i="15"/>
  <c r="J53" i="15" s="1"/>
  <c r="J63" i="15"/>
  <c r="K56" i="15" s="1"/>
  <c r="K61" i="15"/>
  <c r="L54" i="15" s="1"/>
  <c r="M60" i="14"/>
  <c r="N53" i="14" s="1"/>
  <c r="H62" i="15"/>
  <c r="I55" i="15" s="1"/>
  <c r="M59" i="14"/>
  <c r="N52" i="14" s="1"/>
  <c r="N61" i="14"/>
  <c r="O54" i="14" s="1"/>
  <c r="F65" i="15"/>
  <c r="G68" i="15"/>
  <c r="K64" i="15"/>
  <c r="L57" i="15" s="1"/>
  <c r="J73" i="1"/>
  <c r="J66" i="14"/>
  <c r="K61" i="11"/>
  <c r="M63" i="1"/>
  <c r="H66" i="15" l="1"/>
  <c r="P4" i="17"/>
  <c r="F5" i="13" s="1"/>
  <c r="F26" i="13" s="1"/>
  <c r="I16" i="17"/>
  <c r="I22" i="17" s="1"/>
  <c r="M4" i="17"/>
  <c r="M64" i="11"/>
  <c r="M61" i="11" s="1"/>
  <c r="N62" i="11"/>
  <c r="L61" i="1"/>
  <c r="L68" i="1" s="1"/>
  <c r="M61" i="1" s="1"/>
  <c r="K76" i="1"/>
  <c r="K73" i="1" s="1"/>
  <c r="J60" i="15"/>
  <c r="L61" i="15"/>
  <c r="M54" i="15" s="1"/>
  <c r="N59" i="14"/>
  <c r="O52" i="14" s="1"/>
  <c r="L64" i="15"/>
  <c r="M57" i="15" s="1"/>
  <c r="N60" i="14"/>
  <c r="O53" i="14" s="1"/>
  <c r="O61" i="14"/>
  <c r="P54" i="14" s="1"/>
  <c r="I62" i="15"/>
  <c r="I66" i="15" s="1"/>
  <c r="L51" i="14"/>
  <c r="O62" i="14"/>
  <c r="P55" i="14" s="1"/>
  <c r="K66" i="14"/>
  <c r="J63" i="14"/>
  <c r="K63" i="15"/>
  <c r="L56" i="15" s="1"/>
  <c r="G65" i="15"/>
  <c r="H68" i="15"/>
  <c r="M70" i="1"/>
  <c r="M68" i="1" l="1"/>
  <c r="N61" i="1"/>
  <c r="N64" i="11"/>
  <c r="N61" i="11" s="1"/>
  <c r="M64" i="15"/>
  <c r="N57" i="15" s="1"/>
  <c r="O60" i="14"/>
  <c r="P53" i="14" s="1"/>
  <c r="I68" i="15"/>
  <c r="H65" i="15"/>
  <c r="L58" i="14"/>
  <c r="L64" i="14" s="1"/>
  <c r="J55" i="15"/>
  <c r="M61" i="15"/>
  <c r="N54" i="15" s="1"/>
  <c r="K63" i="14"/>
  <c r="L63" i="15"/>
  <c r="M56" i="15" s="1"/>
  <c r="P62" i="14"/>
  <c r="Q55" i="14" s="1"/>
  <c r="L74" i="1"/>
  <c r="L76" i="1"/>
  <c r="L73" i="1" s="1"/>
  <c r="P61" i="14"/>
  <c r="Q54" i="14" s="1"/>
  <c r="K53" i="15"/>
  <c r="O59" i="14"/>
  <c r="P52" i="14" s="1"/>
  <c r="M74" i="1"/>
  <c r="N63" i="1"/>
  <c r="N68" i="1" l="1"/>
  <c r="M76" i="1"/>
  <c r="M73" i="1" s="1"/>
  <c r="Q62" i="14"/>
  <c r="R55" i="14" s="1"/>
  <c r="Q61" i="14"/>
  <c r="R54" i="14" s="1"/>
  <c r="P59" i="14"/>
  <c r="Q52" i="14" s="1"/>
  <c r="M63" i="15"/>
  <c r="N56" i="15" s="1"/>
  <c r="N64" i="15"/>
  <c r="O57" i="15" s="1"/>
  <c r="L66" i="14"/>
  <c r="M51" i="14"/>
  <c r="K60" i="15"/>
  <c r="L53" i="15" s="1"/>
  <c r="N61" i="15"/>
  <c r="O54" i="15" s="1"/>
  <c r="P60" i="14"/>
  <c r="Q53" i="14" s="1"/>
  <c r="J62" i="15"/>
  <c r="J66" i="15" s="1"/>
  <c r="I65" i="15"/>
  <c r="N70" i="1"/>
  <c r="Q59" i="14" l="1"/>
  <c r="R52" i="14" s="1"/>
  <c r="O61" i="15"/>
  <c r="P54" i="15" s="1"/>
  <c r="N63" i="15"/>
  <c r="O56" i="15" s="1"/>
  <c r="R62" i="14"/>
  <c r="S55" i="14" s="1"/>
  <c r="K55" i="15"/>
  <c r="M58" i="14"/>
  <c r="M64" i="14" s="1"/>
  <c r="N51" i="14"/>
  <c r="L63" i="14"/>
  <c r="Q60" i="14"/>
  <c r="R53" i="14" s="1"/>
  <c r="L60" i="15"/>
  <c r="O64" i="15"/>
  <c r="P57" i="15" s="1"/>
  <c r="R61" i="14"/>
  <c r="S54" i="14" s="1"/>
  <c r="J68" i="15"/>
  <c r="N74" i="1"/>
  <c r="M66" i="14" l="1"/>
  <c r="S62" i="14"/>
  <c r="T55" i="14" s="1"/>
  <c r="S61" i="14"/>
  <c r="T54" i="14" s="1"/>
  <c r="P61" i="15"/>
  <c r="Q54" i="15" s="1"/>
  <c r="O63" i="15"/>
  <c r="P56" i="15" s="1"/>
  <c r="R59" i="14"/>
  <c r="S52" i="14" s="1"/>
  <c r="M63" i="14"/>
  <c r="P64" i="15"/>
  <c r="Q57" i="15" s="1"/>
  <c r="N58" i="14"/>
  <c r="N64" i="14" s="1"/>
  <c r="J65" i="15"/>
  <c r="R60" i="14"/>
  <c r="S53" i="14" s="1"/>
  <c r="M53" i="15"/>
  <c r="K62" i="15"/>
  <c r="K66" i="15" s="1"/>
  <c r="N73" i="1"/>
  <c r="O51" i="14" l="1"/>
  <c r="K68" i="15"/>
  <c r="K65" i="15" s="1"/>
  <c r="P63" i="15"/>
  <c r="Q56" i="15" s="1"/>
  <c r="T61" i="14"/>
  <c r="U54" i="14" s="1"/>
  <c r="Q61" i="15"/>
  <c r="R54" i="15" s="1"/>
  <c r="T62" i="14"/>
  <c r="U55" i="14" s="1"/>
  <c r="L55" i="15"/>
  <c r="S60" i="14"/>
  <c r="T53" i="14" s="1"/>
  <c r="O58" i="14"/>
  <c r="O64" i="14" s="1"/>
  <c r="Q64" i="15"/>
  <c r="R57" i="15" s="1"/>
  <c r="M60" i="15"/>
  <c r="N53" i="15" s="1"/>
  <c r="S59" i="14"/>
  <c r="T52" i="14" s="1"/>
  <c r="N66" i="14"/>
  <c r="P51" i="14" l="1"/>
  <c r="P58" i="14" s="1"/>
  <c r="P64" i="14" s="1"/>
  <c r="R64" i="15"/>
  <c r="S57" i="15" s="1"/>
  <c r="U62" i="14"/>
  <c r="V55" i="14" s="1"/>
  <c r="N60" i="15"/>
  <c r="O53" i="15" s="1"/>
  <c r="T60" i="14"/>
  <c r="U53" i="14" s="1"/>
  <c r="U61" i="14"/>
  <c r="V54" i="14" s="1"/>
  <c r="T59" i="14"/>
  <c r="U52" i="14" s="1"/>
  <c r="O66" i="14"/>
  <c r="N63" i="14"/>
  <c r="R61" i="15"/>
  <c r="S54" i="15" s="1"/>
  <c r="Q63" i="15"/>
  <c r="R56" i="15" s="1"/>
  <c r="L62" i="15"/>
  <c r="M55" i="15" s="1"/>
  <c r="V61" i="14" l="1"/>
  <c r="W54" i="14"/>
  <c r="R63" i="15"/>
  <c r="S56" i="15" s="1"/>
  <c r="U60" i="14"/>
  <c r="V53" i="14" s="1"/>
  <c r="V62" i="14"/>
  <c r="W55" i="14" s="1"/>
  <c r="Q51" i="14"/>
  <c r="M62" i="15"/>
  <c r="M66" i="15" s="1"/>
  <c r="L66" i="15"/>
  <c r="L68" i="15"/>
  <c r="S61" i="15"/>
  <c r="T54" i="15" s="1"/>
  <c r="U59" i="14"/>
  <c r="V52" i="14" s="1"/>
  <c r="O60" i="15"/>
  <c r="P53" i="15" s="1"/>
  <c r="S64" i="15"/>
  <c r="T57" i="15" s="1"/>
  <c r="P66" i="14"/>
  <c r="O63" i="14"/>
  <c r="P60" i="15" l="1"/>
  <c r="Q53" i="15" s="1"/>
  <c r="V59" i="14"/>
  <c r="W52" i="14" s="1"/>
  <c r="T61" i="15"/>
  <c r="U54" i="15" s="1"/>
  <c r="N55" i="15"/>
  <c r="W62" i="14"/>
  <c r="X55" i="14" s="1"/>
  <c r="T64" i="15"/>
  <c r="U57" i="15" s="1"/>
  <c r="M68" i="15"/>
  <c r="L65" i="15"/>
  <c r="Q58" i="14"/>
  <c r="Q64" i="14" s="1"/>
  <c r="V60" i="14"/>
  <c r="W53" i="14" s="1"/>
  <c r="W61" i="14"/>
  <c r="X54" i="14" s="1"/>
  <c r="P63" i="14"/>
  <c r="S63" i="15"/>
  <c r="T56" i="15" s="1"/>
  <c r="X61" i="14" l="1"/>
  <c r="Y54" i="14" s="1"/>
  <c r="U64" i="15"/>
  <c r="V57" i="15" s="1"/>
  <c r="T63" i="15"/>
  <c r="U56" i="15" s="1"/>
  <c r="N62" i="15"/>
  <c r="N66" i="15" s="1"/>
  <c r="R51" i="14"/>
  <c r="W60" i="14"/>
  <c r="X53" i="14" s="1"/>
  <c r="X62" i="14"/>
  <c r="Y55" i="14" s="1"/>
  <c r="U61" i="15"/>
  <c r="V54" i="15" s="1"/>
  <c r="Q60" i="15"/>
  <c r="R53" i="15" s="1"/>
  <c r="W59" i="14"/>
  <c r="X52" i="14" s="1"/>
  <c r="Q66" i="14"/>
  <c r="N68" i="15"/>
  <c r="M65" i="15"/>
  <c r="V61" i="15" l="1"/>
  <c r="W54" i="15" s="1"/>
  <c r="X59" i="14"/>
  <c r="Y52" i="14" s="1"/>
  <c r="Y61" i="14"/>
  <c r="Z54" i="14" s="1"/>
  <c r="N65" i="15"/>
  <c r="O55" i="15"/>
  <c r="Q63" i="14"/>
  <c r="R60" i="15"/>
  <c r="S53" i="15" s="1"/>
  <c r="Y62" i="14"/>
  <c r="Z55" i="14"/>
  <c r="U63" i="15"/>
  <c r="V56" i="15" s="1"/>
  <c r="X60" i="14"/>
  <c r="Y53" i="14" s="1"/>
  <c r="V64" i="15"/>
  <c r="W57" i="15" s="1"/>
  <c r="R58" i="14"/>
  <c r="R64" i="14" s="1"/>
  <c r="Z61" i="14" l="1"/>
  <c r="AA54" i="14" s="1"/>
  <c r="W64" i="15"/>
  <c r="X57" i="15" s="1"/>
  <c r="V63" i="15"/>
  <c r="W56" i="15" s="1"/>
  <c r="Y59" i="14"/>
  <c r="Z52" i="14" s="1"/>
  <c r="Y60" i="14"/>
  <c r="Z53" i="14" s="1"/>
  <c r="Z62" i="14"/>
  <c r="AA55" i="14" s="1"/>
  <c r="S51" i="14"/>
  <c r="S60" i="15"/>
  <c r="T53" i="15" s="1"/>
  <c r="R66" i="14"/>
  <c r="W61" i="15"/>
  <c r="X54" i="15" s="1"/>
  <c r="O62" i="15"/>
  <c r="P55" i="15" s="1"/>
  <c r="X64" i="15" l="1"/>
  <c r="Y57" i="15" s="1"/>
  <c r="AA61" i="14"/>
  <c r="AB54" i="14" s="1"/>
  <c r="P62" i="15"/>
  <c r="P66" i="15" s="1"/>
  <c r="R63" i="14"/>
  <c r="T60" i="15"/>
  <c r="U53" i="15" s="1"/>
  <c r="Z59" i="14"/>
  <c r="AA52" i="14" s="1"/>
  <c r="X61" i="15"/>
  <c r="Y54" i="15" s="1"/>
  <c r="AA53" i="14"/>
  <c r="Z60" i="14"/>
  <c r="W63" i="15"/>
  <c r="X56" i="15" s="1"/>
  <c r="AA62" i="14"/>
  <c r="AB55" i="14" s="1"/>
  <c r="O66" i="15"/>
  <c r="O68" i="15"/>
  <c r="S58" i="14"/>
  <c r="S64" i="14" s="1"/>
  <c r="Q55" i="15" l="1"/>
  <c r="T51" i="14"/>
  <c r="T58" i="14" s="1"/>
  <c r="T64" i="14" s="1"/>
  <c r="S66" i="14"/>
  <c r="S63" i="14" s="1"/>
  <c r="AB62" i="14"/>
  <c r="AC55" i="14" s="1"/>
  <c r="Y61" i="15"/>
  <c r="Z54" i="15" s="1"/>
  <c r="AB61" i="14"/>
  <c r="AC54" i="14" s="1"/>
  <c r="U60" i="15"/>
  <c r="V53" i="15" s="1"/>
  <c r="X63" i="15"/>
  <c r="Y56" i="15" s="1"/>
  <c r="Y64" i="15"/>
  <c r="Z57" i="15" s="1"/>
  <c r="O65" i="15"/>
  <c r="P68" i="15"/>
  <c r="AA60" i="14"/>
  <c r="AB53" i="14" s="1"/>
  <c r="Q62" i="15"/>
  <c r="Q66" i="15" s="1"/>
  <c r="AA59" i="14"/>
  <c r="AB52" i="14" s="1"/>
  <c r="U51" i="14" l="1"/>
  <c r="T66" i="14"/>
  <c r="T63" i="14" s="1"/>
  <c r="R55" i="15"/>
  <c r="R62" i="15" s="1"/>
  <c r="R66" i="15" s="1"/>
  <c r="AB60" i="14"/>
  <c r="AC53" i="14" s="1"/>
  <c r="Z61" i="15"/>
  <c r="AA54" i="15" s="1"/>
  <c r="Z64" i="15"/>
  <c r="AA57" i="15" s="1"/>
  <c r="AC62" i="14"/>
  <c r="AD55" i="14" s="1"/>
  <c r="AB59" i="14"/>
  <c r="AC52" i="14" s="1"/>
  <c r="V60" i="15"/>
  <c r="W53" i="15" s="1"/>
  <c r="Q68" i="15"/>
  <c r="P65" i="15"/>
  <c r="Y63" i="15"/>
  <c r="Z56" i="15" s="1"/>
  <c r="AC61" i="14"/>
  <c r="AD54" i="14" s="1"/>
  <c r="U58" i="14"/>
  <c r="U64" i="14" s="1"/>
  <c r="AD61" i="14" l="1"/>
  <c r="AE54" i="14" s="1"/>
  <c r="Z63" i="15"/>
  <c r="AA56" i="15" s="1"/>
  <c r="AA61" i="15"/>
  <c r="AB54" i="15" s="1"/>
  <c r="AD62" i="14"/>
  <c r="AE55" i="14" s="1"/>
  <c r="AC60" i="14"/>
  <c r="AD53" i="14" s="1"/>
  <c r="U66" i="14"/>
  <c r="W60" i="15"/>
  <c r="Q65" i="15"/>
  <c r="R68" i="15"/>
  <c r="AC59" i="14"/>
  <c r="AD52" i="14" s="1"/>
  <c r="AA64" i="15"/>
  <c r="AB57" i="15" s="1"/>
  <c r="V51" i="14"/>
  <c r="S55" i="15"/>
  <c r="AD59" i="14" l="1"/>
  <c r="AE52" i="14" s="1"/>
  <c r="AA63" i="15"/>
  <c r="AB56" i="15" s="1"/>
  <c r="AB64" i="15"/>
  <c r="AC57" i="15" s="1"/>
  <c r="AE62" i="14"/>
  <c r="AF55" i="14" s="1"/>
  <c r="AE61" i="14"/>
  <c r="AF54" i="14" s="1"/>
  <c r="R65" i="15"/>
  <c r="S62" i="15"/>
  <c r="S66" i="15" s="1"/>
  <c r="AD60" i="14"/>
  <c r="AE53" i="14" s="1"/>
  <c r="AB61" i="15"/>
  <c r="AC54" i="15" s="1"/>
  <c r="U63" i="14"/>
  <c r="V58" i="14"/>
  <c r="V64" i="14" s="1"/>
  <c r="X53" i="15"/>
  <c r="T55" i="15" l="1"/>
  <c r="T62" i="15" s="1"/>
  <c r="T66" i="15" s="1"/>
  <c r="S68" i="15"/>
  <c r="S65" i="15" s="1"/>
  <c r="AE60" i="14"/>
  <c r="AF53" i="14" s="1"/>
  <c r="AB63" i="15"/>
  <c r="AC56" i="15" s="1"/>
  <c r="AF62" i="14"/>
  <c r="AG55" i="14" s="1"/>
  <c r="AE59" i="14"/>
  <c r="AF52" i="14" s="1"/>
  <c r="W51" i="14"/>
  <c r="AC61" i="15"/>
  <c r="AD54" i="15" s="1"/>
  <c r="AF61" i="14"/>
  <c r="AG54" i="14" s="1"/>
  <c r="AC64" i="15"/>
  <c r="AD57" i="15" s="1"/>
  <c r="X60" i="15"/>
  <c r="V66" i="14"/>
  <c r="U55" i="15" l="1"/>
  <c r="U62" i="15" s="1"/>
  <c r="U66" i="15" s="1"/>
  <c r="T68" i="15"/>
  <c r="T65" i="15" s="1"/>
  <c r="AD64" i="15"/>
  <c r="AE57" i="15" s="1"/>
  <c r="AG61" i="14"/>
  <c r="AH54" i="14" s="1"/>
  <c r="AC63" i="15"/>
  <c r="AD56" i="15" s="1"/>
  <c r="AD61" i="15"/>
  <c r="AE54" i="15" s="1"/>
  <c r="AF59" i="14"/>
  <c r="AG52" i="14" s="1"/>
  <c r="AF60" i="14"/>
  <c r="AG53" i="14" s="1"/>
  <c r="AG62" i="14"/>
  <c r="AH55" i="14" s="1"/>
  <c r="V63" i="14"/>
  <c r="Y53" i="15"/>
  <c r="W58" i="14"/>
  <c r="W64" i="14" s="1"/>
  <c r="U68" i="15" l="1"/>
  <c r="U65" i="15" s="1"/>
  <c r="V55" i="15"/>
  <c r="V62" i="15" s="1"/>
  <c r="V66" i="15" s="1"/>
  <c r="X51" i="14"/>
  <c r="X58" i="14" s="1"/>
  <c r="X64" i="14" s="1"/>
  <c r="AG59" i="14"/>
  <c r="AH52" i="14" s="1"/>
  <c r="AE61" i="15"/>
  <c r="AF54" i="15" s="1"/>
  <c r="AH62" i="14"/>
  <c r="AI55" i="14" s="1"/>
  <c r="AG60" i="14"/>
  <c r="AH53" i="14" s="1"/>
  <c r="W66" i="14"/>
  <c r="Y60" i="15"/>
  <c r="AD63" i="15"/>
  <c r="AE56" i="15" s="1"/>
  <c r="AE64" i="15"/>
  <c r="AF57" i="15" s="1"/>
  <c r="AH61" i="14"/>
  <c r="AI54" i="14" s="1"/>
  <c r="V68" i="15" l="1"/>
  <c r="V65" i="15" s="1"/>
  <c r="AE63" i="15"/>
  <c r="AF56" i="15" s="1"/>
  <c r="AF61" i="15"/>
  <c r="AG54" i="15" s="1"/>
  <c r="AH60" i="14"/>
  <c r="AI53" i="14" s="1"/>
  <c r="AH59" i="14"/>
  <c r="AI52" i="14" s="1"/>
  <c r="AI61" i="14"/>
  <c r="AJ54" i="14" s="1"/>
  <c r="AF64" i="15"/>
  <c r="AG57" i="15" s="1"/>
  <c r="X66" i="14"/>
  <c r="W63" i="14"/>
  <c r="AI62" i="14"/>
  <c r="AJ55" i="14" s="1"/>
  <c r="W55" i="15"/>
  <c r="Z53" i="15"/>
  <c r="Y51" i="14"/>
  <c r="AJ62" i="14" l="1"/>
  <c r="AK55" i="14"/>
  <c r="AI59" i="14"/>
  <c r="AJ52" i="14" s="1"/>
  <c r="AG64" i="15"/>
  <c r="AH57" i="15" s="1"/>
  <c r="AI60" i="14"/>
  <c r="AJ53" i="14" s="1"/>
  <c r="W62" i="15"/>
  <c r="Y58" i="14"/>
  <c r="Y64" i="14" s="1"/>
  <c r="X63" i="14"/>
  <c r="AJ61" i="14"/>
  <c r="AK54" i="14" s="1"/>
  <c r="AF63" i="15"/>
  <c r="AG56" i="15" s="1"/>
  <c r="AG61" i="15"/>
  <c r="AH54" i="15" s="1"/>
  <c r="Z60" i="15"/>
  <c r="AA53" i="15" s="1"/>
  <c r="AH61" i="15" l="1"/>
  <c r="AI54" i="15" s="1"/>
  <c r="AJ59" i="14"/>
  <c r="AK52" i="14" s="1"/>
  <c r="AK61" i="14"/>
  <c r="AL54" i="14" s="1"/>
  <c r="Z51" i="14"/>
  <c r="AJ60" i="14"/>
  <c r="AK53" i="14" s="1"/>
  <c r="AA60" i="15"/>
  <c r="AB53" i="15" s="1"/>
  <c r="AG63" i="15"/>
  <c r="AH56" i="15" s="1"/>
  <c r="W66" i="15"/>
  <c r="W68" i="15"/>
  <c r="AH64" i="15"/>
  <c r="AI57" i="15" s="1"/>
  <c r="AK62" i="14"/>
  <c r="AL55" i="14" s="1"/>
  <c r="Y66" i="14"/>
  <c r="X55" i="15"/>
  <c r="AH63" i="15" l="1"/>
  <c r="AI56" i="15" s="1"/>
  <c r="AL61" i="14"/>
  <c r="AM54" i="14" s="1"/>
  <c r="AK59" i="14"/>
  <c r="AL52" i="14" s="1"/>
  <c r="AI64" i="15"/>
  <c r="AJ57" i="15" s="1"/>
  <c r="AK60" i="14"/>
  <c r="AL53" i="14" s="1"/>
  <c r="AI61" i="15"/>
  <c r="AJ54" i="15" s="1"/>
  <c r="AL62" i="14"/>
  <c r="AM55" i="14" s="1"/>
  <c r="Z58" i="14"/>
  <c r="Z64" i="14" s="1"/>
  <c r="W65" i="15"/>
  <c r="X62" i="15"/>
  <c r="X66" i="15" s="1"/>
  <c r="AB60" i="15"/>
  <c r="AC53" i="15" s="1"/>
  <c r="Y63" i="14"/>
  <c r="Y55" i="15" l="1"/>
  <c r="Y62" i="15" s="1"/>
  <c r="Y66" i="15" s="1"/>
  <c r="AL59" i="14"/>
  <c r="AM52" i="14" s="1"/>
  <c r="AM62" i="14"/>
  <c r="AN55" i="14" s="1"/>
  <c r="AM61" i="14"/>
  <c r="AN54" i="14" s="1"/>
  <c r="AJ61" i="15"/>
  <c r="AK54" i="15" s="1"/>
  <c r="AA51" i="14"/>
  <c r="AJ64" i="15"/>
  <c r="AK57" i="15" s="1"/>
  <c r="X68" i="15"/>
  <c r="AL60" i="14"/>
  <c r="AM53" i="14" s="1"/>
  <c r="AI63" i="15"/>
  <c r="AJ56" i="15" s="1"/>
  <c r="AC60" i="15"/>
  <c r="Z66" i="14"/>
  <c r="Z55" i="15" l="1"/>
  <c r="Z62" i="15" s="1"/>
  <c r="Z66" i="15" s="1"/>
  <c r="AM60" i="14"/>
  <c r="AN53" i="14" s="1"/>
  <c r="AK64" i="15"/>
  <c r="AL57" i="15" s="1"/>
  <c r="AN62" i="14"/>
  <c r="AO55" i="14" s="1"/>
  <c r="AM59" i="14"/>
  <c r="AN52" i="14" s="1"/>
  <c r="Y68" i="15"/>
  <c r="X65" i="15"/>
  <c r="AJ63" i="15"/>
  <c r="AK56" i="15" s="1"/>
  <c r="AK61" i="15"/>
  <c r="AL54" i="15" s="1"/>
  <c r="Z63" i="14"/>
  <c r="AN61" i="14"/>
  <c r="AO54" i="14" s="1"/>
  <c r="AD53" i="15"/>
  <c r="AA58" i="14"/>
  <c r="AA64" i="14" s="1"/>
  <c r="AB51" i="14" l="1"/>
  <c r="AK63" i="15"/>
  <c r="AL56" i="15" s="1"/>
  <c r="AL64" i="15"/>
  <c r="AM57" i="15" s="1"/>
  <c r="AN59" i="14"/>
  <c r="AO52" i="14" s="1"/>
  <c r="AN60" i="14"/>
  <c r="AO53" i="14" s="1"/>
  <c r="AB58" i="14"/>
  <c r="AB64" i="14" s="1"/>
  <c r="AA66" i="14"/>
  <c r="AO61" i="14"/>
  <c r="AP54" i="14" s="1"/>
  <c r="AD60" i="15"/>
  <c r="AE53" i="15" s="1"/>
  <c r="AO62" i="14"/>
  <c r="AP55" i="14" s="1"/>
  <c r="AL61" i="15"/>
  <c r="AM54" i="15" s="1"/>
  <c r="AA55" i="15"/>
  <c r="Z68" i="15"/>
  <c r="Y65" i="15"/>
  <c r="AC51" i="14" l="1"/>
  <c r="AO59" i="14"/>
  <c r="AP52" i="14" s="1"/>
  <c r="AM64" i="15"/>
  <c r="AN57" i="15" s="1"/>
  <c r="AP62" i="14"/>
  <c r="AQ55" i="14" s="1"/>
  <c r="AM61" i="15"/>
  <c r="AN54" i="15" s="1"/>
  <c r="AA62" i="15"/>
  <c r="AA66" i="15" s="1"/>
  <c r="AP61" i="14"/>
  <c r="AQ54" i="14" s="1"/>
  <c r="AE60" i="15"/>
  <c r="AF53" i="15" s="1"/>
  <c r="AO60" i="14"/>
  <c r="AP53" i="14" s="1"/>
  <c r="AC58" i="14"/>
  <c r="AC64" i="14" s="1"/>
  <c r="AL63" i="15"/>
  <c r="AM56" i="15" s="1"/>
  <c r="AB66" i="14"/>
  <c r="AA63" i="14"/>
  <c r="Z65" i="15"/>
  <c r="AB55" i="15" l="1"/>
  <c r="AB62" i="15" s="1"/>
  <c r="AB66" i="15" s="1"/>
  <c r="AA68" i="15"/>
  <c r="AA65" i="15" s="1"/>
  <c r="AD51" i="14"/>
  <c r="AN61" i="15"/>
  <c r="AO54" i="15" s="1"/>
  <c r="AM63" i="15"/>
  <c r="AN56" i="15" s="1"/>
  <c r="AN64" i="15"/>
  <c r="AO57" i="15" s="1"/>
  <c r="AP60" i="14"/>
  <c r="AQ53" i="14" s="1"/>
  <c r="AQ62" i="14"/>
  <c r="AR55" i="14" s="1"/>
  <c r="AP59" i="14"/>
  <c r="AQ52" i="14" s="1"/>
  <c r="AQ61" i="14"/>
  <c r="AR54" i="14" s="1"/>
  <c r="AC66" i="14"/>
  <c r="AB63" i="14"/>
  <c r="AF60" i="15"/>
  <c r="AG53" i="15" s="1"/>
  <c r="AD58" i="14"/>
  <c r="AD64" i="14" s="1"/>
  <c r="AN63" i="15" l="1"/>
  <c r="AO56" i="15" s="1"/>
  <c r="AQ60" i="14"/>
  <c r="AR53" i="14" s="1"/>
  <c r="AO61" i="15"/>
  <c r="AP54" i="15" s="1"/>
  <c r="AB68" i="15"/>
  <c r="AC55" i="15"/>
  <c r="AC63" i="14"/>
  <c r="AD66" i="14"/>
  <c r="AG60" i="15"/>
  <c r="AH53" i="15" s="1"/>
  <c r="AR61" i="14"/>
  <c r="AS54" i="14" s="1"/>
  <c r="AR62" i="14"/>
  <c r="AS55" i="14" s="1"/>
  <c r="AO64" i="15"/>
  <c r="AP57" i="15" s="1"/>
  <c r="AQ59" i="14"/>
  <c r="AR52" i="14" s="1"/>
  <c r="AE51" i="14"/>
  <c r="AR59" i="14" l="1"/>
  <c r="AS52" i="14" s="1"/>
  <c r="AO63" i="15"/>
  <c r="AP56" i="15" s="1"/>
  <c r="AS62" i="14"/>
  <c r="AT55" i="14" s="1"/>
  <c r="AC62" i="15"/>
  <c r="AC66" i="15" s="1"/>
  <c r="AH60" i="15"/>
  <c r="AI53" i="15" s="1"/>
  <c r="AR60" i="14"/>
  <c r="AS53" i="14" s="1"/>
  <c r="AP64" i="15"/>
  <c r="AQ57" i="15" s="1"/>
  <c r="AS61" i="14"/>
  <c r="AT54" i="14" s="1"/>
  <c r="AD63" i="14"/>
  <c r="AP61" i="15"/>
  <c r="AQ54" i="15" s="1"/>
  <c r="AB65" i="15"/>
  <c r="AE58" i="14"/>
  <c r="AE64" i="14" s="1"/>
  <c r="AC68" i="15" l="1"/>
  <c r="AC65" i="15" s="1"/>
  <c r="AF51" i="14"/>
  <c r="AE66" i="14"/>
  <c r="AQ61" i="15"/>
  <c r="AR54" i="15" s="1"/>
  <c r="AQ64" i="15"/>
  <c r="AR57" i="15" s="1"/>
  <c r="AP63" i="15"/>
  <c r="AQ56" i="15" s="1"/>
  <c r="AS59" i="14"/>
  <c r="AT52" i="14" s="1"/>
  <c r="AF58" i="14"/>
  <c r="AF64" i="14" s="1"/>
  <c r="AT61" i="14"/>
  <c r="AU54" i="14" s="1"/>
  <c r="AS60" i="14"/>
  <c r="AT53" i="14" s="1"/>
  <c r="AE63" i="14"/>
  <c r="AT62" i="14"/>
  <c r="AU55" i="14" s="1"/>
  <c r="AI60" i="15"/>
  <c r="AD55" i="15"/>
  <c r="AF66" i="14" l="1"/>
  <c r="AF63" i="14" s="1"/>
  <c r="AG51" i="14"/>
  <c r="AG58" i="14" s="1"/>
  <c r="AG64" i="14" s="1"/>
  <c r="AR64" i="15"/>
  <c r="AS57" i="15" s="1"/>
  <c r="AD62" i="15"/>
  <c r="AE55" i="15" s="1"/>
  <c r="AT59" i="14"/>
  <c r="AU52" i="14" s="1"/>
  <c r="AT60" i="14"/>
  <c r="AU53" i="14" s="1"/>
  <c r="AQ63" i="15"/>
  <c r="AR56" i="15" s="1"/>
  <c r="AR61" i="15"/>
  <c r="AS54" i="15" s="1"/>
  <c r="AU62" i="14"/>
  <c r="AV55" i="14" s="1"/>
  <c r="AV62" i="14" s="1"/>
  <c r="AW55" i="14" s="1"/>
  <c r="AW62" i="14" s="1"/>
  <c r="AX55" i="14" s="1"/>
  <c r="AU61" i="14"/>
  <c r="AV54" i="14" s="1"/>
  <c r="AV61" i="14" s="1"/>
  <c r="AW54" i="14" s="1"/>
  <c r="AW61" i="14" s="1"/>
  <c r="AX54" i="14" s="1"/>
  <c r="AJ53" i="15"/>
  <c r="AX61" i="14" l="1"/>
  <c r="N81" i="1"/>
  <c r="O64" i="1" s="1"/>
  <c r="O71" i="1" s="1"/>
  <c r="P64" i="1" s="1"/>
  <c r="P71" i="1" s="1"/>
  <c r="Q64" i="1" s="1"/>
  <c r="Q71" i="1" s="1"/>
  <c r="R64" i="1" s="1"/>
  <c r="R71" i="1" s="1"/>
  <c r="S64" i="1" s="1"/>
  <c r="S71" i="1" s="1"/>
  <c r="T64" i="1" s="1"/>
  <c r="T71" i="1" s="1"/>
  <c r="U64" i="1" s="1"/>
  <c r="U71" i="1" s="1"/>
  <c r="V64" i="1" s="1"/>
  <c r="V71" i="1" s="1"/>
  <c r="W64" i="1" s="1"/>
  <c r="W71" i="1" s="1"/>
  <c r="X64" i="1" s="1"/>
  <c r="X71" i="1" s="1"/>
  <c r="Y64" i="1" s="1"/>
  <c r="Y71" i="1" s="1"/>
  <c r="Z64" i="1" s="1"/>
  <c r="Z71" i="1" s="1"/>
  <c r="G7" i="1" s="1"/>
  <c r="H7" i="1" s="1"/>
  <c r="C29" i="5" s="1"/>
  <c r="AX62" i="14"/>
  <c r="N82" i="1" s="1"/>
  <c r="O65" i="1" s="1"/>
  <c r="O72" i="1" s="1"/>
  <c r="P65" i="1" s="1"/>
  <c r="P72" i="1" s="1"/>
  <c r="Q65" i="1" s="1"/>
  <c r="Q72" i="1" s="1"/>
  <c r="R65" i="1" s="1"/>
  <c r="R72" i="1" s="1"/>
  <c r="S65" i="1" s="1"/>
  <c r="S72" i="1" s="1"/>
  <c r="T65" i="1" s="1"/>
  <c r="T72" i="1" s="1"/>
  <c r="U65" i="1" s="1"/>
  <c r="U72" i="1" s="1"/>
  <c r="V65" i="1" s="1"/>
  <c r="V72" i="1" s="1"/>
  <c r="W65" i="1" s="1"/>
  <c r="W72" i="1" s="1"/>
  <c r="X65" i="1" s="1"/>
  <c r="X72" i="1" s="1"/>
  <c r="Y65" i="1" s="1"/>
  <c r="Y72" i="1" s="1"/>
  <c r="Z65" i="1" s="1"/>
  <c r="Z72" i="1" s="1"/>
  <c r="G8" i="1" s="1"/>
  <c r="H8" i="1" s="1"/>
  <c r="C30" i="5" s="1"/>
  <c r="AS61" i="15"/>
  <c r="AT54" i="15" s="1"/>
  <c r="AU60" i="14"/>
  <c r="AV53" i="14" s="1"/>
  <c r="AV60" i="14" s="1"/>
  <c r="AW53" i="14" s="1"/>
  <c r="AW60" i="14" s="1"/>
  <c r="AX53" i="14" s="1"/>
  <c r="AE62" i="15"/>
  <c r="AE66" i="15" s="1"/>
  <c r="AU59" i="14"/>
  <c r="AG66" i="14"/>
  <c r="AS64" i="15"/>
  <c r="AT57" i="15" s="1"/>
  <c r="AR63" i="15"/>
  <c r="AS56" i="15" s="1"/>
  <c r="AD66" i="15"/>
  <c r="AD68" i="15"/>
  <c r="AJ60" i="15"/>
  <c r="AK53" i="15" s="1"/>
  <c r="AH51" i="14"/>
  <c r="AX60" i="14" l="1"/>
  <c r="N80" i="1"/>
  <c r="O63" i="1" s="1"/>
  <c r="AV52" i="14"/>
  <c r="AF55" i="15"/>
  <c r="AF62" i="15" s="1"/>
  <c r="AF66" i="15" s="1"/>
  <c r="AS63" i="15"/>
  <c r="AT56" i="15" s="1"/>
  <c r="AK60" i="15"/>
  <c r="AE68" i="15"/>
  <c r="AD65" i="15"/>
  <c r="AH58" i="14"/>
  <c r="AH64" i="14" s="1"/>
  <c r="AT61" i="15"/>
  <c r="AU54" i="15" s="1"/>
  <c r="AT64" i="15"/>
  <c r="AU57" i="15" s="1"/>
  <c r="AG63" i="14"/>
  <c r="O70" i="1" l="1"/>
  <c r="AH66" i="14"/>
  <c r="AI51" i="14"/>
  <c r="F8" i="14"/>
  <c r="G8" i="14" s="1"/>
  <c r="AV59" i="14"/>
  <c r="AW52" i="14" s="1"/>
  <c r="AW59" i="14" s="1"/>
  <c r="AX52" i="14" s="1"/>
  <c r="AU61" i="15"/>
  <c r="AV54" i="15" s="1"/>
  <c r="AT63" i="15"/>
  <c r="AU56" i="15" s="1"/>
  <c r="AG55" i="15"/>
  <c r="AL53" i="15"/>
  <c r="AI58" i="14"/>
  <c r="AI64" i="14" s="1"/>
  <c r="AU64" i="15"/>
  <c r="AV57" i="15" s="1"/>
  <c r="AH63" i="14"/>
  <c r="AE65" i="15"/>
  <c r="AF68" i="15"/>
  <c r="P63" i="1" l="1"/>
  <c r="AX59" i="14"/>
  <c r="N79" i="1"/>
  <c r="O62" i="1" s="1"/>
  <c r="O69" i="1" s="1"/>
  <c r="P62" i="1" s="1"/>
  <c r="P69" i="1" s="1"/>
  <c r="Q62" i="1" s="1"/>
  <c r="Q69" i="1" s="1"/>
  <c r="R62" i="1" s="1"/>
  <c r="R69" i="1" s="1"/>
  <c r="S62" i="1" s="1"/>
  <c r="S69" i="1" s="1"/>
  <c r="T62" i="1" s="1"/>
  <c r="T69" i="1" s="1"/>
  <c r="U62" i="1" s="1"/>
  <c r="U69" i="1" s="1"/>
  <c r="V62" i="1" s="1"/>
  <c r="V69" i="1" s="1"/>
  <c r="W62" i="1" s="1"/>
  <c r="W69" i="1" s="1"/>
  <c r="X62" i="1" s="1"/>
  <c r="X69" i="1" s="1"/>
  <c r="AI66" i="14"/>
  <c r="AI63" i="14" s="1"/>
  <c r="C8" i="5"/>
  <c r="F7" i="14"/>
  <c r="G7" i="14" s="1"/>
  <c r="F5" i="14"/>
  <c r="G5" i="14" s="1"/>
  <c r="AV61" i="15"/>
  <c r="AW54" i="15" s="1"/>
  <c r="AU63" i="15"/>
  <c r="AV56" i="15" s="1"/>
  <c r="AF65" i="15"/>
  <c r="AL60" i="15"/>
  <c r="AM53" i="15" s="1"/>
  <c r="AG62" i="15"/>
  <c r="AG66" i="15" s="1"/>
  <c r="AV64" i="15"/>
  <c r="AW57" i="15" s="1"/>
  <c r="AJ51" i="14"/>
  <c r="Y62" i="1" l="1"/>
  <c r="Y69" i="1" s="1"/>
  <c r="Z62" i="1" s="1"/>
  <c r="Z69" i="1" s="1"/>
  <c r="G5" i="1" s="1"/>
  <c r="H5" i="1" s="1"/>
  <c r="C27" i="5" s="1"/>
  <c r="M8" i="5"/>
  <c r="D19" i="13" s="1"/>
  <c r="D30" i="13" s="1"/>
  <c r="J8" i="5"/>
  <c r="P70" i="1"/>
  <c r="C7" i="5"/>
  <c r="F6" i="14"/>
  <c r="G6" i="14" s="1"/>
  <c r="AH55" i="15"/>
  <c r="AH62" i="15" s="1"/>
  <c r="AH66" i="15" s="1"/>
  <c r="AJ58" i="14"/>
  <c r="AW61" i="15"/>
  <c r="AX54" i="15" s="1"/>
  <c r="AV63" i="15"/>
  <c r="AW56" i="15" s="1"/>
  <c r="AG68" i="15"/>
  <c r="AM60" i="15"/>
  <c r="AN53" i="15" s="1"/>
  <c r="AW64" i="15"/>
  <c r="AX57" i="15" s="1"/>
  <c r="M7" i="5" l="1"/>
  <c r="D18" i="13" s="1"/>
  <c r="D29" i="13" s="1"/>
  <c r="J7" i="5"/>
  <c r="AX64" i="15"/>
  <c r="F8" i="15" s="1"/>
  <c r="G8" i="15" s="1"/>
  <c r="AX61" i="15"/>
  <c r="F5" i="15" s="1"/>
  <c r="G5" i="15" s="1"/>
  <c r="C5" i="5"/>
  <c r="J5" i="5" s="1"/>
  <c r="Q63" i="1"/>
  <c r="AI55" i="15"/>
  <c r="AI62" i="15" s="1"/>
  <c r="AI66" i="15" s="1"/>
  <c r="AW63" i="15"/>
  <c r="AX56" i="15" s="1"/>
  <c r="AN60" i="15"/>
  <c r="AO53" i="15" s="1"/>
  <c r="AG65" i="15"/>
  <c r="AH68" i="15"/>
  <c r="AJ64" i="14"/>
  <c r="AJ66" i="14"/>
  <c r="AK51" i="14"/>
  <c r="M5" i="5" l="1"/>
  <c r="D16" i="13" s="1"/>
  <c r="D27" i="13" s="1"/>
  <c r="N70" i="11"/>
  <c r="B8" i="11" s="1"/>
  <c r="E8" i="11" s="1"/>
  <c r="AX63" i="15"/>
  <c r="F7" i="15" s="1"/>
  <c r="G7" i="15" s="1"/>
  <c r="N67" i="11"/>
  <c r="Q70" i="1"/>
  <c r="R63" i="1" s="1"/>
  <c r="R70" i="1" s="1"/>
  <c r="S63" i="1" s="1"/>
  <c r="AJ55" i="15"/>
  <c r="AJ62" i="15" s="1"/>
  <c r="AJ66" i="15" s="1"/>
  <c r="AI68" i="15"/>
  <c r="AH65" i="15"/>
  <c r="AO60" i="15"/>
  <c r="AP53" i="15" s="1"/>
  <c r="AK58" i="14"/>
  <c r="AK64" i="14" s="1"/>
  <c r="AJ63" i="14"/>
  <c r="O53" i="11" l="1"/>
  <c r="O60" i="11" s="1"/>
  <c r="B5" i="11"/>
  <c r="E5" i="11" s="1"/>
  <c r="O50" i="11"/>
  <c r="O57" i="11" s="1"/>
  <c r="N69" i="11"/>
  <c r="P53" i="11"/>
  <c r="P60" i="11" s="1"/>
  <c r="Q53" i="11" s="1"/>
  <c r="Q60" i="11" s="1"/>
  <c r="R53" i="11" s="1"/>
  <c r="R60" i="11" s="1"/>
  <c r="S53" i="11" s="1"/>
  <c r="S60" i="11" s="1"/>
  <c r="T53" i="11" s="1"/>
  <c r="T60" i="11" s="1"/>
  <c r="U53" i="11" s="1"/>
  <c r="U60" i="11" s="1"/>
  <c r="V53" i="11" s="1"/>
  <c r="V60" i="11" s="1"/>
  <c r="W53" i="11" s="1"/>
  <c r="S70" i="1"/>
  <c r="T63" i="1"/>
  <c r="AK66" i="14"/>
  <c r="AL51" i="14"/>
  <c r="AP60" i="15"/>
  <c r="AQ53" i="15" s="1"/>
  <c r="AL58" i="14"/>
  <c r="AL64" i="14" s="1"/>
  <c r="AK63" i="14"/>
  <c r="AL66" i="14"/>
  <c r="AI65" i="15"/>
  <c r="AJ68" i="15"/>
  <c r="AK55" i="15"/>
  <c r="W60" i="11" l="1"/>
  <c r="X53" i="11" s="1"/>
  <c r="X60" i="11" s="1"/>
  <c r="Y53" i="11" s="1"/>
  <c r="Y60" i="11" s="1"/>
  <c r="Z53" i="11" s="1"/>
  <c r="Z60" i="11" s="1"/>
  <c r="B7" i="11"/>
  <c r="E7" i="11" s="1"/>
  <c r="O52" i="11"/>
  <c r="O59" i="11" s="1"/>
  <c r="P52" i="11" s="1"/>
  <c r="P59" i="11" s="1"/>
  <c r="Q52" i="11" s="1"/>
  <c r="Q59" i="11" s="1"/>
  <c r="R52" i="11" s="1"/>
  <c r="R59" i="11" s="1"/>
  <c r="S52" i="11" s="1"/>
  <c r="S59" i="11" s="1"/>
  <c r="T52" i="11" s="1"/>
  <c r="T59" i="11" s="1"/>
  <c r="U52" i="11" s="1"/>
  <c r="U59" i="11" s="1"/>
  <c r="V52" i="11" s="1"/>
  <c r="P50" i="11"/>
  <c r="T70" i="1"/>
  <c r="U63" i="1"/>
  <c r="AJ65" i="15"/>
  <c r="AL63" i="14"/>
  <c r="AM51" i="14"/>
  <c r="AQ60" i="15"/>
  <c r="AR53" i="15" s="1"/>
  <c r="AK62" i="15"/>
  <c r="AK66" i="15" s="1"/>
  <c r="F8" i="11" l="1"/>
  <c r="G8" i="11" s="1"/>
  <c r="V59" i="11"/>
  <c r="W52" i="11" s="1"/>
  <c r="P57" i="11"/>
  <c r="Q50" i="11" s="1"/>
  <c r="Q57" i="11" s="1"/>
  <c r="R50" i="11" s="1"/>
  <c r="R57" i="11" s="1"/>
  <c r="S50" i="11" s="1"/>
  <c r="S57" i="11" s="1"/>
  <c r="T50" i="11" s="1"/>
  <c r="T57" i="11" s="1"/>
  <c r="U50" i="11" s="1"/>
  <c r="U70" i="1"/>
  <c r="V63" i="1"/>
  <c r="AR60" i="15"/>
  <c r="AL55" i="15"/>
  <c r="AM58" i="14"/>
  <c r="AK68" i="15"/>
  <c r="D30" i="5" l="1"/>
  <c r="D8" i="5" s="1"/>
  <c r="K8" i="5" s="1"/>
  <c r="W59" i="11"/>
  <c r="X52" i="11"/>
  <c r="U57" i="11"/>
  <c r="V50" i="11" s="1"/>
  <c r="V57" i="11" s="1"/>
  <c r="W50" i="11" s="1"/>
  <c r="V70" i="1"/>
  <c r="W63" i="1"/>
  <c r="AL62" i="15"/>
  <c r="AL66" i="15" s="1"/>
  <c r="AS53" i="15"/>
  <c r="AK65" i="15"/>
  <c r="AM64" i="14"/>
  <c r="AM66" i="14"/>
  <c r="AN51" i="14"/>
  <c r="N8" i="5" l="1"/>
  <c r="P8" i="5" s="1"/>
  <c r="I20" i="5"/>
  <c r="H8" i="5"/>
  <c r="L8" i="5" s="1"/>
  <c r="F30" i="5"/>
  <c r="I30" i="5" s="1"/>
  <c r="K30" i="5" s="1"/>
  <c r="X59" i="11"/>
  <c r="Y52" i="11" s="1"/>
  <c r="Y59" i="11" s="1"/>
  <c r="Z52" i="11" s="1"/>
  <c r="Z59" i="11" s="1"/>
  <c r="W57" i="11"/>
  <c r="X50" i="11" s="1"/>
  <c r="W70" i="1"/>
  <c r="X63" i="1" s="1"/>
  <c r="AL68" i="15"/>
  <c r="AL65" i="15" s="1"/>
  <c r="AM55" i="15"/>
  <c r="AM62" i="15" s="1"/>
  <c r="AM66" i="15" s="1"/>
  <c r="AM63" i="14"/>
  <c r="AS60" i="15"/>
  <c r="AT53" i="15" s="1"/>
  <c r="AN58" i="14"/>
  <c r="AN64" i="14" s="1"/>
  <c r="X57" i="11" l="1"/>
  <c r="Y50" i="11" s="1"/>
  <c r="Y57" i="11" s="1"/>
  <c r="Z50" i="11" s="1"/>
  <c r="Z57" i="11" s="1"/>
  <c r="F7" i="11"/>
  <c r="G7" i="11" s="1"/>
  <c r="D29" i="5" s="1"/>
  <c r="E19" i="13"/>
  <c r="E30" i="13" s="1"/>
  <c r="H30" i="13" s="1"/>
  <c r="X70" i="1"/>
  <c r="AT60" i="15"/>
  <c r="AN55" i="15"/>
  <c r="AM68" i="15"/>
  <c r="AO51" i="14"/>
  <c r="AN66" i="14"/>
  <c r="Y63" i="1" l="1"/>
  <c r="Y70" i="1" s="1"/>
  <c r="Z63" i="1" s="1"/>
  <c r="Z70" i="1" s="1"/>
  <c r="G6" i="1" s="1"/>
  <c r="H6" i="1" s="1"/>
  <c r="C28" i="5" s="1"/>
  <c r="X76" i="1"/>
  <c r="X73" i="1" s="1"/>
  <c r="D7" i="5"/>
  <c r="F29" i="5"/>
  <c r="I29" i="5" s="1"/>
  <c r="K29" i="5" s="1"/>
  <c r="F5" i="11"/>
  <c r="G5" i="11" s="1"/>
  <c r="D27" i="5" s="1"/>
  <c r="AM65" i="15"/>
  <c r="AN62" i="15"/>
  <c r="AN66" i="15" s="1"/>
  <c r="AO66" i="14"/>
  <c r="AN63" i="14"/>
  <c r="AO58" i="14"/>
  <c r="AO64" i="14" s="1"/>
  <c r="AU53" i="15"/>
  <c r="F27" i="5" l="1"/>
  <c r="I27" i="5" s="1"/>
  <c r="K27" i="5" s="1"/>
  <c r="D5" i="5"/>
  <c r="H7" i="5"/>
  <c r="I19" i="5"/>
  <c r="N7" i="5"/>
  <c r="K7" i="5"/>
  <c r="C6" i="5"/>
  <c r="AO55" i="15"/>
  <c r="AO63" i="14"/>
  <c r="AN68" i="15"/>
  <c r="AU60" i="15"/>
  <c r="AV53" i="15" s="1"/>
  <c r="AP51" i="14"/>
  <c r="L7" i="5" l="1"/>
  <c r="K5" i="5"/>
  <c r="H5" i="5"/>
  <c r="I17" i="5"/>
  <c r="N5" i="5"/>
  <c r="P5" i="5" s="1"/>
  <c r="P7" i="5"/>
  <c r="E18" i="13"/>
  <c r="E29" i="13" s="1"/>
  <c r="H29" i="13" s="1"/>
  <c r="M6" i="5"/>
  <c r="D17" i="13" s="1"/>
  <c r="D28" i="13" s="1"/>
  <c r="J6" i="5"/>
  <c r="AN65" i="15"/>
  <c r="AP58" i="14"/>
  <c r="AQ51" i="14" s="1"/>
  <c r="AV60" i="15"/>
  <c r="AW53" i="15" s="1"/>
  <c r="AO62" i="15"/>
  <c r="AO66" i="15" s="1"/>
  <c r="E16" i="13" l="1"/>
  <c r="E27" i="13" s="1"/>
  <c r="H27" i="13" s="1"/>
  <c r="L5" i="5"/>
  <c r="AP64" i="14"/>
  <c r="AP66" i="14"/>
  <c r="AQ58" i="14"/>
  <c r="AQ64" i="14" s="1"/>
  <c r="AW60" i="15"/>
  <c r="AX53" i="15" s="1"/>
  <c r="AP55" i="15"/>
  <c r="AO68" i="15"/>
  <c r="AX60" i="15" l="1"/>
  <c r="F4" i="15" s="1"/>
  <c r="AR51" i="14"/>
  <c r="AQ66" i="14"/>
  <c r="AP63" i="14"/>
  <c r="AP62" i="15"/>
  <c r="AP66" i="15" s="1"/>
  <c r="AR58" i="14"/>
  <c r="AR64" i="14" s="1"/>
  <c r="AO65" i="15"/>
  <c r="N66" i="11" l="1"/>
  <c r="B4" i="11" s="1"/>
  <c r="AP68" i="15"/>
  <c r="AP65" i="15" s="1"/>
  <c r="AQ55" i="15"/>
  <c r="AQ62" i="15" s="1"/>
  <c r="AQ66" i="15" s="1"/>
  <c r="AS51" i="14"/>
  <c r="AR66" i="14"/>
  <c r="AQ63" i="14"/>
  <c r="G4" i="15"/>
  <c r="O49" i="11" l="1"/>
  <c r="O56" i="11" s="1"/>
  <c r="P49" i="11" s="1"/>
  <c r="E4" i="11"/>
  <c r="AR63" i="14"/>
  <c r="AQ68" i="15"/>
  <c r="AR55" i="15"/>
  <c r="AS58" i="14"/>
  <c r="AS64" i="14" s="1"/>
  <c r="AT51" i="14"/>
  <c r="P56" i="11" l="1"/>
  <c r="Q49" i="11" s="1"/>
  <c r="Q56" i="11" s="1"/>
  <c r="AR62" i="15"/>
  <c r="AR66" i="15" s="1"/>
  <c r="AT58" i="14"/>
  <c r="AT64" i="14" s="1"/>
  <c r="AQ65" i="15"/>
  <c r="AS66" i="14"/>
  <c r="R49" i="11" l="1"/>
  <c r="AR68" i="15"/>
  <c r="AS55" i="15"/>
  <c r="AS63" i="14"/>
  <c r="AT66" i="14"/>
  <c r="AU51" i="14"/>
  <c r="R56" i="11" l="1"/>
  <c r="S49" i="11" s="1"/>
  <c r="AT63" i="14"/>
  <c r="AS62" i="15"/>
  <c r="AS66" i="15" s="1"/>
  <c r="AU58" i="14"/>
  <c r="AU64" i="14" s="1"/>
  <c r="AR65" i="15"/>
  <c r="S56" i="11" l="1"/>
  <c r="T49" i="11" s="1"/>
  <c r="T56" i="11" s="1"/>
  <c r="AS68" i="15"/>
  <c r="AS65" i="15" s="1"/>
  <c r="AV51" i="14"/>
  <c r="AV58" i="14" s="1"/>
  <c r="AV64" i="14" s="1"/>
  <c r="AT55" i="15"/>
  <c r="AU66" i="14"/>
  <c r="U49" i="11" l="1"/>
  <c r="U56" i="11" s="1"/>
  <c r="AW51" i="14"/>
  <c r="AV66" i="14"/>
  <c r="AV63" i="14" s="1"/>
  <c r="AW58" i="14"/>
  <c r="AX51" i="14" s="1"/>
  <c r="AU63" i="14"/>
  <c r="AT62" i="15"/>
  <c r="AU55" i="15" s="1"/>
  <c r="V49" i="11" l="1"/>
  <c r="AX58" i="14"/>
  <c r="AX64" i="14" s="1"/>
  <c r="N78" i="1"/>
  <c r="AW66" i="14"/>
  <c r="AW64" i="14"/>
  <c r="AU62" i="15"/>
  <c r="AU66" i="15" s="1"/>
  <c r="AT66" i="15"/>
  <c r="AT68" i="15"/>
  <c r="V56" i="11" l="1"/>
  <c r="W49" i="11" s="1"/>
  <c r="O68" i="1"/>
  <c r="AW63" i="14"/>
  <c r="AX66" i="14"/>
  <c r="AU68" i="15"/>
  <c r="AT65" i="15"/>
  <c r="AV55" i="15"/>
  <c r="F4" i="14"/>
  <c r="W56" i="11" l="1"/>
  <c r="X49" i="11" s="1"/>
  <c r="AX63" i="14"/>
  <c r="AV62" i="15"/>
  <c r="AV66" i="15" s="1"/>
  <c r="F9" i="14"/>
  <c r="F10" i="14" s="1"/>
  <c r="G4" i="14"/>
  <c r="AU65" i="15"/>
  <c r="X56" i="11" l="1"/>
  <c r="Y49" i="11" s="1"/>
  <c r="AV68" i="15"/>
  <c r="AV65" i="15" s="1"/>
  <c r="P68" i="1"/>
  <c r="Q61" i="1" s="1"/>
  <c r="P76" i="1"/>
  <c r="AW55" i="15"/>
  <c r="AW62" i="15" s="1"/>
  <c r="AW66" i="15" s="1"/>
  <c r="G9" i="14"/>
  <c r="Y56" i="11" l="1"/>
  <c r="Z49" i="11"/>
  <c r="Z56" i="11" s="1"/>
  <c r="Q68" i="1"/>
  <c r="Q74" i="1" s="1"/>
  <c r="P74" i="1"/>
  <c r="P73" i="1"/>
  <c r="Q76" i="1"/>
  <c r="AX55" i="15"/>
  <c r="AW68" i="15"/>
  <c r="F4" i="11" l="1"/>
  <c r="G4" i="11" s="1"/>
  <c r="AX62" i="15"/>
  <c r="N68" i="11" s="1"/>
  <c r="R61" i="1"/>
  <c r="R68" i="1" s="1"/>
  <c r="Q73" i="1"/>
  <c r="AW65" i="15"/>
  <c r="D26" i="5" l="1"/>
  <c r="D4" i="5" s="1"/>
  <c r="N4" i="5" s="1"/>
  <c r="E15" i="13" s="1"/>
  <c r="E26" i="13" s="1"/>
  <c r="AX68" i="15"/>
  <c r="AX65" i="15" s="1"/>
  <c r="B6" i="11"/>
  <c r="O51" i="11"/>
  <c r="O58" i="11" s="1"/>
  <c r="AX66" i="15"/>
  <c r="F6" i="15"/>
  <c r="R76" i="1"/>
  <c r="R73" i="1" s="1"/>
  <c r="S61" i="1"/>
  <c r="S68" i="1"/>
  <c r="S74" i="1" s="1"/>
  <c r="R74" i="1"/>
  <c r="N65" i="11" l="1"/>
  <c r="K4" i="5"/>
  <c r="O64" i="11"/>
  <c r="O61" i="11" s="1"/>
  <c r="P51" i="11"/>
  <c r="P58" i="11" s="1"/>
  <c r="O62" i="11"/>
  <c r="G6" i="15"/>
  <c r="G9" i="15" s="1"/>
  <c r="F9" i="15"/>
  <c r="F10" i="15" s="1"/>
  <c r="E6" i="11"/>
  <c r="E9" i="11" s="1"/>
  <c r="B9" i="11"/>
  <c r="S76" i="1"/>
  <c r="S73" i="1" s="1"/>
  <c r="T61" i="1"/>
  <c r="T68" i="1" s="1"/>
  <c r="Q51" i="11" l="1"/>
  <c r="Q58" i="11" s="1"/>
  <c r="P62" i="11"/>
  <c r="P64" i="11"/>
  <c r="T76" i="1"/>
  <c r="T73" i="1" s="1"/>
  <c r="U61" i="1"/>
  <c r="U68" i="1" s="1"/>
  <c r="T74" i="1"/>
  <c r="P61" i="11" l="1"/>
  <c r="Q64" i="11"/>
  <c r="R51" i="11"/>
  <c r="Q62" i="11"/>
  <c r="U74" i="1"/>
  <c r="V61" i="1"/>
  <c r="U76" i="1"/>
  <c r="U73" i="1" s="1"/>
  <c r="R58" i="11" l="1"/>
  <c r="S51" i="11" s="1"/>
  <c r="S58" i="11" s="1"/>
  <c r="Q61" i="11"/>
  <c r="R64" i="11"/>
  <c r="V68" i="1"/>
  <c r="V76" i="1" s="1"/>
  <c r="V73" i="1" s="1"/>
  <c r="V74" i="1"/>
  <c r="R61" i="11" l="1"/>
  <c r="S64" i="11"/>
  <c r="T51" i="11"/>
  <c r="T58" i="11" s="1"/>
  <c r="S62" i="11"/>
  <c r="R62" i="11"/>
  <c r="W61" i="1"/>
  <c r="W68" i="1" s="1"/>
  <c r="U51" i="11" l="1"/>
  <c r="U58" i="11" s="1"/>
  <c r="T62" i="11"/>
  <c r="S61" i="11"/>
  <c r="T64" i="11"/>
  <c r="W74" i="1"/>
  <c r="W76" i="1"/>
  <c r="W73" i="1" s="1"/>
  <c r="X74" i="1"/>
  <c r="T61" i="11" l="1"/>
  <c r="U64" i="11"/>
  <c r="V51" i="11"/>
  <c r="V58" i="11" s="1"/>
  <c r="U62" i="11"/>
  <c r="Y68" i="1"/>
  <c r="Y74" i="1" s="1"/>
  <c r="W51" i="11" l="1"/>
  <c r="V62" i="11"/>
  <c r="U61" i="11"/>
  <c r="V64" i="11"/>
  <c r="Y76" i="1"/>
  <c r="Y73" i="1" s="1"/>
  <c r="Z61" i="1"/>
  <c r="Z68" i="1" s="1"/>
  <c r="G4" i="1" s="1"/>
  <c r="H4" i="1" s="1"/>
  <c r="C26" i="5" s="1"/>
  <c r="C4" i="5" s="1"/>
  <c r="J4" i="5" l="1"/>
  <c r="I16" i="5"/>
  <c r="H4" i="5"/>
  <c r="W58" i="11"/>
  <c r="V61" i="11"/>
  <c r="G9" i="1"/>
  <c r="G10" i="1" s="1"/>
  <c r="Z74" i="1"/>
  <c r="Z76" i="1"/>
  <c r="Z73" i="1" s="1"/>
  <c r="L4" i="5" l="1"/>
  <c r="W62" i="11"/>
  <c r="W64" i="11"/>
  <c r="W61" i="11" s="1"/>
  <c r="X51" i="11"/>
  <c r="X58" i="11" s="1"/>
  <c r="H9" i="1"/>
  <c r="Y51" i="11" l="1"/>
  <c r="Y58" i="11" s="1"/>
  <c r="X62" i="11"/>
  <c r="X64" i="11"/>
  <c r="X61" i="11" s="1"/>
  <c r="F26" i="5"/>
  <c r="I26" i="5" s="1"/>
  <c r="K26" i="5" l="1"/>
  <c r="Z51" i="11"/>
  <c r="Z58" i="11" s="1"/>
  <c r="Y64" i="11"/>
  <c r="Y61" i="11" s="1"/>
  <c r="Y62" i="11"/>
  <c r="M4" i="5"/>
  <c r="P4" i="5" s="1"/>
  <c r="Z62" i="11" l="1"/>
  <c r="Z64" i="11"/>
  <c r="Z61" i="11" s="1"/>
  <c r="F6" i="11"/>
  <c r="G6" i="11" l="1"/>
  <c r="D28" i="5" s="1"/>
  <c r="F9" i="11"/>
  <c r="F10" i="11" s="1"/>
  <c r="D15" i="13"/>
  <c r="D26" i="13" s="1"/>
  <c r="H26" i="13" s="1"/>
  <c r="G9" i="11" l="1"/>
  <c r="D6" i="5" l="1"/>
  <c r="F28" i="5"/>
  <c r="I28" i="5" s="1"/>
  <c r="K28" i="5" l="1"/>
  <c r="K32" i="5" s="1"/>
  <c r="I32" i="5"/>
  <c r="K6" i="5"/>
  <c r="H6" i="5"/>
  <c r="I18" i="5"/>
  <c r="I22" i="5" s="1"/>
  <c r="N6" i="5"/>
  <c r="P6" i="5" l="1"/>
  <c r="E17" i="13"/>
  <c r="E28" i="13" s="1"/>
  <c r="H28" i="13" s="1"/>
  <c r="L6" i="5"/>
</calcChain>
</file>

<file path=xl/comments1.xml><?xml version="1.0" encoding="utf-8"?>
<comments xmlns="http://schemas.openxmlformats.org/spreadsheetml/2006/main">
  <authors>
    <author>Logan, Raysene</author>
  </authors>
  <commentList>
    <comment ref="N77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Feb 1, 2017, ending MEEIA 1 balance rolled into MEEIA 2</t>
        </r>
      </text>
    </comment>
    <comment ref="X78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Interest on Cardinals sign/radio allocation adjustments will be booked in November</t>
        </r>
      </text>
    </comment>
  </commentList>
</comments>
</file>

<file path=xl/comments2.xml><?xml version="1.0" encoding="utf-8"?>
<comments xmlns="http://schemas.openxmlformats.org/spreadsheetml/2006/main">
  <authors>
    <author>Logan, Raysene</author>
  </authors>
  <commentList>
    <comment ref="N65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Feb 1, 2017, ending MEEIA 1 balance rolled into MEEIA 2</t>
        </r>
      </text>
    </comment>
  </commentList>
</comments>
</file>

<file path=xl/comments3.xml><?xml version="1.0" encoding="utf-8"?>
<comments xmlns="http://schemas.openxmlformats.org/spreadsheetml/2006/main">
  <authors>
    <author>Logan, Raysene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Split OA between PC and TD rates to the right</t>
        </r>
      </text>
    </comment>
  </commentList>
</comments>
</file>

<file path=xl/sharedStrings.xml><?xml version="1.0" encoding="utf-8"?>
<sst xmlns="http://schemas.openxmlformats.org/spreadsheetml/2006/main" count="621" uniqueCount="178">
  <si>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</si>
  <si>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</si>
  <si>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</si>
  <si>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</si>
  <si>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</si>
  <si>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</si>
  <si>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</si>
  <si>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</si>
  <si>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Allocations</t>
  </si>
  <si>
    <t>Total</t>
  </si>
  <si>
    <t>PPC</t>
  </si>
  <si>
    <t>Program Cost Calculation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</si>
  <si>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</si>
  <si>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</si>
  <si>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</si>
  <si>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</si>
  <si>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</si>
  <si>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</si>
  <si>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</si>
  <si>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</si>
  <si>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</si>
  <si>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</si>
  <si>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</si>
  <si>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</si>
  <si>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</si>
  <si>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</si>
  <si>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CHECK</t>
  </si>
  <si>
    <t>INPUTS</t>
  </si>
  <si>
    <t>2. Forecasted program costs by allocation bucket (RES, BUS, Low Income, Common/General)</t>
  </si>
  <si>
    <t>For CSS</t>
  </si>
  <si>
    <t>Program Cost Rate</t>
  </si>
  <si>
    <t>Effective Period kWh</t>
  </si>
  <si>
    <t>1. RES</t>
  </si>
  <si>
    <t>RA ($)</t>
  </si>
  <si>
    <t>NPC</t>
  </si>
  <si>
    <t>NTD</t>
  </si>
  <si>
    <t>NOA</t>
  </si>
  <si>
    <t>Forecasted Program Costs</t>
  </si>
  <si>
    <t>RES excluding low income</t>
  </si>
  <si>
    <t>2. Total</t>
  </si>
  <si>
    <t>3. Low income exemption</t>
  </si>
  <si>
    <t>3. Low income exemption %</t>
  </si>
  <si>
    <t>Rounded</t>
  </si>
  <si>
    <t>EOR ($)</t>
  </si>
  <si>
    <t>EO ($)</t>
  </si>
  <si>
    <t>NEO</t>
  </si>
  <si>
    <t>TD Rate</t>
  </si>
  <si>
    <t>1. Forecasted kWh by Rate Class (Reduced for Opt-Out, Includes Low Income)</t>
  </si>
  <si>
    <t>NPC/PE</t>
  </si>
  <si>
    <t>($/kWh)</t>
  </si>
  <si>
    <t>NTD/PE</t>
  </si>
  <si>
    <t>NPI/PE</t>
  </si>
  <si>
    <t>NOA/PE</t>
  </si>
  <si>
    <t>1(M)-Residential Service</t>
  </si>
  <si>
    <t>2(M)-Small General Service</t>
  </si>
  <si>
    <t>3(M)-Large General Service</t>
  </si>
  <si>
    <t>4(M)-Small Primary Service</t>
  </si>
  <si>
    <t>11(M)-Large Primary Service</t>
  </si>
  <si>
    <t>12(M)-Large Transmission Service</t>
  </si>
  <si>
    <t>MEEIA 2013-15 EEIR Components (Applicable to MEEIA Cycle 1 Plan)</t>
  </si>
  <si>
    <t>MEEIA 2016-18 EEIR Components (Applicable to MEEIA Cycle 2 Plan)</t>
  </si>
  <si>
    <t>(NEO+NPI)</t>
  </si>
  <si>
    <t>EEIR</t>
  </si>
  <si>
    <t>Summary EEIR Components and Total EEIR</t>
  </si>
  <si>
    <t>Throughput Disincentive Calculation</t>
  </si>
  <si>
    <t>1. TD to be included in rates (includes low income)</t>
  </si>
  <si>
    <t>1. PTD</t>
  </si>
  <si>
    <t>NEO/PE</t>
  </si>
  <si>
    <t>Revenues</t>
  </si>
  <si>
    <t>Interest</t>
  </si>
  <si>
    <t>TDR</t>
  </si>
  <si>
    <t>FORECASTED</t>
  </si>
  <si>
    <t>SOURCE: GL</t>
  </si>
  <si>
    <t>Over/Under</t>
  </si>
  <si>
    <t>Cumulative Over/Under</t>
  </si>
  <si>
    <t>cumulative check</t>
  </si>
  <si>
    <t>monthly interest check</t>
  </si>
  <si>
    <t>Regulatory Asset/(Liability)</t>
  </si>
  <si>
    <t>Starting Balance</t>
  </si>
  <si>
    <t>1. Actual TD</t>
  </si>
  <si>
    <t>Actual TD</t>
  </si>
  <si>
    <t>Program Cost Reconciliation Calculation</t>
  </si>
  <si>
    <t>Billed kWh</t>
  </si>
  <si>
    <t>PCR</t>
  </si>
  <si>
    <t>1. Actual monthly program costs by allocation bucket (RES, BUS, Low Income, Common/General)</t>
  </si>
  <si>
    <t>3. Actual monthly billed revenues by rate class (program cost revenues only)</t>
  </si>
  <si>
    <t>4. Total monthly interest booked</t>
  </si>
  <si>
    <t>1. Actual Program Costs</t>
  </si>
  <si>
    <t>Allocated Actual Program Costs</t>
  </si>
  <si>
    <t>2. Actual KWh - Reduced for Opt-Out</t>
  </si>
  <si>
    <t>SOURCE: CSS DATA WAREHOUSE</t>
  </si>
  <si>
    <t>3. Actual Revenues - Program Costs Only</t>
  </si>
  <si>
    <t>4. Total Interest</t>
  </si>
  <si>
    <t>SOURCE: MEEIA 2 Over/Under Calculation file</t>
  </si>
  <si>
    <t>1. Actual monthly TD</t>
  </si>
  <si>
    <t>(Over)/Under</t>
  </si>
  <si>
    <t>Cumulative MWh Savings (deemed)</t>
  </si>
  <si>
    <t>Allocated TD-NSB</t>
  </si>
  <si>
    <t>1. Actual monthly TD-NSB</t>
  </si>
  <si>
    <t>3. Deemed MWh savings by rate class</t>
  </si>
  <si>
    <t>SOURCE: NSB Monthly Calculation file</t>
  </si>
  <si>
    <t>1. Actual TD-NSB</t>
  </si>
  <si>
    <t>2. Actual Revenues - TD-NSB Only</t>
  </si>
  <si>
    <t>3. Deemed Savings</t>
  </si>
  <si>
    <t>SOURCE: Energy Efficiency Team</t>
  </si>
  <si>
    <t>MWh (3-Year Cum.)</t>
  </si>
  <si>
    <t>5. Total Interest</t>
  </si>
  <si>
    <t>PCR (M1)</t>
  </si>
  <si>
    <t>TDR (M1)</t>
  </si>
  <si>
    <t>Performance Incentive Calculation</t>
  </si>
  <si>
    <t>1. PI</t>
  </si>
  <si>
    <t>Nov 2016 filing</t>
  </si>
  <si>
    <t>Nov 2017 filing</t>
  </si>
  <si>
    <t>PI</t>
  </si>
  <si>
    <t>PIR ($)</t>
  </si>
  <si>
    <t>PI ($)</t>
  </si>
  <si>
    <t>NPI</t>
  </si>
  <si>
    <t>PI Rate</t>
  </si>
  <si>
    <t>1. Total PI awarded &amp; split between 2016 and 2017 filings</t>
  </si>
  <si>
    <t>2. Cumulative 3-yr MWh savings</t>
  </si>
  <si>
    <t>2. MWh savings</t>
  </si>
  <si>
    <t>PI Totals</t>
  </si>
  <si>
    <t>2. Actual monthly kWh billed sales by rate class (reduced for opt-out)</t>
  </si>
  <si>
    <t>1F. Forecasted program costs by allocation bucket (RES, BUS, Low Income, Common/General)</t>
  </si>
  <si>
    <t>2F. Forecasted kWh billed sales by rate class (reduced for opt-out)</t>
  </si>
  <si>
    <t>4F. Forecasted interest for accrued over/under</t>
  </si>
  <si>
    <t>Program Costs</t>
  </si>
  <si>
    <t>1F. Forecasted TD</t>
  </si>
  <si>
    <t>2. Actual monthly billed revenues by rate class (TD revenues only)</t>
  </si>
  <si>
    <t>Program Cost Reconciliation Calculation - MEEIA 1</t>
  </si>
  <si>
    <t>TD-NSB Reconciliation Calculation - MEEIA 1</t>
  </si>
  <si>
    <t>TD Reconciliation Calculation</t>
  </si>
  <si>
    <t>3. SGS</t>
  </si>
  <si>
    <t>3. Business MWh savings split by rate class</t>
  </si>
  <si>
    <t>Total $</t>
  </si>
  <si>
    <t>Allocated Actual Revenue</t>
  </si>
  <si>
    <t>4. Actual Revenue Credits - Low Income Exemption</t>
  </si>
  <si>
    <t>6. Current Tariff Rate</t>
  </si>
  <si>
    <t>MEEIA 1 Ending Balance</t>
  </si>
  <si>
    <t>Projections for 2018 EEIC</t>
  </si>
  <si>
    <t>1. Actual PI Amortization</t>
  </si>
  <si>
    <t>PI Amortization</t>
  </si>
  <si>
    <t>2. Actual Revenues - Performance Incentive</t>
  </si>
  <si>
    <t>3. Actual Revenue Credits - Low Income Exemption</t>
  </si>
  <si>
    <t>5. Current Tariff Rate</t>
  </si>
  <si>
    <t>1. Actual monthly performance incentive amortization by rate class</t>
  </si>
  <si>
    <t>1F. Forecasted monthly performance incentive amortization by rate class</t>
  </si>
  <si>
    <t>2. Actual monthly billed revenues by rate class (performance incentive revenues only)</t>
  </si>
  <si>
    <t>2F. Forecasted billed revenues by rate class</t>
  </si>
  <si>
    <t>Performance Incentive Reconciliation Calculation</t>
  </si>
  <si>
    <t>5. Actual performance incentive rate component of the tariff rate</t>
  </si>
  <si>
    <t>3. Actual monthly revenue credit for low income exempt customers (performance incentive revenues only)</t>
  </si>
  <si>
    <t>PIR</t>
  </si>
  <si>
    <t>SOURCE: Caculated based on amounts in Stipulation</t>
  </si>
  <si>
    <t>2. Actual monthly billed revenues by rate class (TD-NSB revenues only)</t>
  </si>
  <si>
    <t>4. Actual monthly revenue credit for low income exempt customers (program cost revenues only)</t>
  </si>
  <si>
    <t>5. Total monthly interest booked</t>
  </si>
  <si>
    <t>5F. Forecasted interest for accrued over/under</t>
  </si>
  <si>
    <t>6. Actual program cost rate component of the tariff rate</t>
  </si>
  <si>
    <t>Beg Bal (M1)</t>
  </si>
  <si>
    <t>Ordered Adjustments</t>
  </si>
  <si>
    <t>1. OA</t>
  </si>
  <si>
    <t>4. Effective Period kWh</t>
  </si>
  <si>
    <t xml:space="preserve">Total </t>
  </si>
  <si>
    <t>MEEIA 2 PC</t>
  </si>
  <si>
    <t>MEEIA 2 TD</t>
  </si>
  <si>
    <t>5. Actual TD rate component of the tariff rate</t>
  </si>
  <si>
    <t>3. Actual monthly revenue credit for low income exempt customers (TD revenues only)</t>
  </si>
  <si>
    <t>2. OA</t>
  </si>
  <si>
    <t>OA.1</t>
  </si>
  <si>
    <t>1. Total OA from Second Prudence Review - PC</t>
  </si>
  <si>
    <t>2. Total OA from EMV 2016 - TD</t>
  </si>
  <si>
    <t>OA.2</t>
  </si>
  <si>
    <t>4. Forecasted kWh by Rate Class (Reduced for Opt-Out, Includes Low Income) - 11 Months</t>
  </si>
  <si>
    <t>2. Actual TD Revenues</t>
  </si>
  <si>
    <t>Total Reconciled</t>
  </si>
  <si>
    <t>Total Forecasted</t>
  </si>
  <si>
    <t>Interest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</si>
</sst>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0.000%"/>
    <numFmt numFmtId="171" formatCode="_(&quot;$&quot;* #,##0.000000_);_(&quot;$&quot;* \(#,##0.000000\);_(&quot;$&quot;* &quot;-&quot;??_);_(@_)"/>
    <numFmt numFmtId="172" formatCode="&quot;$&quot;#,##0.000000_);[Red]\(&quot;$&quot;#,##0.000000\)"/>
    <numFmt numFmtId="173" formatCode="_(&quot;$&quot;* #,##0.000_);_(&quot;$&quot;* \(#,##0.000\);_(&quot;$&quot;* &quot;-&quot;??_);_(@_)"/>
    <numFmt numFmtId="174" formatCode="_(* #,##0.000000_);_(* \(#,##0.00000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ourier New"/>
      <family val="3"/>
    </font>
    <font>
      <b/>
      <sz val="9"/>
      <color rgb="FF000000"/>
      <name val="Courier New"/>
      <family val="3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u/>
      <sz val="9"/>
      <color theme="1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6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medium">
        <color auto="1"/>
      </right>
      <top/>
      <bottom style="medium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auto="1"/>
      </left>
      <right/>
      <top/>
      <bottom style="thin">
        <color rgb="FF7F7F7F"/>
      </bottom>
      <diagonal/>
    </border>
    <border>
      <left/>
      <right style="medium">
        <color auto="1"/>
      </right>
      <top/>
      <bottom style="thin">
        <color rgb="FF7F7F7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/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double">
        <color rgb="FF3F3F3F"/>
      </bottom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/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5" applyNumberFormat="0" applyAlignment="0" applyProtection="0"/>
    <xf numFmtId="0" fontId="14" fillId="8" borderId="1" applyNumberFormat="0" applyAlignment="0" applyProtection="0"/>
    <xf numFmtId="0" fontId="1" fillId="9" borderId="16" applyNumberFormat="0" applyFont="0" applyAlignment="0" applyProtection="0"/>
    <xf numFmtId="0" fontId="15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5" applyNumberFormat="0" applyFill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28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342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7" xfId="0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3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9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5" xfId="12" applyNumberFormat="1"/>
    <xf numFmtId="165" fontId="5" fillId="5" borderId="14" xfId="6" applyNumberFormat="1" applyBorder="1" applyAlignment="1">
      <alignment horizontal="center"/>
    </xf>
    <xf numFmtId="0" fontId="0" fillId="0" borderId="0" xfId="0" quotePrefix="1"/>
    <xf numFmtId="10" fontId="1" fillId="9" borderId="16" xfId="14" applyNumberFormat="1" applyFont="1" applyBorder="1" applyAlignment="1">
      <alignment horizontal="center"/>
    </xf>
    <xf numFmtId="165" fontId="5" fillId="5" borderId="1" xfId="11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0" fontId="0" fillId="0" borderId="0" xfId="0" applyFill="1"/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3" fontId="0" fillId="0" borderId="0" xfId="0" applyNumberFormat="1"/>
    <xf numFmtId="172" fontId="10" fillId="7" borderId="6" xfId="0" applyNumberFormat="1" applyFont="1" applyFill="1" applyBorder="1" applyAlignment="1">
      <alignment vertical="center" wrapText="1"/>
    </xf>
    <xf numFmtId="0" fontId="0" fillId="0" borderId="0" xfId="0"/>
    <xf numFmtId="166" fontId="0" fillId="0" borderId="0" xfId="0" applyNumberFormat="1"/>
    <xf numFmtId="8" fontId="0" fillId="0" borderId="0" xfId="0" applyNumberFormat="1"/>
    <xf numFmtId="0" fontId="8" fillId="0" borderId="0" xfId="0" applyFont="1" applyFill="1"/>
    <xf numFmtId="44" fontId="0" fillId="0" borderId="0" xfId="11" applyFont="1"/>
    <xf numFmtId="0" fontId="8" fillId="0" borderId="0" xfId="0" applyFont="1" applyFill="1" applyAlignment="1">
      <alignment horizontal="right"/>
    </xf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3" fontId="10" fillId="0" borderId="6" xfId="0" applyNumberFormat="1" applyFont="1" applyFill="1" applyBorder="1" applyAlignment="1">
      <alignment vertical="center" wrapText="1"/>
    </xf>
    <xf numFmtId="10" fontId="5" fillId="5" borderId="1" xfId="2" applyNumberFormat="1" applyFont="1" applyFill="1" applyBorder="1"/>
    <xf numFmtId="173" fontId="0" fillId="0" borderId="0" xfId="11" applyNumberFormat="1" applyFont="1"/>
    <xf numFmtId="173" fontId="0" fillId="0" borderId="0" xfId="0" applyNumberFormat="1"/>
    <xf numFmtId="168" fontId="0" fillId="0" borderId="0" xfId="2" applyNumberFormat="1" applyFont="1"/>
    <xf numFmtId="0" fontId="10" fillId="0" borderId="0" xfId="0" applyFont="1" applyFill="1" applyBorder="1" applyAlignment="1">
      <alignment vertical="center" wrapText="1"/>
    </xf>
    <xf numFmtId="172" fontId="0" fillId="0" borderId="0" xfId="0" applyNumberFormat="1"/>
    <xf numFmtId="165" fontId="5" fillId="5" borderId="19" xfId="6" applyNumberFormat="1" applyBorder="1" applyAlignment="1">
      <alignment horizontal="center"/>
    </xf>
    <xf numFmtId="165" fontId="6" fillId="6" borderId="2" xfId="1" applyNumberFormat="1" applyFont="1" applyFill="1" applyBorder="1"/>
    <xf numFmtId="172" fontId="10" fillId="7" borderId="3" xfId="0" applyNumberFormat="1" applyFont="1" applyFill="1" applyBorder="1" applyAlignment="1">
      <alignment vertical="center" wrapText="1"/>
    </xf>
    <xf numFmtId="43" fontId="0" fillId="0" borderId="0" xfId="0" applyNumberFormat="1"/>
    <xf numFmtId="172" fontId="10" fillId="7" borderId="5" xfId="0" applyNumberFormat="1" applyFont="1" applyFill="1" applyBorder="1" applyAlignment="1">
      <alignment vertical="center" wrapText="1"/>
    </xf>
    <xf numFmtId="172" fontId="10" fillId="7" borderId="4" xfId="0" applyNumberFormat="1" applyFont="1" applyFill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right"/>
    </xf>
    <xf numFmtId="172" fontId="10" fillId="7" borderId="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1" fillId="0" borderId="8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172" fontId="33" fillId="0" borderId="6" xfId="0" applyNumberFormat="1" applyFont="1" applyBorder="1" applyAlignment="1">
      <alignment horizontal="center" vertical="center" wrapText="1"/>
    </xf>
    <xf numFmtId="172" fontId="31" fillId="0" borderId="8" xfId="0" applyNumberFormat="1" applyFont="1" applyBorder="1" applyAlignment="1">
      <alignment horizontal="center" vertical="center" wrapText="1"/>
    </xf>
    <xf numFmtId="172" fontId="31" fillId="0" borderId="10" xfId="0" applyNumberFormat="1" applyFont="1" applyBorder="1" applyAlignment="1">
      <alignment horizontal="center" vertical="center" wrapText="1"/>
    </xf>
    <xf numFmtId="172" fontId="0" fillId="0" borderId="6" xfId="0" applyNumberFormat="1" applyBorder="1" applyAlignment="1">
      <alignment vertical="center" wrapText="1"/>
    </xf>
    <xf numFmtId="172" fontId="31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14" fillId="8" borderId="1" xfId="13" applyNumberFormat="1"/>
    <xf numFmtId="165" fontId="6" fillId="6" borderId="2" xfId="7" applyNumberFormat="1"/>
    <xf numFmtId="0" fontId="0" fillId="0" borderId="17" xfId="0" applyBorder="1"/>
    <xf numFmtId="0" fontId="0" fillId="0" borderId="18" xfId="0" applyBorder="1"/>
    <xf numFmtId="0" fontId="7" fillId="0" borderId="18" xfId="8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8" xfId="0" applyNumberFormat="1" applyBorder="1"/>
    <xf numFmtId="165" fontId="5" fillId="5" borderId="31" xfId="6" applyNumberFormat="1" applyBorder="1"/>
    <xf numFmtId="165" fontId="5" fillId="5" borderId="1" xfId="6" applyNumberFormat="1" applyBorder="1"/>
    <xf numFmtId="165" fontId="5" fillId="5" borderId="32" xfId="11" applyNumberFormat="1" applyFont="1" applyFill="1" applyBorder="1"/>
    <xf numFmtId="165" fontId="4" fillId="4" borderId="9" xfId="5" applyNumberFormat="1" applyBorder="1"/>
    <xf numFmtId="165" fontId="4" fillId="4" borderId="0" xfId="5" applyNumberFormat="1" applyBorder="1"/>
    <xf numFmtId="0" fontId="0" fillId="0" borderId="9" xfId="0" applyBorder="1"/>
    <xf numFmtId="0" fontId="0" fillId="0" borderId="0" xfId="0" applyBorder="1"/>
    <xf numFmtId="165" fontId="0" fillId="0" borderId="9" xfId="0" applyNumberFormat="1" applyBorder="1"/>
    <xf numFmtId="165" fontId="0" fillId="0" borderId="0" xfId="0" applyNumberFormat="1" applyBorder="1"/>
    <xf numFmtId="0" fontId="0" fillId="0" borderId="10" xfId="0" applyBorder="1"/>
    <xf numFmtId="0" fontId="7" fillId="0" borderId="0" xfId="8" applyBorder="1"/>
    <xf numFmtId="165" fontId="5" fillId="5" borderId="32" xfId="6" applyNumberFormat="1" applyBorder="1"/>
    <xf numFmtId="171" fontId="5" fillId="5" borderId="33" xfId="6" applyNumberFormat="1" applyBorder="1"/>
    <xf numFmtId="44" fontId="0" fillId="0" borderId="0" xfId="0" applyNumberFormat="1" applyFill="1"/>
    <xf numFmtId="44" fontId="0" fillId="0" borderId="9" xfId="0" applyNumberFormat="1" applyBorder="1"/>
    <xf numFmtId="44" fontId="0" fillId="0" borderId="0" xfId="0" applyNumberFormat="1" applyBorder="1"/>
    <xf numFmtId="3" fontId="5" fillId="5" borderId="1" xfId="6" applyNumberFormat="1" applyBorder="1"/>
    <xf numFmtId="3" fontId="5" fillId="5" borderId="32" xfId="6" applyNumberFormat="1" applyBorder="1"/>
    <xf numFmtId="165" fontId="14" fillId="8" borderId="31" xfId="13" applyNumberFormat="1" applyBorder="1"/>
    <xf numFmtId="165" fontId="14" fillId="8" borderId="32" xfId="13" applyNumberFormat="1" applyBorder="1"/>
    <xf numFmtId="44" fontId="8" fillId="0" borderId="10" xfId="0" applyNumberFormat="1" applyFont="1" applyBorder="1"/>
    <xf numFmtId="44" fontId="14" fillId="8" borderId="1" xfId="13" applyNumberFormat="1"/>
    <xf numFmtId="165" fontId="14" fillId="8" borderId="1" xfId="13" applyNumberFormat="1" applyBorder="1"/>
    <xf numFmtId="165" fontId="14" fillId="8" borderId="13" xfId="13" applyNumberFormat="1" applyBorder="1"/>
    <xf numFmtId="0" fontId="0" fillId="0" borderId="0" xfId="0" applyFont="1"/>
    <xf numFmtId="165" fontId="5" fillId="5" borderId="34" xfId="11" applyNumberFormat="1" applyFont="1" applyFill="1" applyBorder="1"/>
    <xf numFmtId="165" fontId="5" fillId="5" borderId="14" xfId="11" applyNumberFormat="1" applyFont="1" applyFill="1" applyBorder="1"/>
    <xf numFmtId="165" fontId="5" fillId="5" borderId="35" xfId="11" applyNumberFormat="1" applyFont="1" applyFill="1" applyBorder="1"/>
    <xf numFmtId="0" fontId="0" fillId="0" borderId="12" xfId="0" applyBorder="1"/>
    <xf numFmtId="0" fontId="0" fillId="0" borderId="8" xfId="0" applyBorder="1"/>
    <xf numFmtId="10" fontId="5" fillId="0" borderId="9" xfId="2" applyNumberFormat="1" applyFont="1" applyFill="1" applyBorder="1"/>
    <xf numFmtId="169" fontId="0" fillId="0" borderId="9" xfId="2" applyNumberFormat="1" applyFont="1" applyBorder="1"/>
    <xf numFmtId="169" fontId="0" fillId="0" borderId="0" xfId="2" applyNumberFormat="1" applyFont="1" applyBorder="1"/>
    <xf numFmtId="169" fontId="0" fillId="0" borderId="38" xfId="2" applyNumberFormat="1" applyFont="1" applyBorder="1"/>
    <xf numFmtId="0" fontId="7" fillId="0" borderId="0" xfId="8" applyBorder="1" applyAlignment="1">
      <alignment horizontal="right"/>
    </xf>
    <xf numFmtId="44" fontId="6" fillId="6" borderId="41" xfId="7" applyNumberFormat="1" applyBorder="1"/>
    <xf numFmtId="44" fontId="6" fillId="6" borderId="2" xfId="7" applyNumberFormat="1" applyBorder="1"/>
    <xf numFmtId="44" fontId="6" fillId="6" borderId="20" xfId="7" applyNumberFormat="1" applyBorder="1"/>
    <xf numFmtId="165" fontId="6" fillId="6" borderId="41" xfId="7" applyNumberFormat="1" applyBorder="1"/>
    <xf numFmtId="165" fontId="6" fillId="6" borderId="2" xfId="7" applyNumberFormat="1" applyBorder="1"/>
    <xf numFmtId="165" fontId="6" fillId="6" borderId="20" xfId="7" applyNumberFormat="1" applyBorder="1"/>
    <xf numFmtId="0" fontId="0" fillId="0" borderId="11" xfId="0" applyBorder="1"/>
    <xf numFmtId="0" fontId="0" fillId="0" borderId="42" xfId="0" applyBorder="1"/>
    <xf numFmtId="0" fontId="0" fillId="0" borderId="6" xfId="0" applyBorder="1"/>
    <xf numFmtId="43" fontId="5" fillId="5" borderId="1" xfId="1" applyFont="1" applyFill="1" applyBorder="1"/>
    <xf numFmtId="44" fontId="14" fillId="8" borderId="1" xfId="13" applyNumberFormat="1" applyBorder="1"/>
    <xf numFmtId="0" fontId="7" fillId="0" borderId="12" xfId="8" applyBorder="1"/>
    <xf numFmtId="165" fontId="4" fillId="4" borderId="9" xfId="11" applyNumberFormat="1" applyFont="1" applyFill="1" applyBorder="1"/>
    <xf numFmtId="165" fontId="4" fillId="4" borderId="0" xfId="11" applyNumberFormat="1" applyFont="1" applyFill="1" applyBorder="1"/>
    <xf numFmtId="165" fontId="4" fillId="4" borderId="10" xfId="11" applyNumberFormat="1" applyFont="1" applyFill="1" applyBorder="1"/>
    <xf numFmtId="167" fontId="5" fillId="5" borderId="31" xfId="6" applyNumberFormat="1" applyBorder="1"/>
    <xf numFmtId="3" fontId="0" fillId="0" borderId="0" xfId="0" applyNumberFormat="1" applyFill="1"/>
    <xf numFmtId="165" fontId="5" fillId="0" borderId="7" xfId="11" applyNumberFormat="1" applyFont="1" applyFill="1" applyBorder="1"/>
    <xf numFmtId="165" fontId="5" fillId="0" borderId="12" xfId="11" applyNumberFormat="1" applyFont="1" applyFill="1" applyBorder="1"/>
    <xf numFmtId="44" fontId="4" fillId="0" borderId="7" xfId="5" applyNumberFormat="1" applyFill="1" applyBorder="1"/>
    <xf numFmtId="165" fontId="4" fillId="0" borderId="12" xfId="11" applyNumberFormat="1" applyFont="1" applyFill="1" applyBorder="1"/>
    <xf numFmtId="165" fontId="4" fillId="0" borderId="8" xfId="11" applyNumberFormat="1" applyFont="1" applyFill="1" applyBorder="1"/>
    <xf numFmtId="44" fontId="14" fillId="8" borderId="13" xfId="13" applyNumberFormat="1" applyBorder="1"/>
    <xf numFmtId="170" fontId="0" fillId="0" borderId="0" xfId="2" applyNumberFormat="1" applyFont="1" applyBorder="1"/>
    <xf numFmtId="165" fontId="0" fillId="0" borderId="11" xfId="0" applyNumberFormat="1" applyBorder="1"/>
    <xf numFmtId="165" fontId="0" fillId="0" borderId="42" xfId="0" applyNumberForma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36" xfId="0" applyBorder="1"/>
    <xf numFmtId="0" fontId="14" fillId="8" borderId="32" xfId="13" applyNumberFormat="1" applyBorder="1"/>
    <xf numFmtId="44" fontId="14" fillId="8" borderId="32" xfId="13" applyNumberFormat="1" applyBorder="1"/>
    <xf numFmtId="44" fontId="14" fillId="8" borderId="31" xfId="13" applyNumberFormat="1" applyBorder="1"/>
    <xf numFmtId="165" fontId="5" fillId="0" borderId="8" xfId="11" applyNumberFormat="1" applyFont="1" applyFill="1" applyBorder="1"/>
    <xf numFmtId="0" fontId="0" fillId="0" borderId="43" xfId="0" applyBorder="1"/>
    <xf numFmtId="169" fontId="0" fillId="0" borderId="39" xfId="2" applyNumberFormat="1" applyFont="1" applyBorder="1"/>
    <xf numFmtId="170" fontId="0" fillId="0" borderId="43" xfId="2" applyNumberFormat="1" applyFont="1" applyBorder="1"/>
    <xf numFmtId="44" fontId="6" fillId="6" borderId="44" xfId="7" applyNumberFormat="1" applyBorder="1"/>
    <xf numFmtId="165" fontId="0" fillId="0" borderId="0" xfId="1" applyNumberFormat="1" applyFont="1" applyFill="1"/>
    <xf numFmtId="43" fontId="0" fillId="0" borderId="0" xfId="1" applyFont="1" applyFill="1"/>
    <xf numFmtId="8" fontId="0" fillId="0" borderId="0" xfId="1" applyNumberFormat="1" applyFont="1" applyFill="1"/>
    <xf numFmtId="166" fontId="0" fillId="0" borderId="0" xfId="0" applyNumberFormat="1" applyFill="1"/>
    <xf numFmtId="44" fontId="7" fillId="0" borderId="0" xfId="8" applyNumberFormat="1" applyBorder="1"/>
    <xf numFmtId="167" fontId="0" fillId="0" borderId="0" xfId="1" applyNumberFormat="1" applyFont="1" applyBorder="1"/>
    <xf numFmtId="167" fontId="0" fillId="0" borderId="10" xfId="1" applyNumberFormat="1" applyFont="1" applyBorder="1"/>
    <xf numFmtId="44" fontId="8" fillId="0" borderId="0" xfId="0" applyNumberFormat="1" applyFont="1"/>
    <xf numFmtId="165" fontId="5" fillId="0" borderId="9" xfId="6" applyNumberFormat="1" applyFill="1" applyBorder="1"/>
    <xf numFmtId="165" fontId="5" fillId="0" borderId="0" xfId="6" applyNumberFormat="1" applyFill="1" applyBorder="1"/>
    <xf numFmtId="37" fontId="5" fillId="0" borderId="0" xfId="6" applyNumberFormat="1" applyFill="1" applyBorder="1"/>
    <xf numFmtId="3" fontId="37" fillId="0" borderId="0" xfId="13" applyNumberFormat="1" applyFont="1" applyFill="1" applyBorder="1" applyAlignment="1">
      <alignment horizontal="left"/>
    </xf>
    <xf numFmtId="168" fontId="14" fillId="0" borderId="0" xfId="13" applyNumberFormat="1" applyFill="1" applyBorder="1" applyAlignment="1">
      <alignment horizontal="center"/>
    </xf>
    <xf numFmtId="3" fontId="15" fillId="0" borderId="24" xfId="15" applyNumberFormat="1" applyFill="1" applyAlignment="1">
      <alignment horizontal="right"/>
    </xf>
    <xf numFmtId="168" fontId="14" fillId="8" borderId="1" xfId="13" applyNumberFormat="1" applyAlignment="1">
      <alignment horizontal="center"/>
    </xf>
    <xf numFmtId="43" fontId="38" fillId="0" borderId="31" xfId="1" applyFont="1" applyFill="1" applyBorder="1"/>
    <xf numFmtId="165" fontId="38" fillId="0" borderId="1" xfId="13" applyNumberFormat="1" applyFont="1" applyFill="1"/>
    <xf numFmtId="165" fontId="38" fillId="0" borderId="32" xfId="13" applyNumberFormat="1" applyFont="1" applyFill="1" applyBorder="1"/>
    <xf numFmtId="165" fontId="38" fillId="0" borderId="13" xfId="13" applyNumberFormat="1" applyFont="1" applyFill="1" applyBorder="1"/>
    <xf numFmtId="44" fontId="0" fillId="0" borderId="45" xfId="0" applyNumberFormat="1" applyBorder="1"/>
    <xf numFmtId="165" fontId="4" fillId="4" borderId="6" xfId="5" applyNumberFormat="1" applyBorder="1"/>
    <xf numFmtId="165" fontId="4" fillId="0" borderId="0" xfId="5" applyNumberFormat="1" applyFill="1" applyBorder="1"/>
    <xf numFmtId="165" fontId="4" fillId="0" borderId="0" xfId="11" applyNumberFormat="1" applyFont="1" applyFill="1" applyBorder="1"/>
    <xf numFmtId="165" fontId="14" fillId="8" borderId="46" xfId="13" applyNumberFormat="1" applyBorder="1"/>
    <xf numFmtId="44" fontId="6" fillId="6" borderId="47" xfId="7" applyNumberFormat="1" applyBorder="1"/>
    <xf numFmtId="165" fontId="6" fillId="6" borderId="44" xfId="7" applyNumberFormat="1" applyBorder="1"/>
    <xf numFmtId="165" fontId="6" fillId="6" borderId="47" xfId="7" applyNumberFormat="1" applyBorder="1"/>
    <xf numFmtId="165" fontId="14" fillId="8" borderId="48" xfId="13" applyNumberFormat="1" applyBorder="1"/>
    <xf numFmtId="4" fontId="0" fillId="0" borderId="0" xfId="0" applyNumberFormat="1" applyFill="1"/>
    <xf numFmtId="8" fontId="0" fillId="0" borderId="0" xfId="0" applyNumberFormat="1" applyFill="1"/>
    <xf numFmtId="44" fontId="5" fillId="5" borderId="1" xfId="11" applyNumberFormat="1" applyFont="1" applyFill="1" applyBorder="1"/>
    <xf numFmtId="167" fontId="6" fillId="6" borderId="50" xfId="1" applyNumberFormat="1" applyFont="1" applyFill="1" applyBorder="1"/>
    <xf numFmtId="172" fontId="33" fillId="0" borderId="6" xfId="0" applyNumberFormat="1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165" fontId="6" fillId="6" borderId="52" xfId="11" applyNumberFormat="1" applyFont="1" applyFill="1" applyBorder="1"/>
    <xf numFmtId="10" fontId="6" fillId="0" borderId="47" xfId="1" applyNumberFormat="1" applyFont="1" applyFill="1" applyBorder="1"/>
    <xf numFmtId="165" fontId="14" fillId="8" borderId="37" xfId="13" applyNumberFormat="1" applyBorder="1" applyAlignment="1">
      <alignment horizontal="center"/>
    </xf>
    <xf numFmtId="167" fontId="6" fillId="0" borderId="47" xfId="1" applyNumberFormat="1" applyFont="1" applyFill="1" applyBorder="1"/>
    <xf numFmtId="167" fontId="5" fillId="5" borderId="13" xfId="1" applyNumberFormat="1" applyFont="1" applyFill="1" applyBorder="1" applyAlignment="1">
      <alignment horizontal="center"/>
    </xf>
    <xf numFmtId="10" fontId="6" fillId="0" borderId="49" xfId="1" applyNumberFormat="1" applyFont="1" applyFill="1" applyBorder="1"/>
    <xf numFmtId="165" fontId="6" fillId="6" borderId="51" xfId="11" applyNumberFormat="1" applyFont="1" applyFill="1" applyBorder="1"/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43" fontId="0" fillId="0" borderId="0" xfId="1" applyFont="1"/>
    <xf numFmtId="0" fontId="10" fillId="0" borderId="0" xfId="0" applyFont="1" applyFill="1" applyBorder="1" applyAlignment="1">
      <alignment horizontal="center" vertical="center" wrapText="1"/>
    </xf>
    <xf numFmtId="172" fontId="0" fillId="0" borderId="0" xfId="0" applyNumberFormat="1"/>
    <xf numFmtId="0" fontId="0" fillId="0" borderId="0" xfId="0"/>
    <xf numFmtId="5" fontId="11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3" fontId="5" fillId="5" borderId="32" xfId="6" applyNumberFormat="1" applyBorder="1"/>
    <xf numFmtId="167" fontId="6" fillId="6" borderId="2" xfId="1" applyNumberFormat="1" applyFont="1" applyFill="1" applyBorder="1"/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Fill="1" applyAlignment="1">
      <alignment horizontal="center"/>
    </xf>
    <xf numFmtId="167" fontId="5" fillId="5" borderId="31" xfId="1" applyNumberFormat="1" applyFont="1" applyFill="1" applyBorder="1"/>
    <xf numFmtId="167" fontId="5" fillId="5" borderId="1" xfId="1" applyNumberFormat="1" applyFont="1" applyFill="1" applyBorder="1"/>
    <xf numFmtId="167" fontId="5" fillId="5" borderId="32" xfId="1" applyNumberFormat="1" applyFont="1" applyFill="1" applyBorder="1"/>
    <xf numFmtId="10" fontId="14" fillId="0" borderId="53" xfId="13" applyNumberFormat="1" applyFill="1" applyBorder="1" applyAlignment="1">
      <alignment horizontal="center"/>
    </xf>
    <xf numFmtId="10" fontId="14" fillId="0" borderId="54" xfId="13" applyNumberFormat="1" applyFill="1" applyBorder="1" applyAlignment="1">
      <alignment horizontal="center"/>
    </xf>
    <xf numFmtId="10" fontId="14" fillId="0" borderId="36" xfId="13" applyNumberFormat="1" applyFill="1" applyBorder="1" applyAlignment="1">
      <alignment horizontal="center"/>
    </xf>
    <xf numFmtId="10" fontId="14" fillId="0" borderId="40" xfId="13" applyNumberFormat="1" applyFill="1" applyBorder="1" applyAlignment="1">
      <alignment horizontal="center"/>
    </xf>
    <xf numFmtId="10" fontId="14" fillId="0" borderId="0" xfId="13" applyNumberFormat="1" applyFill="1" applyBorder="1" applyAlignment="1">
      <alignment horizontal="center"/>
    </xf>
    <xf numFmtId="10" fontId="14" fillId="0" borderId="10" xfId="13" applyNumberFormat="1" applyFill="1" applyBorder="1" applyAlignment="1">
      <alignment horizontal="center"/>
    </xf>
    <xf numFmtId="168" fontId="5" fillId="5" borderId="1" xfId="2" applyNumberFormat="1" applyFont="1" applyFill="1" applyBorder="1" applyAlignment="1">
      <alignment horizontal="center"/>
    </xf>
    <xf numFmtId="41" fontId="14" fillId="8" borderId="1" xfId="11" applyNumberFormat="1" applyFont="1" applyFill="1" applyBorder="1" applyAlignment="1">
      <alignment horizontal="center"/>
    </xf>
    <xf numFmtId="170" fontId="0" fillId="0" borderId="43" xfId="2" applyNumberFormat="1" applyFont="1" applyFill="1" applyBorder="1"/>
    <xf numFmtId="169" fontId="0" fillId="0" borderId="0" xfId="2" applyNumberFormat="1" applyFont="1" applyFill="1" applyBorder="1"/>
    <xf numFmtId="169" fontId="0" fillId="0" borderId="10" xfId="2" applyNumberFormat="1" applyFont="1" applyBorder="1"/>
    <xf numFmtId="169" fontId="0" fillId="0" borderId="39" xfId="0" applyNumberFormat="1" applyBorder="1"/>
    <xf numFmtId="169" fontId="0" fillId="0" borderId="36" xfId="0" applyNumberFormat="1" applyBorder="1"/>
    <xf numFmtId="169" fontId="0" fillId="0" borderId="40" xfId="0" applyNumberFormat="1" applyBorder="1"/>
    <xf numFmtId="169" fontId="0" fillId="0" borderId="0" xfId="0" applyNumberFormat="1" applyBorder="1"/>
    <xf numFmtId="44" fontId="0" fillId="0" borderId="12" xfId="0" applyNumberFormat="1" applyBorder="1"/>
    <xf numFmtId="44" fontId="5" fillId="0" borderId="0" xfId="2" applyNumberFormat="1" applyFont="1" applyFill="1" applyBorder="1"/>
    <xf numFmtId="6" fontId="8" fillId="0" borderId="0" xfId="0" applyNumberFormat="1" applyFont="1"/>
    <xf numFmtId="165" fontId="14" fillId="8" borderId="55" xfId="13" applyNumberFormat="1" applyBorder="1"/>
    <xf numFmtId="165" fontId="5" fillId="5" borderId="13" xfId="11" applyNumberFormat="1" applyFont="1" applyFill="1" applyBorder="1"/>
    <xf numFmtId="165" fontId="5" fillId="5" borderId="13" xfId="6" applyNumberFormat="1" applyBorder="1"/>
    <xf numFmtId="167" fontId="5" fillId="5" borderId="13" xfId="1" applyNumberFormat="1" applyFont="1" applyFill="1" applyBorder="1"/>
    <xf numFmtId="44" fontId="0" fillId="0" borderId="10" xfId="0" applyNumberFormat="1" applyBorder="1"/>
    <xf numFmtId="165" fontId="5" fillId="5" borderId="19" xfId="11" applyNumberFormat="1" applyFont="1" applyFill="1" applyBorder="1"/>
    <xf numFmtId="0" fontId="0" fillId="0" borderId="0" xfId="0" applyFont="1" applyFill="1"/>
    <xf numFmtId="165" fontId="14" fillId="0" borderId="0" xfId="13" applyNumberFormat="1" applyFill="1" applyBorder="1"/>
    <xf numFmtId="3" fontId="5" fillId="5" borderId="13" xfId="6" applyNumberFormat="1" applyBorder="1"/>
    <xf numFmtId="0" fontId="0" fillId="0" borderId="56" xfId="0" applyBorder="1"/>
    <xf numFmtId="170" fontId="0" fillId="0" borderId="56" xfId="2" applyNumberFormat="1" applyFont="1" applyFill="1" applyBorder="1"/>
    <xf numFmtId="165" fontId="0" fillId="0" borderId="6" xfId="0" applyNumberFormat="1" applyBorder="1"/>
    <xf numFmtId="165" fontId="5" fillId="5" borderId="0" xfId="6" applyNumberFormat="1" applyBorder="1"/>
    <xf numFmtId="0" fontId="8" fillId="0" borderId="0" xfId="0" applyFont="1" applyAlignment="1">
      <alignment horizontal="center"/>
    </xf>
    <xf numFmtId="165" fontId="0" fillId="0" borderId="57" xfId="0" applyNumberFormat="1" applyBorder="1"/>
    <xf numFmtId="0" fontId="0" fillId="0" borderId="53" xfId="0" applyBorder="1"/>
    <xf numFmtId="165" fontId="0" fillId="0" borderId="53" xfId="0" applyNumberFormat="1" applyBorder="1"/>
    <xf numFmtId="0" fontId="0" fillId="0" borderId="54" xfId="0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0" fillId="0" borderId="9" xfId="0" applyFill="1" applyBorder="1"/>
    <xf numFmtId="171" fontId="5" fillId="0" borderId="0" xfId="6" applyNumberFormat="1" applyFill="1" applyBorder="1"/>
    <xf numFmtId="0" fontId="0" fillId="0" borderId="59" xfId="0" applyBorder="1"/>
    <xf numFmtId="8" fontId="0" fillId="0" borderId="59" xfId="0" applyNumberFormat="1" applyBorder="1"/>
    <xf numFmtId="3" fontId="0" fillId="0" borderId="59" xfId="0" applyNumberFormat="1" applyBorder="1"/>
    <xf numFmtId="8" fontId="0" fillId="0" borderId="58" xfId="0" applyNumberForma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0" borderId="9" xfId="0" applyNumberFormat="1" applyFill="1" applyBorder="1"/>
    <xf numFmtId="165" fontId="14" fillId="0" borderId="9" xfId="13" applyNumberFormat="1" applyFill="1" applyBorder="1"/>
    <xf numFmtId="165" fontId="14" fillId="0" borderId="10" xfId="13" applyNumberFormat="1" applyFill="1" applyBorder="1"/>
    <xf numFmtId="165" fontId="39" fillId="5" borderId="53" xfId="6" applyNumberFormat="1" applyFont="1" applyBorder="1"/>
    <xf numFmtId="165" fontId="5" fillId="5" borderId="42" xfId="6" applyNumberFormat="1" applyBorder="1"/>
    <xf numFmtId="44" fontId="5" fillId="5" borderId="32" xfId="11" applyNumberFormat="1" applyFont="1" applyFill="1" applyBorder="1"/>
    <xf numFmtId="8" fontId="0" fillId="0" borderId="0" xfId="0" applyNumberFormat="1" applyBorder="1"/>
    <xf numFmtId="8" fontId="0" fillId="0" borderId="42" xfId="0" applyNumberFormat="1" applyBorder="1"/>
    <xf numFmtId="165" fontId="0" fillId="0" borderId="0" xfId="2" applyNumberFormat="1" applyFont="1" applyBorder="1"/>
    <xf numFmtId="0" fontId="10" fillId="7" borderId="6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horizontal="center"/>
    </xf>
    <xf numFmtId="167" fontId="6" fillId="6" borderId="60" xfId="1" applyNumberFormat="1" applyFont="1" applyFill="1" applyBorder="1"/>
    <xf numFmtId="167" fontId="6" fillId="6" borderId="61" xfId="1" applyNumberFormat="1" applyFont="1" applyFill="1" applyBorder="1"/>
    <xf numFmtId="167" fontId="6" fillId="6" borderId="62" xfId="1" applyNumberFormat="1" applyFont="1" applyFill="1" applyBorder="1"/>
    <xf numFmtId="165" fontId="4" fillId="4" borderId="10" xfId="5" applyNumberFormat="1" applyBorder="1"/>
    <xf numFmtId="10" fontId="14" fillId="8" borderId="1" xfId="2" applyNumberFormat="1" applyFont="1" applyFill="1" applyBorder="1" applyAlignment="1">
      <alignment horizontal="center"/>
    </xf>
    <xf numFmtId="10" fontId="6" fillId="6" borderId="61" xfId="2" applyNumberFormat="1" applyFont="1" applyFill="1" applyBorder="1" applyAlignment="1">
      <alignment horizontal="center"/>
    </xf>
    <xf numFmtId="165" fontId="14" fillId="8" borderId="63" xfId="13" applyNumberFormat="1" applyBorder="1" applyAlignment="1">
      <alignment horizontal="center"/>
    </xf>
    <xf numFmtId="167" fontId="6" fillId="6" borderId="64" xfId="1" applyNumberFormat="1" applyFont="1" applyFill="1" applyBorder="1"/>
    <xf numFmtId="165" fontId="14" fillId="8" borderId="46" xfId="13" applyNumberForma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6" fontId="11" fillId="0" borderId="6" xfId="0" applyNumberFormat="1" applyFont="1" applyFill="1" applyBorder="1" applyAlignment="1">
      <alignment horizontal="right" vertical="center" wrapText="1"/>
    </xf>
    <xf numFmtId="165" fontId="13" fillId="8" borderId="65" xfId="12" applyNumberFormat="1" applyBorder="1"/>
    <xf numFmtId="165" fontId="6" fillId="6" borderId="50" xfId="7" applyNumberFormat="1" applyBorder="1"/>
    <xf numFmtId="165" fontId="14" fillId="8" borderId="31" xfId="13" applyNumberFormat="1" applyBorder="1" applyAlignment="1">
      <alignment horizontal="center"/>
    </xf>
    <xf numFmtId="41" fontId="4" fillId="4" borderId="9" xfId="5" applyNumberFormat="1" applyBorder="1"/>
    <xf numFmtId="41" fontId="4" fillId="4" borderId="0" xfId="5" applyNumberFormat="1" applyBorder="1"/>
    <xf numFmtId="41" fontId="4" fillId="4" borderId="10" xfId="5" applyNumberFormat="1" applyBorder="1"/>
    <xf numFmtId="165" fontId="5" fillId="5" borderId="9" xfId="6" applyNumberFormat="1" applyBorder="1"/>
    <xf numFmtId="0" fontId="0" fillId="0" borderId="0" xfId="0" applyAlignment="1">
      <alignment horizontal="right"/>
    </xf>
    <xf numFmtId="174" fontId="0" fillId="0" borderId="0" xfId="1" applyNumberFormat="1" applyFont="1"/>
    <xf numFmtId="5" fontId="0" fillId="0" borderId="0" xfId="0" applyNumberFormat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3" borderId="17" xfId="4" applyBorder="1" applyAlignment="1">
      <alignment horizontal="center"/>
    </xf>
    <xf numFmtId="0" fontId="3" fillId="3" borderId="18" xfId="4" applyBorder="1" applyAlignment="1">
      <alignment horizontal="center"/>
    </xf>
    <xf numFmtId="0" fontId="3" fillId="3" borderId="4" xfId="4" applyBorder="1" applyAlignment="1">
      <alignment horizontal="center"/>
    </xf>
    <xf numFmtId="0" fontId="3" fillId="0" borderId="18" xfId="4" applyFill="1" applyBorder="1" applyAlignment="1">
      <alignment horizontal="center"/>
    </xf>
    <xf numFmtId="0" fontId="3" fillId="0" borderId="4" xfId="4" applyFill="1" applyBorder="1" applyAlignment="1">
      <alignment horizontal="center"/>
    </xf>
    <xf numFmtId="0" fontId="8" fillId="0" borderId="0" xfId="0" applyFont="1" applyAlignment="1">
      <alignment horizontal="center"/>
    </xf>
    <xf numFmtId="0" fontId="30" fillId="0" borderId="29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5/Rider/Library/Rider%20Filing/Nov%202015%20filing/MEEIA%20Rider%20Calcs%202016%20-%20Rat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C"/>
      <sheetName val="PCR"/>
      <sheetName val="PTD"/>
      <sheetName val="TDR"/>
      <sheetName val="PI"/>
      <sheetName val="PIR"/>
      <sheetName val="OA"/>
      <sheetName val="tariff tables"/>
    </sheetNames>
    <sheetDataSet>
      <sheetData sheetId="0"/>
      <sheetData sheetId="1"/>
      <sheetData sheetId="2">
        <row r="1">
          <cell r="F1">
            <v>599118</v>
          </cell>
          <cell r="G1">
            <v>488212</v>
          </cell>
          <cell r="H1">
            <v>18883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49"/>
  <sheetViews>
    <sheetView workbookViewId="0">
      <selection activeCell="A2" sqref="A2"/>
    </sheetView>
  </sheetViews>
  <sheetFormatPr defaultRowHeight="15" x14ac:dyDescent="0.25"/>
  <cols>
    <col min="1" max="1" width="23.5703125" customWidth="1"/>
    <col min="2" max="2" width="20.42578125" customWidth="1"/>
    <col min="3" max="3" width="15.140625" customWidth="1"/>
    <col min="4" max="4" width="16.140625" customWidth="1"/>
    <col min="5" max="5" width="12.7109375" customWidth="1"/>
    <col min="6" max="9" width="17.7109375" customWidth="1"/>
  </cols>
  <sheetData>
    <row r="1" spans="1:19" ht="15.75" thickBot="1" x14ac:dyDescent="0.3">
      <c r="A1" s="8" t="s">
        <v>139</v>
      </c>
    </row>
    <row r="2" spans="1:19" ht="15.75" thickBot="1" x14ac:dyDescent="0.3">
      <c r="B2" s="332" t="s">
        <v>11</v>
      </c>
      <c r="C2" s="332"/>
      <c r="E2" s="329" t="s">
        <v>8</v>
      </c>
      <c r="F2" s="330"/>
      <c r="G2" s="330"/>
      <c r="H2" s="330"/>
      <c r="I2" s="331"/>
      <c r="K2" s="3" t="s">
        <v>27</v>
      </c>
    </row>
    <row r="3" spans="1:19" x14ac:dyDescent="0.25">
      <c r="B3" s="48" t="s">
        <v>31</v>
      </c>
      <c r="C3" s="6" t="s">
        <v>10</v>
      </c>
      <c r="E3" s="19"/>
      <c r="F3" s="33" t="s">
        <v>0</v>
      </c>
      <c r="G3" s="33" t="s">
        <v>1</v>
      </c>
      <c r="H3" s="33" t="s">
        <v>2</v>
      </c>
      <c r="I3" s="34" t="s">
        <v>3</v>
      </c>
      <c r="K3" s="58" t="s">
        <v>47</v>
      </c>
      <c r="L3" s="50"/>
      <c r="M3" s="50"/>
      <c r="N3" s="50"/>
      <c r="O3" s="50"/>
      <c r="P3" s="50"/>
      <c r="Q3" s="50"/>
      <c r="R3" s="50"/>
      <c r="S3" s="50"/>
    </row>
    <row r="4" spans="1:19" x14ac:dyDescent="0.25">
      <c r="A4" s="60" t="s">
        <v>32</v>
      </c>
      <c r="B4" s="40">
        <v>12793769943.746609</v>
      </c>
      <c r="C4" s="42">
        <f>SUM(F11:I11)</f>
        <v>25769781.033429716</v>
      </c>
      <c r="D4" s="49"/>
      <c r="E4" s="25"/>
      <c r="F4" s="45">
        <v>1</v>
      </c>
      <c r="G4" s="45">
        <v>0</v>
      </c>
      <c r="H4" s="27">
        <f>IFERROR(B4/SUM($B$4:$B$8),0)</f>
        <v>0.44195045491030438</v>
      </c>
      <c r="I4" s="28">
        <f>H4</f>
        <v>0.44195045491030438</v>
      </c>
      <c r="K4" s="58" t="s">
        <v>28</v>
      </c>
      <c r="L4" s="50"/>
      <c r="M4" s="50"/>
      <c r="N4" s="50"/>
      <c r="O4" s="50"/>
      <c r="P4" s="50"/>
      <c r="Q4" s="50"/>
      <c r="R4" s="50"/>
      <c r="S4" s="50"/>
    </row>
    <row r="5" spans="1:19" x14ac:dyDescent="0.25">
      <c r="A5" s="22" t="s">
        <v>4</v>
      </c>
      <c r="B5" s="40">
        <v>3345222654.0622578</v>
      </c>
      <c r="C5" s="42">
        <f>SUM(F12:I12)</f>
        <v>9708300.3971815351</v>
      </c>
      <c r="D5" s="49"/>
      <c r="E5" s="25"/>
      <c r="F5" s="45">
        <v>0</v>
      </c>
      <c r="G5" s="27">
        <f>IFERROR(B5/SUM($B$5:$B$8),0)</f>
        <v>0.20707483262676366</v>
      </c>
      <c r="H5" s="27">
        <f>IFERROR(B5/SUM($B$4:$B$8),0)</f>
        <v>0.1155580161468903</v>
      </c>
      <c r="I5" s="28">
        <f>H5</f>
        <v>0.1155580161468903</v>
      </c>
      <c r="K5" s="58" t="s">
        <v>41</v>
      </c>
    </row>
    <row r="6" spans="1:19" x14ac:dyDescent="0.25">
      <c r="A6" s="22" t="s">
        <v>5</v>
      </c>
      <c r="B6" s="40">
        <v>7756408370.1341009</v>
      </c>
      <c r="C6" s="42">
        <f>SUM(F13:I13)</f>
        <v>22510173.536291506</v>
      </c>
      <c r="D6" s="49"/>
      <c r="E6" s="25"/>
      <c r="F6" s="45">
        <v>0</v>
      </c>
      <c r="G6" s="27">
        <f>IFERROR(B6/SUM($B$5:$B$8),0)</f>
        <v>0.48013454742090705</v>
      </c>
      <c r="H6" s="27">
        <f>IFERROR(B6/SUM($B$4:$B$8),0)</f>
        <v>0.26793886577008402</v>
      </c>
      <c r="I6" s="28">
        <f>H6</f>
        <v>0.26793886577008402</v>
      </c>
    </row>
    <row r="7" spans="1:19" x14ac:dyDescent="0.25">
      <c r="A7" s="22" t="s">
        <v>6</v>
      </c>
      <c r="B7" s="40">
        <v>3324343142.5982161</v>
      </c>
      <c r="C7" s="42">
        <f>SUM(F14:I14)</f>
        <v>9647705.1572224963</v>
      </c>
      <c r="D7" s="49"/>
      <c r="E7" s="25"/>
      <c r="F7" s="45">
        <v>0</v>
      </c>
      <c r="G7" s="27">
        <f>IFERROR(B7/SUM($B$5:$B$8),0)</f>
        <v>0.20578235622418559</v>
      </c>
      <c r="H7" s="27">
        <f>IFERROR(B7/SUM($B$4:$B$8),0)</f>
        <v>0.11483675027839245</v>
      </c>
      <c r="I7" s="28">
        <f>H7</f>
        <v>0.11483675027839245</v>
      </c>
    </row>
    <row r="8" spans="1:19" ht="15.75" thickBot="1" x14ac:dyDescent="0.3">
      <c r="A8" s="22" t="s">
        <v>7</v>
      </c>
      <c r="B8" s="40">
        <v>1728681672.4872692</v>
      </c>
      <c r="C8" s="42">
        <f>SUM(F15:I15)</f>
        <v>5016874.1226323927</v>
      </c>
      <c r="D8" s="49"/>
      <c r="E8" s="25"/>
      <c r="F8" s="45">
        <v>0</v>
      </c>
      <c r="G8" s="27">
        <f>IFERROR(B8/SUM($B$5:$B$8),0)</f>
        <v>0.10700826372814377</v>
      </c>
      <c r="H8" s="27">
        <f>IFERROR(B8/SUM($B$4:$B$8),0)</f>
        <v>5.9715912894328801E-2</v>
      </c>
      <c r="I8" s="28">
        <f>H8</f>
        <v>5.9715912894328801E-2</v>
      </c>
    </row>
    <row r="9" spans="1:19" ht="16.5" thickTop="1" thickBot="1" x14ac:dyDescent="0.3">
      <c r="A9" s="22" t="s">
        <v>9</v>
      </c>
      <c r="B9" s="41">
        <f>SUM(B4:B8)</f>
        <v>28948425783.028454</v>
      </c>
      <c r="C9" s="24">
        <f>SUM(C4:C8)</f>
        <v>72652834.246757656</v>
      </c>
      <c r="D9" s="4"/>
      <c r="E9" s="35" t="s">
        <v>26</v>
      </c>
      <c r="F9" s="61">
        <f>1-SUM(F4:F8)</f>
        <v>0</v>
      </c>
      <c r="G9" s="61">
        <f>(1-SUM(G4:G8))</f>
        <v>-2.2204460492503131E-16</v>
      </c>
      <c r="H9" s="61">
        <f>1-SUM(H4:H8)</f>
        <v>0</v>
      </c>
      <c r="I9" s="62">
        <f>1-SUM(I4:I8)</f>
        <v>0</v>
      </c>
    </row>
    <row r="10" spans="1:19" ht="16.5" thickTop="1" thickBot="1" x14ac:dyDescent="0.3">
      <c r="B10" s="39" t="s">
        <v>26</v>
      </c>
      <c r="C10" s="21">
        <f>SUM(F10:I10)-C9</f>
        <v>0</v>
      </c>
      <c r="D10" s="4"/>
      <c r="E10" s="38" t="s">
        <v>39</v>
      </c>
      <c r="F10" s="43">
        <v>20780125.376315419</v>
      </c>
      <c r="G10" s="43">
        <v>40582629.628127679</v>
      </c>
      <c r="H10" s="43">
        <v>7802962.2423145426</v>
      </c>
      <c r="I10" s="70">
        <v>3487117</v>
      </c>
      <c r="J10" s="2" t="s">
        <v>37</v>
      </c>
    </row>
    <row r="11" spans="1:19" ht="15.75" thickTop="1" x14ac:dyDescent="0.25">
      <c r="D11" s="4"/>
      <c r="E11" s="25" t="s">
        <v>0</v>
      </c>
      <c r="F11" s="36">
        <f>F4*F$10</f>
        <v>20780125.376315419</v>
      </c>
      <c r="G11" s="36">
        <f>G4*G$10</f>
        <v>0</v>
      </c>
      <c r="H11" s="36">
        <f>H4*H$10</f>
        <v>3448522.712638841</v>
      </c>
      <c r="I11" s="37">
        <f t="shared" ref="F11:I15" si="0">I4*I$10</f>
        <v>1541132.9444754559</v>
      </c>
    </row>
    <row r="12" spans="1:19" x14ac:dyDescent="0.25">
      <c r="D12" s="4"/>
      <c r="E12" s="25" t="s">
        <v>4</v>
      </c>
      <c r="F12" s="29">
        <f t="shared" si="0"/>
        <v>0</v>
      </c>
      <c r="G12" s="29">
        <f t="shared" si="0"/>
        <v>8403641.2377984785</v>
      </c>
      <c r="H12" s="29">
        <f t="shared" si="0"/>
        <v>901694.83679095935</v>
      </c>
      <c r="I12" s="30">
        <f t="shared" si="0"/>
        <v>402964.3225920957</v>
      </c>
    </row>
    <row r="13" spans="1:19" x14ac:dyDescent="0.25">
      <c r="B13" s="53"/>
      <c r="C13" s="53"/>
      <c r="D13" s="4"/>
      <c r="E13" s="25" t="s">
        <v>5</v>
      </c>
      <c r="F13" s="29">
        <f t="shared" si="0"/>
        <v>0</v>
      </c>
      <c r="G13" s="29">
        <f t="shared" si="0"/>
        <v>19485122.509651378</v>
      </c>
      <c r="H13" s="29">
        <f t="shared" si="0"/>
        <v>2090716.8528525501</v>
      </c>
      <c r="I13" s="30">
        <f t="shared" si="0"/>
        <v>934334.17378757813</v>
      </c>
    </row>
    <row r="14" spans="1:19" x14ac:dyDescent="0.25">
      <c r="A14" s="60" t="s">
        <v>40</v>
      </c>
      <c r="B14" s="64">
        <v>3.007261270691498E-2</v>
      </c>
      <c r="C14" s="76"/>
      <c r="D14" s="4"/>
      <c r="E14" s="25" t="s">
        <v>6</v>
      </c>
      <c r="F14" s="29">
        <f t="shared" si="0"/>
        <v>0</v>
      </c>
      <c r="G14" s="29">
        <f t="shared" si="0"/>
        <v>8351189.1466495581</v>
      </c>
      <c r="H14" s="29">
        <f t="shared" si="0"/>
        <v>896066.8264524003</v>
      </c>
      <c r="I14" s="30">
        <f t="shared" si="0"/>
        <v>400449.18412053701</v>
      </c>
    </row>
    <row r="15" spans="1:19" ht="15.75" thickBot="1" x14ac:dyDescent="0.3">
      <c r="A15" s="22" t="s">
        <v>38</v>
      </c>
      <c r="B15" s="41">
        <f>B4*(1-B14)</f>
        <v>12409027855.166948</v>
      </c>
      <c r="C15" s="76"/>
      <c r="D15" s="4"/>
      <c r="E15" s="26" t="s">
        <v>7</v>
      </c>
      <c r="F15" s="31">
        <f t="shared" si="0"/>
        <v>0</v>
      </c>
      <c r="G15" s="31">
        <f t="shared" si="0"/>
        <v>4342676.7340282677</v>
      </c>
      <c r="H15" s="31">
        <f t="shared" si="0"/>
        <v>465961.01357979176</v>
      </c>
      <c r="I15" s="32">
        <f t="shared" si="0"/>
        <v>208236.37502433316</v>
      </c>
    </row>
    <row r="16" spans="1:19" x14ac:dyDescent="0.25">
      <c r="C16" s="5"/>
    </row>
    <row r="17" spans="1:32" x14ac:dyDescent="0.25">
      <c r="B17" s="73"/>
    </row>
    <row r="18" spans="1:32" x14ac:dyDescent="0.25">
      <c r="H18" s="4"/>
      <c r="I18" s="4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0" spans="1:32" x14ac:dyDescent="0.25">
      <c r="A20" s="44"/>
    </row>
    <row r="31" spans="1:32" x14ac:dyDescent="0.25">
      <c r="C31" s="2"/>
    </row>
    <row r="45" spans="2:4" x14ac:dyDescent="0.25">
      <c r="B45" s="7"/>
      <c r="C45" s="7"/>
      <c r="D45" s="7"/>
    </row>
    <row r="49" spans="2:4" x14ac:dyDescent="0.25">
      <c r="B49" s="7"/>
      <c r="C49" s="7"/>
      <c r="D49" s="7"/>
    </row>
  </sheetData>
  <mergeCells count="2">
    <mergeCell ref="E2:I2"/>
    <mergeCell ref="B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H36" sqref="H36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18"/>
  <sheetViews>
    <sheetView tabSelected="1" workbookViewId="0">
      <selection activeCell="C6" sqref="C6"/>
    </sheetView>
  </sheetViews>
  <sheetFormatPr defaultRowHeight="15" x14ac:dyDescent="0.25"/>
  <cols>
    <col min="2" max="2" width="18" customWidth="1"/>
    <col min="3" max="3" width="17.140625" customWidth="1"/>
    <col min="4" max="4" width="14.28515625" bestFit="1" customWidth="1"/>
    <col min="5" max="5" width="11.140625" customWidth="1"/>
    <col min="6" max="6" width="15.140625" customWidth="1"/>
    <col min="7" max="7" width="15.28515625" bestFit="1" customWidth="1"/>
    <col min="8" max="8" width="13.28515625" customWidth="1"/>
  </cols>
  <sheetData>
    <row r="1" spans="1:12" x14ac:dyDescent="0.25">
      <c r="A1" s="8" t="s">
        <v>160</v>
      </c>
      <c r="B1" s="223"/>
      <c r="C1" s="223"/>
    </row>
    <row r="2" spans="1:12" x14ac:dyDescent="0.25">
      <c r="A2" s="223"/>
      <c r="B2" s="286"/>
      <c r="C2" s="286"/>
    </row>
    <row r="3" spans="1:12" x14ac:dyDescent="0.25">
      <c r="A3" s="223"/>
      <c r="B3" s="223"/>
      <c r="C3" s="223"/>
      <c r="L3" s="58" t="s">
        <v>27</v>
      </c>
    </row>
    <row r="4" spans="1:12" x14ac:dyDescent="0.25">
      <c r="A4" s="226" t="s">
        <v>161</v>
      </c>
      <c r="B4" s="201">
        <v>-60000</v>
      </c>
      <c r="C4" s="223"/>
      <c r="D4" s="50"/>
      <c r="L4" s="58" t="s">
        <v>170</v>
      </c>
    </row>
    <row r="5" spans="1:12" s="223" customFormat="1" x14ac:dyDescent="0.25">
      <c r="A5" s="226" t="s">
        <v>168</v>
      </c>
      <c r="B5" s="201">
        <v>-890587.28</v>
      </c>
      <c r="D5" s="50"/>
      <c r="L5" s="58" t="s">
        <v>171</v>
      </c>
    </row>
    <row r="7" spans="1:12" ht="15.75" thickBot="1" x14ac:dyDescent="0.3"/>
    <row r="8" spans="1:12" s="223" customFormat="1" ht="15.75" thickBot="1" x14ac:dyDescent="0.3">
      <c r="B8" s="329" t="s">
        <v>8</v>
      </c>
      <c r="C8" s="330"/>
      <c r="D8" s="330"/>
      <c r="E8" s="330"/>
      <c r="F8" s="330"/>
      <c r="G8" s="331"/>
    </row>
    <row r="9" spans="1:12" x14ac:dyDescent="0.25">
      <c r="B9" s="307" t="s">
        <v>164</v>
      </c>
      <c r="C9" s="233" t="s">
        <v>165</v>
      </c>
      <c r="D9" s="233" t="s">
        <v>163</v>
      </c>
      <c r="E9" s="233"/>
      <c r="F9" s="233" t="s">
        <v>169</v>
      </c>
      <c r="G9" s="234" t="s">
        <v>172</v>
      </c>
      <c r="H9" s="317" t="s">
        <v>36</v>
      </c>
    </row>
    <row r="10" spans="1:12" x14ac:dyDescent="0.25">
      <c r="A10" s="60" t="s">
        <v>0</v>
      </c>
      <c r="B10" s="321">
        <f>+PCR!E4</f>
        <v>39007530.144976065</v>
      </c>
      <c r="C10" s="231">
        <f>+TDR!D4</f>
        <v>9605428.4336229824</v>
      </c>
      <c r="D10" s="231">
        <f>SUM(B10:C10)</f>
        <v>48612958.578599051</v>
      </c>
      <c r="E10" s="312">
        <f>+D10/$D$15</f>
        <v>0.51911818245362962</v>
      </c>
      <c r="F10" s="231">
        <f>+$B$4*E10</f>
        <v>-31147.090947217777</v>
      </c>
      <c r="G10" s="314">
        <f>+B5</f>
        <v>-890587.28</v>
      </c>
      <c r="H10" s="319">
        <f>F10+G10</f>
        <v>-921734.3709472178</v>
      </c>
    </row>
    <row r="11" spans="1:12" x14ac:dyDescent="0.25">
      <c r="A11" s="226" t="s">
        <v>4</v>
      </c>
      <c r="B11" s="321">
        <f>+PCR!E5</f>
        <v>7972586.6620000806</v>
      </c>
      <c r="C11" s="231">
        <f>+TDR!D5</f>
        <v>1386250.8421357744</v>
      </c>
      <c r="D11" s="231">
        <f>SUM(B11:C11)</f>
        <v>9358837.5041358545</v>
      </c>
      <c r="E11" s="312">
        <f t="shared" ref="E11:E14" si="0">+D11/$D$15</f>
        <v>9.993925194186111E-2</v>
      </c>
      <c r="F11" s="231">
        <f>+$B$4*E11</f>
        <v>-5996.3551165116669</v>
      </c>
      <c r="G11" s="314"/>
      <c r="H11" s="319">
        <f>F11+G11</f>
        <v>-5996.3551165116669</v>
      </c>
    </row>
    <row r="12" spans="1:12" x14ac:dyDescent="0.25">
      <c r="A12" s="226" t="s">
        <v>5</v>
      </c>
      <c r="B12" s="321">
        <f>+PCR!E6</f>
        <v>18670607.693111278</v>
      </c>
      <c r="C12" s="231">
        <f>+TDR!D6</f>
        <v>3031816.3545901799</v>
      </c>
      <c r="D12" s="231">
        <f>SUM(B12:C12)</f>
        <v>21702424.047701459</v>
      </c>
      <c r="E12" s="312">
        <f t="shared" si="0"/>
        <v>0.23175143533519532</v>
      </c>
      <c r="F12" s="231">
        <f>+$B$4*E12</f>
        <v>-13905.086120111719</v>
      </c>
      <c r="G12" s="314"/>
      <c r="H12" s="319">
        <f>F12+G12</f>
        <v>-13905.086120111719</v>
      </c>
    </row>
    <row r="13" spans="1:12" x14ac:dyDescent="0.25">
      <c r="A13" s="226" t="s">
        <v>6</v>
      </c>
      <c r="B13" s="321">
        <f>+PCR!E7</f>
        <v>8206819.4386253376</v>
      </c>
      <c r="C13" s="231">
        <f>+TDR!D7</f>
        <v>1325769.6731253485</v>
      </c>
      <c r="D13" s="231">
        <f>SUM(B13:C13)</f>
        <v>9532589.1117506865</v>
      </c>
      <c r="E13" s="312">
        <f t="shared" si="0"/>
        <v>0.10179467529770507</v>
      </c>
      <c r="F13" s="231">
        <f>+$B$4*E13</f>
        <v>-6107.6805178623044</v>
      </c>
      <c r="G13" s="314"/>
      <c r="H13" s="319">
        <f>F13+G13</f>
        <v>-6107.6805178623044</v>
      </c>
    </row>
    <row r="14" spans="1:12" ht="15.75" thickBot="1" x14ac:dyDescent="0.3">
      <c r="A14" s="226" t="s">
        <v>7</v>
      </c>
      <c r="B14" s="321">
        <f>+PCR!E8</f>
        <v>4195750.8812872404</v>
      </c>
      <c r="C14" s="231">
        <f>+TDR!D8</f>
        <v>242702.59652571366</v>
      </c>
      <c r="D14" s="231">
        <f>SUM(B14:C14)</f>
        <v>4438453.4778129542</v>
      </c>
      <c r="E14" s="312">
        <f t="shared" si="0"/>
        <v>4.739645497160877E-2</v>
      </c>
      <c r="F14" s="316">
        <f>+$B$4*E14</f>
        <v>-2843.7872982965264</v>
      </c>
      <c r="G14" s="314"/>
      <c r="H14" s="319">
        <f>F14+G14</f>
        <v>-2843.7872982965264</v>
      </c>
    </row>
    <row r="15" spans="1:12" ht="16.5" thickTop="1" thickBot="1" x14ac:dyDescent="0.3">
      <c r="A15" s="226" t="s">
        <v>9</v>
      </c>
      <c r="B15" s="308">
        <f t="shared" ref="B15:G15" si="1">SUM(B10:B14)</f>
        <v>78053294.820000008</v>
      </c>
      <c r="C15" s="309">
        <f t="shared" si="1"/>
        <v>15591967.899999999</v>
      </c>
      <c r="D15" s="309">
        <f t="shared" si="1"/>
        <v>93645262.720000014</v>
      </c>
      <c r="E15" s="313">
        <f t="shared" si="1"/>
        <v>1</v>
      </c>
      <c r="F15" s="315">
        <f t="shared" si="1"/>
        <v>-59999.999999999993</v>
      </c>
      <c r="G15" s="310">
        <f t="shared" si="1"/>
        <v>-890587.28</v>
      </c>
      <c r="H15" s="320">
        <f t="shared" ref="H15" si="2">SUM(H10:H14)</f>
        <v>-950587.28000000014</v>
      </c>
    </row>
    <row r="18" spans="2:7" x14ac:dyDescent="0.25">
      <c r="B18" s="50"/>
      <c r="G18" s="223"/>
    </row>
  </sheetData>
  <mergeCells count="1">
    <mergeCell ref="B8:G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B2:V36"/>
  <sheetViews>
    <sheetView topLeftCell="B10" workbookViewId="0">
      <selection activeCell="I13" sqref="I13"/>
    </sheetView>
  </sheetViews>
  <sheetFormatPr defaultRowHeight="15" x14ac:dyDescent="0.25"/>
  <cols>
    <col min="3" max="3" width="16.5703125" customWidth="1"/>
    <col min="4" max="4" width="15.5703125" customWidth="1"/>
    <col min="6" max="6" width="17.28515625" bestFit="1" customWidth="1"/>
    <col min="7" max="7" width="17.140625" customWidth="1"/>
    <col min="8" max="8" width="13.7109375" bestFit="1" customWidth="1"/>
    <col min="9" max="9" width="13.28515625" customWidth="1"/>
    <col min="10" max="11" width="13.42578125" customWidth="1"/>
    <col min="12" max="12" width="10.28515625" bestFit="1" customWidth="1"/>
    <col min="13" max="13" width="11" bestFit="1" customWidth="1"/>
    <col min="14" max="14" width="15.28515625" bestFit="1" customWidth="1"/>
    <col min="15" max="15" width="11" bestFit="1" customWidth="1"/>
    <col min="16" max="16" width="10.28515625" bestFit="1" customWidth="1"/>
  </cols>
  <sheetData>
    <row r="2" spans="2:22" ht="15.75" thickBot="1" x14ac:dyDescent="0.3">
      <c r="J2" s="338" t="s">
        <v>29</v>
      </c>
      <c r="K2" s="338"/>
      <c r="M2" t="s">
        <v>42</v>
      </c>
    </row>
    <row r="3" spans="2:22" ht="27.75" thickBot="1" x14ac:dyDescent="0.3">
      <c r="B3" s="9" t="s">
        <v>12</v>
      </c>
      <c r="C3" s="10" t="s">
        <v>34</v>
      </c>
      <c r="D3" s="10" t="s">
        <v>35</v>
      </c>
      <c r="E3" s="10" t="s">
        <v>45</v>
      </c>
      <c r="F3" s="10" t="s">
        <v>36</v>
      </c>
      <c r="G3" s="10" t="s">
        <v>14</v>
      </c>
      <c r="H3" s="11" t="s">
        <v>15</v>
      </c>
      <c r="J3" s="47" t="s">
        <v>30</v>
      </c>
      <c r="K3" s="47" t="s">
        <v>46</v>
      </c>
      <c r="M3" t="s">
        <v>34</v>
      </c>
      <c r="N3" t="s">
        <v>35</v>
      </c>
      <c r="O3" t="s">
        <v>36</v>
      </c>
      <c r="P3" t="s">
        <v>9</v>
      </c>
    </row>
    <row r="4" spans="2:22" ht="15.75" thickBot="1" x14ac:dyDescent="0.3">
      <c r="B4" s="12" t="s">
        <v>16</v>
      </c>
      <c r="C4" s="13">
        <f>C16+C26</f>
        <v>25174722.189349167</v>
      </c>
      <c r="D4" s="14">
        <f>D16+D26</f>
        <v>13201576.256964063</v>
      </c>
      <c r="E4" s="15">
        <v>0</v>
      </c>
      <c r="F4" s="318">
        <f>+OA!H10</f>
        <v>-921734.3709472178</v>
      </c>
      <c r="G4" s="63">
        <f>PPC!B15</f>
        <v>12409027855.166948</v>
      </c>
      <c r="H4" s="306">
        <f>SUM(C4:F4)/G4</f>
        <v>3.0183318558488405E-3</v>
      </c>
      <c r="J4" s="72">
        <f>(C4+OA!F10)/G4</f>
        <v>2.0262324649333841E-3</v>
      </c>
      <c r="K4" s="75">
        <f>(D4+OA!G10)/G4</f>
        <v>9.9209939091545666E-4</v>
      </c>
      <c r="L4" s="220">
        <f>J4+K4-H4</f>
        <v>0</v>
      </c>
      <c r="M4" s="69">
        <f>ROUND(C4/G4,6)</f>
        <v>2.029E-3</v>
      </c>
      <c r="N4" s="69">
        <f>ROUND(D4/G4,6)</f>
        <v>1.0640000000000001E-3</v>
      </c>
      <c r="O4" s="222">
        <f>ROUND(F4/G4,6)</f>
        <v>-7.3999999999999996E-5</v>
      </c>
      <c r="P4" s="69">
        <f>SUM(M4:O4)</f>
        <v>3.0190000000000004E-3</v>
      </c>
      <c r="Q4" s="65"/>
      <c r="T4" s="66"/>
      <c r="V4" s="67"/>
    </row>
    <row r="5" spans="2:22" ht="15.75" thickBot="1" x14ac:dyDescent="0.3">
      <c r="B5" s="12" t="s">
        <v>17</v>
      </c>
      <c r="C5" s="13">
        <f t="shared" ref="C5:D9" si="0">C17+C27</f>
        <v>10445446.412881764</v>
      </c>
      <c r="D5" s="14">
        <f>D17+D27</f>
        <v>3766844.3229531078</v>
      </c>
      <c r="E5" s="15">
        <v>0</v>
      </c>
      <c r="F5" s="318">
        <f>+OA!H11</f>
        <v>-5996.3551165116669</v>
      </c>
      <c r="G5" s="16">
        <f>PPC!B5</f>
        <v>3345222654.0622578</v>
      </c>
      <c r="H5" s="306">
        <f t="shared" ref="H5:H8" si="1">SUM(C5:F5)/G5</f>
        <v>4.2467410542813954E-3</v>
      </c>
      <c r="J5" s="72">
        <f>(C5+OA!F11)/G5</f>
        <v>3.1207041017398793E-3</v>
      </c>
      <c r="K5" s="75">
        <f>(D5+OA!G11)/G5</f>
        <v>1.1260369525415163E-3</v>
      </c>
      <c r="L5" s="20">
        <f>J5+K5-H5</f>
        <v>0</v>
      </c>
      <c r="M5" s="222">
        <f t="shared" ref="M5:M8" si="2">ROUND(C5/G5,6)</f>
        <v>3.1220000000000002E-3</v>
      </c>
      <c r="N5" s="222">
        <f t="shared" ref="N5:N7" si="3">ROUND(D5/G5,6)</f>
        <v>1.126E-3</v>
      </c>
      <c r="O5" s="222">
        <f t="shared" ref="O5:O8" si="4">ROUND(F5/G5,6)</f>
        <v>-1.9999999999999999E-6</v>
      </c>
      <c r="P5" s="222">
        <f t="shared" ref="P5:P8" si="5">SUM(M5:O5)</f>
        <v>4.2459999999999998E-3</v>
      </c>
      <c r="Q5" s="65"/>
      <c r="S5" s="55"/>
      <c r="T5" s="66"/>
    </row>
    <row r="6" spans="2:22" ht="15.75" thickBot="1" x14ac:dyDescent="0.3">
      <c r="B6" s="12" t="s">
        <v>18</v>
      </c>
      <c r="C6" s="13">
        <f t="shared" si="0"/>
        <v>24325870.901196525</v>
      </c>
      <c r="D6" s="14">
        <f t="shared" si="0"/>
        <v>6959432.2596001271</v>
      </c>
      <c r="E6" s="15">
        <v>0</v>
      </c>
      <c r="F6" s="318">
        <f>+OA!H12</f>
        <v>-13905.086120111719</v>
      </c>
      <c r="G6" s="16">
        <f>PPC!B6</f>
        <v>7756408370.1341009</v>
      </c>
      <c r="H6" s="306">
        <f t="shared" si="1"/>
        <v>4.0316853603384849E-3</v>
      </c>
      <c r="J6" s="72">
        <f>(C6+OA!F12)/G6</f>
        <v>3.1344360243703985E-3</v>
      </c>
      <c r="K6" s="75">
        <f>(D6+OA!G12)/G6</f>
        <v>8.9724933596808606E-4</v>
      </c>
      <c r="L6" s="20">
        <f>J6+K6-H6</f>
        <v>0</v>
      </c>
      <c r="M6" s="222">
        <f t="shared" si="2"/>
        <v>3.1359999999999999E-3</v>
      </c>
      <c r="N6" s="222">
        <f t="shared" si="3"/>
        <v>8.9700000000000001E-4</v>
      </c>
      <c r="O6" s="222">
        <f t="shared" si="4"/>
        <v>-1.9999999999999999E-6</v>
      </c>
      <c r="P6" s="222">
        <f t="shared" si="5"/>
        <v>4.0309999999999999E-3</v>
      </c>
    </row>
    <row r="7" spans="2:22" ht="15.75" thickBot="1" x14ac:dyDescent="0.3">
      <c r="B7" s="12" t="s">
        <v>19</v>
      </c>
      <c r="C7" s="13">
        <f t="shared" si="0"/>
        <v>10524521.029584352</v>
      </c>
      <c r="D7" s="14">
        <f t="shared" si="0"/>
        <v>3746218.7734242855</v>
      </c>
      <c r="E7" s="15">
        <v>0</v>
      </c>
      <c r="F7" s="318">
        <f>+OA!H13</f>
        <v>-6107.6805178623044</v>
      </c>
      <c r="G7" s="16">
        <f>PPC!B7</f>
        <v>3324343142.5982161</v>
      </c>
      <c r="H7" s="306">
        <f t="shared" si="1"/>
        <v>4.2909626084333546E-3</v>
      </c>
      <c r="J7" s="72">
        <f>(C7+OA!F13)/G7</f>
        <v>3.1640576492490439E-3</v>
      </c>
      <c r="K7" s="75">
        <f>(D7+OA!G13)/G7</f>
        <v>1.1269049591843105E-3</v>
      </c>
      <c r="L7" s="20">
        <f>J7+K7-H7</f>
        <v>0</v>
      </c>
      <c r="M7" s="222">
        <f t="shared" si="2"/>
        <v>3.166E-3</v>
      </c>
      <c r="N7" s="222">
        <f t="shared" si="3"/>
        <v>1.127E-3</v>
      </c>
      <c r="O7" s="222">
        <f t="shared" si="4"/>
        <v>-1.9999999999999999E-6</v>
      </c>
      <c r="P7" s="222">
        <f t="shared" si="5"/>
        <v>4.2909999999999997E-3</v>
      </c>
    </row>
    <row r="8" spans="2:22" ht="15.75" thickBot="1" x14ac:dyDescent="0.3">
      <c r="B8" s="12" t="s">
        <v>20</v>
      </c>
      <c r="C8" s="13">
        <f t="shared" si="0"/>
        <v>5420575.8161353823</v>
      </c>
      <c r="D8" s="14">
        <f t="shared" si="0"/>
        <v>241501.93639032106</v>
      </c>
      <c r="E8" s="15">
        <v>0</v>
      </c>
      <c r="F8" s="318">
        <f>+OA!H14</f>
        <v>-2843.7872982965264</v>
      </c>
      <c r="G8" s="16">
        <f>PPC!B8</f>
        <v>1728681672.4872692</v>
      </c>
      <c r="H8" s="306">
        <f t="shared" si="1"/>
        <v>3.2737282145675574E-3</v>
      </c>
      <c r="J8" s="72">
        <f>(C8+OA!F14)/G8</f>
        <v>3.1340252604413403E-3</v>
      </c>
      <c r="K8" s="75">
        <f>(D8+OA!G14)/G8</f>
        <v>1.3970295412621701E-4</v>
      </c>
      <c r="L8" s="20">
        <f>J8+K8-H8</f>
        <v>0</v>
      </c>
      <c r="M8" s="222">
        <f t="shared" si="2"/>
        <v>3.1359999999999999E-3</v>
      </c>
      <c r="N8" s="222">
        <f>ROUND(D8/G8,6)</f>
        <v>1.3999999999999999E-4</v>
      </c>
      <c r="O8" s="222">
        <f t="shared" si="4"/>
        <v>-1.9999999999999999E-6</v>
      </c>
      <c r="P8" s="222">
        <f t="shared" si="5"/>
        <v>3.274E-3</v>
      </c>
    </row>
    <row r="9" spans="2:22" ht="15.75" thickBot="1" x14ac:dyDescent="0.3">
      <c r="B9" s="12" t="s">
        <v>21</v>
      </c>
      <c r="C9" s="13">
        <f t="shared" si="0"/>
        <v>0</v>
      </c>
      <c r="D9" s="14">
        <f t="shared" si="0"/>
        <v>0</v>
      </c>
      <c r="E9" s="15">
        <v>0</v>
      </c>
      <c r="F9" s="15">
        <v>0</v>
      </c>
      <c r="G9" s="16">
        <v>0</v>
      </c>
      <c r="H9" s="54">
        <v>0</v>
      </c>
    </row>
    <row r="10" spans="2:22" x14ac:dyDescent="0.25">
      <c r="K10" s="327">
        <v>1.6305616906426852E-4</v>
      </c>
      <c r="N10">
        <v>1.3899999999999999E-4</v>
      </c>
      <c r="O10">
        <v>2.5999999999999998E-5</v>
      </c>
    </row>
    <row r="14" spans="2:22" ht="15.75" thickBot="1" x14ac:dyDescent="0.3"/>
    <row r="15" spans="2:22" ht="27.75" thickBot="1" x14ac:dyDescent="0.3">
      <c r="B15" s="9" t="s">
        <v>12</v>
      </c>
      <c r="C15" s="10" t="s">
        <v>22</v>
      </c>
      <c r="D15" s="10" t="s">
        <v>23</v>
      </c>
      <c r="E15" s="10" t="s">
        <v>44</v>
      </c>
      <c r="F15" s="10" t="s">
        <v>13</v>
      </c>
      <c r="H15" s="223"/>
      <c r="I15" s="68" t="s">
        <v>134</v>
      </c>
    </row>
    <row r="16" spans="2:22" ht="15.75" thickBot="1" x14ac:dyDescent="0.3">
      <c r="B16" s="12" t="s">
        <v>16</v>
      </c>
      <c r="C16" s="15">
        <f>PPC!C4</f>
        <v>25769781.033429716</v>
      </c>
      <c r="D16" s="15">
        <f>PTD!B4</f>
        <v>13654373.137017023</v>
      </c>
      <c r="E16" s="15">
        <v>0</v>
      </c>
      <c r="F16" s="13">
        <f t="shared" ref="F16:F21" si="6">SUM(C16:E16)</f>
        <v>39424154.170446739</v>
      </c>
      <c r="H16" s="226" t="s">
        <v>16</v>
      </c>
      <c r="I16" s="23">
        <f>SUM(C4:F4)</f>
        <v>37454564.075366013</v>
      </c>
    </row>
    <row r="17" spans="2:11" ht="15.75" thickBot="1" x14ac:dyDescent="0.3">
      <c r="B17" s="12" t="s">
        <v>17</v>
      </c>
      <c r="C17" s="15">
        <f>PPC!C5</f>
        <v>9708300.3971815351</v>
      </c>
      <c r="D17" s="15">
        <f>PTD!B5</f>
        <v>3515231.985125971</v>
      </c>
      <c r="E17" s="15">
        <v>0</v>
      </c>
      <c r="F17" s="13">
        <f t="shared" si="6"/>
        <v>13223532.382307507</v>
      </c>
      <c r="H17" s="226" t="s">
        <v>17</v>
      </c>
      <c r="I17" s="23">
        <f t="shared" ref="I17:I21" si="7">SUM(C5:F5)</f>
        <v>14206294.38071836</v>
      </c>
    </row>
    <row r="18" spans="2:11" ht="15.75" thickBot="1" x14ac:dyDescent="0.3">
      <c r="B18" s="12" t="s">
        <v>18</v>
      </c>
      <c r="C18" s="15">
        <f>PPC!C6</f>
        <v>22510173.536291506</v>
      </c>
      <c r="D18" s="15">
        <f>PTD!B6</f>
        <v>7471180.8360461993</v>
      </c>
      <c r="E18" s="15">
        <v>0</v>
      </c>
      <c r="F18" s="13">
        <f t="shared" si="6"/>
        <v>29981354.372337706</v>
      </c>
      <c r="H18" s="226" t="s">
        <v>18</v>
      </c>
      <c r="I18" s="23">
        <f t="shared" si="7"/>
        <v>31271398.07467654</v>
      </c>
    </row>
    <row r="19" spans="2:11" ht="15.75" thickBot="1" x14ac:dyDescent="0.3">
      <c r="B19" s="12" t="s">
        <v>19</v>
      </c>
      <c r="C19" s="15">
        <f>PPC!C7</f>
        <v>9647705.1572224963</v>
      </c>
      <c r="D19" s="15">
        <f>PTD!B7</f>
        <v>3781631.6206520419</v>
      </c>
      <c r="E19" s="15">
        <v>0</v>
      </c>
      <c r="F19" s="13">
        <f t="shared" si="6"/>
        <v>13429336.777874539</v>
      </c>
      <c r="H19" s="226" t="s">
        <v>19</v>
      </c>
      <c r="I19" s="23">
        <f t="shared" si="7"/>
        <v>14264632.122490777</v>
      </c>
    </row>
    <row r="20" spans="2:11" ht="15.75" thickBot="1" x14ac:dyDescent="0.3">
      <c r="B20" s="12" t="s">
        <v>20</v>
      </c>
      <c r="C20" s="15">
        <f>PPC!C8</f>
        <v>5016874.1226323927</v>
      </c>
      <c r="D20" s="15">
        <f>PTD!B8</f>
        <v>617675.58115876885</v>
      </c>
      <c r="E20" s="15">
        <v>0</v>
      </c>
      <c r="F20" s="13">
        <f t="shared" si="6"/>
        <v>5634549.703791162</v>
      </c>
      <c r="H20" s="226" t="s">
        <v>20</v>
      </c>
      <c r="I20" s="23">
        <f t="shared" si="7"/>
        <v>5659233.9652274065</v>
      </c>
    </row>
    <row r="21" spans="2:11" ht="15.75" thickBot="1" x14ac:dyDescent="0.3">
      <c r="B21" s="12" t="s">
        <v>21</v>
      </c>
      <c r="C21" s="17">
        <v>0</v>
      </c>
      <c r="D21" s="15">
        <v>0</v>
      </c>
      <c r="E21" s="15">
        <v>0</v>
      </c>
      <c r="F21" s="13">
        <f t="shared" si="6"/>
        <v>0</v>
      </c>
      <c r="H21" s="226" t="s">
        <v>21</v>
      </c>
      <c r="I21" s="23">
        <f t="shared" si="7"/>
        <v>0</v>
      </c>
    </row>
    <row r="22" spans="2:11" x14ac:dyDescent="0.25">
      <c r="H22" s="226" t="s">
        <v>9</v>
      </c>
      <c r="I22" s="266">
        <f>SUM(I16:I21)</f>
        <v>102856122.6184791</v>
      </c>
    </row>
    <row r="24" spans="2:11" ht="15.75" thickBot="1" x14ac:dyDescent="0.3"/>
    <row r="25" spans="2:11" ht="27.75" thickBot="1" x14ac:dyDescent="0.3">
      <c r="B25" s="9" t="s">
        <v>12</v>
      </c>
      <c r="C25" s="10" t="s">
        <v>24</v>
      </c>
      <c r="D25" s="10" t="s">
        <v>25</v>
      </c>
      <c r="E25" s="10" t="s">
        <v>43</v>
      </c>
      <c r="F25" s="10" t="s">
        <v>33</v>
      </c>
      <c r="H25" s="223"/>
      <c r="I25" s="68" t="s">
        <v>175</v>
      </c>
      <c r="J25" s="68" t="s">
        <v>176</v>
      </c>
      <c r="K25" s="68" t="s">
        <v>9</v>
      </c>
    </row>
    <row r="26" spans="2:11" ht="15.75" thickBot="1" x14ac:dyDescent="0.3">
      <c r="B26" s="12" t="s">
        <v>16</v>
      </c>
      <c r="C26" s="14">
        <f>PCR!H4</f>
        <v>-595058.84408054745</v>
      </c>
      <c r="D26" s="14">
        <f>TDR!G4</f>
        <v>-452796.8800529592</v>
      </c>
      <c r="E26" s="15">
        <v>0</v>
      </c>
      <c r="F26" s="18">
        <f t="shared" ref="F26:F31" si="8">SUM(C26:E26)</f>
        <v>-1047855.7241335067</v>
      </c>
      <c r="H26" s="226" t="s">
        <v>16</v>
      </c>
      <c r="I26" s="328">
        <f>+F26+'tariff tables (M1)'!F26+F4</f>
        <v>-1913472.601294684</v>
      </c>
      <c r="J26" s="23">
        <f>+F16+'tariff tables (M1)'!F16</f>
        <v>46660664.811141849</v>
      </c>
      <c r="K26" s="328">
        <f>+J26+I26</f>
        <v>44747192.209847167</v>
      </c>
    </row>
    <row r="27" spans="2:11" ht="15.75" thickBot="1" x14ac:dyDescent="0.3">
      <c r="B27" s="12" t="s">
        <v>17</v>
      </c>
      <c r="C27" s="224">
        <f>PCR!H5</f>
        <v>737146.01570022781</v>
      </c>
      <c r="D27" s="224">
        <f>TDR!G5</f>
        <v>251612.33782713677</v>
      </c>
      <c r="E27" s="15">
        <v>0</v>
      </c>
      <c r="F27" s="18">
        <f t="shared" si="8"/>
        <v>988758.35352736455</v>
      </c>
      <c r="H27" s="226" t="s">
        <v>17</v>
      </c>
      <c r="I27" s="328">
        <f>+F27+'tariff tables (M1)'!F27+F5</f>
        <v>998884.56325652124</v>
      </c>
      <c r="J27" s="23">
        <f>+F17+'tariff tables (M1)'!F17</f>
        <v>13969986.379954789</v>
      </c>
      <c r="K27" s="328">
        <f t="shared" ref="K27:K31" si="9">+J27+I27</f>
        <v>14968870.94321131</v>
      </c>
    </row>
    <row r="28" spans="2:11" ht="15.75" thickBot="1" x14ac:dyDescent="0.3">
      <c r="B28" s="12" t="s">
        <v>18</v>
      </c>
      <c r="C28" s="224">
        <f>PCR!H6</f>
        <v>1815697.3649050198</v>
      </c>
      <c r="D28" s="224">
        <f>TDR!G6</f>
        <v>-511748.57644607197</v>
      </c>
      <c r="E28" s="15">
        <v>0</v>
      </c>
      <c r="F28" s="18">
        <f t="shared" si="8"/>
        <v>1303948.7884589478</v>
      </c>
      <c r="H28" s="226" t="s">
        <v>18</v>
      </c>
      <c r="I28" s="328">
        <f>+F28+'tariff tables (M1)'!F28+F6</f>
        <v>1346946.0138308853</v>
      </c>
      <c r="J28" s="23">
        <f>+F18+'tariff tables (M1)'!F18</f>
        <v>33136533.87499807</v>
      </c>
      <c r="K28" s="328">
        <f t="shared" si="9"/>
        <v>34483479.888828956</v>
      </c>
    </row>
    <row r="29" spans="2:11" ht="15.75" thickBot="1" x14ac:dyDescent="0.3">
      <c r="B29" s="12" t="s">
        <v>19</v>
      </c>
      <c r="C29" s="224">
        <f>PCR!H7</f>
        <v>876815.8723618557</v>
      </c>
      <c r="D29" s="224">
        <f>TDR!G7</f>
        <v>-35412.84722775648</v>
      </c>
      <c r="E29" s="15">
        <v>0</v>
      </c>
      <c r="F29" s="18">
        <f t="shared" si="8"/>
        <v>841403.02513409918</v>
      </c>
      <c r="H29" s="226" t="s">
        <v>19</v>
      </c>
      <c r="I29" s="328">
        <f>+F29+'tariff tables (M1)'!F29+F7</f>
        <v>808073.77005243266</v>
      </c>
      <c r="J29" s="23">
        <f>+F19+'tariff tables (M1)'!F19</f>
        <v>14834426.655798836</v>
      </c>
      <c r="K29" s="328">
        <f t="shared" si="9"/>
        <v>15642500.425851269</v>
      </c>
    </row>
    <row r="30" spans="2:11" ht="15.75" thickBot="1" x14ac:dyDescent="0.3">
      <c r="B30" s="12" t="s">
        <v>20</v>
      </c>
      <c r="C30" s="224">
        <f>PCR!H8</f>
        <v>403701.69350298948</v>
      </c>
      <c r="D30" s="224">
        <f>TDR!G8</f>
        <v>-376173.64476844779</v>
      </c>
      <c r="E30" s="15">
        <v>0</v>
      </c>
      <c r="F30" s="18">
        <f t="shared" si="8"/>
        <v>27528.048734541691</v>
      </c>
      <c r="H30" s="226" t="s">
        <v>20</v>
      </c>
      <c r="I30" s="328">
        <f>+F30+'tariff tables (M1)'!F30+F8</f>
        <v>80853.68003530617</v>
      </c>
      <c r="J30" s="23">
        <f>+F20+'tariff tables (M1)'!F20</f>
        <v>6600548.9948641155</v>
      </c>
      <c r="K30" s="328">
        <f t="shared" si="9"/>
        <v>6681402.6748994216</v>
      </c>
    </row>
    <row r="31" spans="2:11" ht="15.75" thickBot="1" x14ac:dyDescent="0.3">
      <c r="B31" s="12" t="s">
        <v>21</v>
      </c>
      <c r="C31" s="14">
        <v>0</v>
      </c>
      <c r="D31" s="14">
        <v>0</v>
      </c>
      <c r="E31" s="15">
        <v>0</v>
      </c>
      <c r="F31" s="18">
        <f t="shared" si="8"/>
        <v>0</v>
      </c>
      <c r="H31" s="226" t="s">
        <v>21</v>
      </c>
      <c r="I31" s="328">
        <f>+F31+'tariff tables (M1)'!F31+F9</f>
        <v>0</v>
      </c>
      <c r="J31" s="23">
        <f>+F21+'tariff tables (M1)'!F21</f>
        <v>0</v>
      </c>
      <c r="K31" s="328">
        <f t="shared" si="9"/>
        <v>0</v>
      </c>
    </row>
    <row r="32" spans="2:11" x14ac:dyDescent="0.25">
      <c r="H32" s="226" t="s">
        <v>9</v>
      </c>
      <c r="I32" s="328">
        <f>SUM(I26:I31)</f>
        <v>1321285.4258804615</v>
      </c>
      <c r="J32" s="328">
        <f>SUM(J26:J31)</f>
        <v>115202160.71675766</v>
      </c>
      <c r="K32" s="328">
        <f>SUM(K26:K31)</f>
        <v>116523446.14263812</v>
      </c>
    </row>
    <row r="34" spans="6:11" x14ac:dyDescent="0.25">
      <c r="I34" s="328"/>
      <c r="J34" s="328"/>
      <c r="K34" s="328"/>
    </row>
    <row r="35" spans="6:11" x14ac:dyDescent="0.25">
      <c r="F35" s="23"/>
      <c r="G35" s="57"/>
    </row>
    <row r="36" spans="6:11" x14ac:dyDescent="0.25">
      <c r="G36" s="57"/>
    </row>
  </sheetData>
  <mergeCells count="1">
    <mergeCell ref="J2:K2"/>
  </mergeCell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X36"/>
  <sheetViews>
    <sheetView topLeftCell="A13" workbookViewId="0">
      <selection activeCell="K27" sqref="K27"/>
    </sheetView>
  </sheetViews>
  <sheetFormatPr defaultColWidth="9.140625" defaultRowHeight="15" x14ac:dyDescent="0.25"/>
  <cols>
    <col min="1" max="2" width="9.140625" style="76"/>
    <col min="3" max="3" width="16.5703125" style="76" customWidth="1"/>
    <col min="4" max="4" width="15.5703125" style="76" customWidth="1"/>
    <col min="5" max="5" width="16.28515625" style="76" customWidth="1"/>
    <col min="6" max="6" width="17" style="76" customWidth="1"/>
    <col min="7" max="7" width="17.140625" style="76" customWidth="1"/>
    <col min="8" max="8" width="13.7109375" style="76" bestFit="1" customWidth="1"/>
    <col min="9" max="9" width="12.28515625" style="76" customWidth="1"/>
    <col min="10" max="11" width="13.42578125" style="76" customWidth="1"/>
    <col min="12" max="12" width="13.42578125" style="215" customWidth="1"/>
    <col min="13" max="13" width="7.28515625" style="76" customWidth="1"/>
    <col min="14" max="14" width="11" style="76" bestFit="1" customWidth="1"/>
    <col min="15" max="15" width="12.28515625" style="76" customWidth="1"/>
    <col min="16" max="16" width="12.28515625" style="215" customWidth="1"/>
    <col min="17" max="17" width="11" style="76" bestFit="1" customWidth="1"/>
    <col min="18" max="16384" width="9.140625" style="76"/>
  </cols>
  <sheetData>
    <row r="2" spans="2:24" ht="15.75" thickBot="1" x14ac:dyDescent="0.3">
      <c r="I2" s="216"/>
      <c r="J2" s="338" t="s">
        <v>29</v>
      </c>
      <c r="K2" s="338"/>
      <c r="L2" s="338"/>
      <c r="N2" s="76" t="s">
        <v>42</v>
      </c>
    </row>
    <row r="3" spans="2:24" ht="27.75" thickBot="1" x14ac:dyDescent="0.3">
      <c r="B3" s="9" t="s">
        <v>12</v>
      </c>
      <c r="C3" s="217" t="s">
        <v>34</v>
      </c>
      <c r="D3" s="217" t="s">
        <v>35</v>
      </c>
      <c r="E3" s="217" t="s">
        <v>116</v>
      </c>
      <c r="F3" s="217" t="s">
        <v>36</v>
      </c>
      <c r="G3" s="217" t="s">
        <v>14</v>
      </c>
      <c r="H3" s="11" t="s">
        <v>15</v>
      </c>
      <c r="J3" s="47" t="s">
        <v>30</v>
      </c>
      <c r="K3" s="47" t="s">
        <v>46</v>
      </c>
      <c r="L3" s="221" t="s">
        <v>117</v>
      </c>
      <c r="N3" s="76" t="s">
        <v>34</v>
      </c>
      <c r="O3" s="76" t="s">
        <v>35</v>
      </c>
      <c r="P3" s="215" t="s">
        <v>116</v>
      </c>
      <c r="Q3" s="76" t="s">
        <v>9</v>
      </c>
    </row>
    <row r="4" spans="2:24" ht="15.75" thickBot="1" x14ac:dyDescent="0.3">
      <c r="B4" s="12" t="s">
        <v>16</v>
      </c>
      <c r="C4" s="13">
        <f>C16+C26</f>
        <v>0</v>
      </c>
      <c r="D4" s="14">
        <f>D16+D26</f>
        <v>0</v>
      </c>
      <c r="E4" s="218">
        <f>E16+E26</f>
        <v>7292628.1344811469</v>
      </c>
      <c r="F4" s="15"/>
      <c r="G4" s="63">
        <f>+'PI (M1)'!B11*(1-PPC!B14)</f>
        <v>10947078985.463493</v>
      </c>
      <c r="H4" s="78">
        <f>SUM(C4:E4)/G4</f>
        <v>6.6617114429931015E-4</v>
      </c>
      <c r="J4" s="72">
        <f>(C16+C26)/G4</f>
        <v>0</v>
      </c>
      <c r="K4" s="75">
        <f>(D16+D26)/G4</f>
        <v>0</v>
      </c>
      <c r="L4" s="75">
        <f>(E16+E26)/G4</f>
        <v>6.6617114429931015E-4</v>
      </c>
      <c r="M4" s="220">
        <f>J4+K4+L4-H4</f>
        <v>0</v>
      </c>
      <c r="N4" s="69">
        <f>ROUND(J4,6)</f>
        <v>0</v>
      </c>
      <c r="O4" s="69">
        <f>ROUND(K4,6)</f>
        <v>0</v>
      </c>
      <c r="P4" s="222">
        <f>ROUND(L4,6)</f>
        <v>6.6600000000000003E-4</v>
      </c>
      <c r="Q4" s="69">
        <f>SUM(N4:O4)</f>
        <v>0</v>
      </c>
      <c r="S4" s="65"/>
      <c r="V4" s="66"/>
      <c r="X4" s="67"/>
    </row>
    <row r="5" spans="2:24" ht="15.75" thickBot="1" x14ac:dyDescent="0.3">
      <c r="B5" s="12" t="s">
        <v>17</v>
      </c>
      <c r="C5" s="13">
        <f t="shared" ref="C5:D9" si="0">C17+C27</f>
        <v>0</v>
      </c>
      <c r="D5" s="14">
        <f>D17+D27</f>
        <v>0</v>
      </c>
      <c r="E5" s="218">
        <f>E17+E27</f>
        <v>762576.56249295094</v>
      </c>
      <c r="F5" s="15"/>
      <c r="G5" s="63">
        <f>+'PI (M1)'!B12</f>
        <v>3015172208.0342064</v>
      </c>
      <c r="H5" s="78">
        <f>SUM(C5:E5)/G5</f>
        <v>2.5291310408771838E-4</v>
      </c>
      <c r="J5" s="74">
        <f>(C17+C27)/G5</f>
        <v>0</v>
      </c>
      <c r="K5" s="78">
        <f>(D17+D27)/G5</f>
        <v>0</v>
      </c>
      <c r="L5" s="75">
        <f>(E17+E27)/G5</f>
        <v>2.5291310408771838E-4</v>
      </c>
      <c r="M5" s="220">
        <f>J5+K5+L5-H5</f>
        <v>0</v>
      </c>
      <c r="N5" s="69">
        <f t="shared" ref="N5:O8" si="1">ROUND(J5,6)</f>
        <v>0</v>
      </c>
      <c r="O5" s="69">
        <f t="shared" si="1"/>
        <v>0</v>
      </c>
      <c r="P5" s="222">
        <f>ROUND(L5,6)</f>
        <v>2.5300000000000002E-4</v>
      </c>
      <c r="Q5" s="69">
        <f>SUM(N5:O5)</f>
        <v>0</v>
      </c>
      <c r="S5" s="65"/>
      <c r="V5" s="66"/>
    </row>
    <row r="6" spans="2:24" ht="15.75" thickBot="1" x14ac:dyDescent="0.3">
      <c r="B6" s="12" t="s">
        <v>18</v>
      </c>
      <c r="C6" s="13">
        <f t="shared" si="0"/>
        <v>0</v>
      </c>
      <c r="D6" s="14">
        <f t="shared" si="0"/>
        <v>0</v>
      </c>
      <c r="E6" s="218">
        <f>E18+E28</f>
        <v>3212081.8141524112</v>
      </c>
      <c r="F6" s="15"/>
      <c r="G6" s="63">
        <f>+'PI (M1)'!B13</f>
        <v>7065848205.2827311</v>
      </c>
      <c r="H6" s="78">
        <f>SUM(C6:E6)/G6</f>
        <v>4.5459253027130151E-4</v>
      </c>
      <c r="J6" s="74">
        <f>(C18+C28)/G6</f>
        <v>0</v>
      </c>
      <c r="K6" s="78">
        <f>(D18+D28)/G6</f>
        <v>0</v>
      </c>
      <c r="L6" s="75">
        <f>(E18+E28)/G6</f>
        <v>4.5459253027130151E-4</v>
      </c>
      <c r="M6" s="220">
        <f>J6+K6+L6-H6</f>
        <v>0</v>
      </c>
      <c r="N6" s="69">
        <f t="shared" si="1"/>
        <v>0</v>
      </c>
      <c r="O6" s="69">
        <f t="shared" si="1"/>
        <v>0</v>
      </c>
      <c r="P6" s="222">
        <f>ROUND(L6,6)</f>
        <v>4.55E-4</v>
      </c>
      <c r="Q6" s="69">
        <f>SUM(N6:O6)</f>
        <v>0</v>
      </c>
    </row>
    <row r="7" spans="2:24" ht="15.75" thickBot="1" x14ac:dyDescent="0.3">
      <c r="B7" s="12" t="s">
        <v>19</v>
      </c>
      <c r="C7" s="13">
        <f t="shared" si="0"/>
        <v>0</v>
      </c>
      <c r="D7" s="14">
        <f t="shared" si="0"/>
        <v>0</v>
      </c>
      <c r="E7" s="218">
        <f>E19+E29</f>
        <v>1377868.3033604922</v>
      </c>
      <c r="F7" s="15"/>
      <c r="G7" s="63">
        <f>+'PI (M1)'!B14</f>
        <v>3044154003.0419312</v>
      </c>
      <c r="H7" s="78">
        <f>SUM(C7:E7)/G7</f>
        <v>4.5262766009329029E-4</v>
      </c>
      <c r="J7" s="74">
        <f>(C19+C29)/G7</f>
        <v>0</v>
      </c>
      <c r="K7" s="78">
        <f>(D19+D29)/G7</f>
        <v>0</v>
      </c>
      <c r="L7" s="75">
        <f>(E19+E29)/G7</f>
        <v>4.5262766009329029E-4</v>
      </c>
      <c r="M7" s="220">
        <f>J7+K7+L7-H7</f>
        <v>0</v>
      </c>
      <c r="N7" s="69">
        <f t="shared" si="1"/>
        <v>0</v>
      </c>
      <c r="O7" s="69">
        <f t="shared" si="1"/>
        <v>0</v>
      </c>
      <c r="P7" s="222">
        <f>ROUND(L7,6)</f>
        <v>4.5300000000000001E-4</v>
      </c>
      <c r="Q7" s="69">
        <f>SUM(N7:O7)</f>
        <v>0</v>
      </c>
    </row>
    <row r="8" spans="2:24" ht="15.75" thickBot="1" x14ac:dyDescent="0.3">
      <c r="B8" s="12" t="s">
        <v>20</v>
      </c>
      <c r="C8" s="13">
        <f t="shared" si="0"/>
        <v>0</v>
      </c>
      <c r="D8" s="14">
        <f t="shared" si="0"/>
        <v>0</v>
      </c>
      <c r="E8" s="218">
        <f>E20+E30</f>
        <v>1022168.7096720148</v>
      </c>
      <c r="F8" s="15"/>
      <c r="G8" s="63">
        <f>+'PI (M1)'!B15</f>
        <v>1586807059.1420789</v>
      </c>
      <c r="H8" s="78">
        <f>SUM(C8:E8)/G8</f>
        <v>6.4416697908103537E-4</v>
      </c>
      <c r="J8" s="74">
        <f>(C20+C30)/G8</f>
        <v>0</v>
      </c>
      <c r="K8" s="78">
        <f>(D20+D30)/G8</f>
        <v>0</v>
      </c>
      <c r="L8" s="75">
        <f>(E20+E30)/G8</f>
        <v>6.4416697908103537E-4</v>
      </c>
      <c r="M8" s="220">
        <f>J8+K8+L8-H8</f>
        <v>0</v>
      </c>
      <c r="N8" s="69">
        <f t="shared" si="1"/>
        <v>0</v>
      </c>
      <c r="O8" s="69">
        <f t="shared" si="1"/>
        <v>0</v>
      </c>
      <c r="P8" s="222">
        <f>ROUND(L8,6)</f>
        <v>6.4400000000000004E-4</v>
      </c>
      <c r="Q8" s="69">
        <f>SUM(N8:O8)</f>
        <v>0</v>
      </c>
    </row>
    <row r="9" spans="2:24" ht="15.75" thickBot="1" x14ac:dyDescent="0.3">
      <c r="B9" s="12" t="s">
        <v>21</v>
      </c>
      <c r="C9" s="13">
        <f t="shared" si="0"/>
        <v>0</v>
      </c>
      <c r="D9" s="14">
        <f t="shared" si="0"/>
        <v>0</v>
      </c>
      <c r="E9" s="218">
        <f>E21+E31</f>
        <v>0</v>
      </c>
      <c r="F9" s="15"/>
      <c r="G9" s="16">
        <v>0</v>
      </c>
      <c r="H9" s="78">
        <v>0</v>
      </c>
    </row>
    <row r="11" spans="2:24" x14ac:dyDescent="0.25">
      <c r="G11" s="223"/>
    </row>
    <row r="12" spans="2:24" x14ac:dyDescent="0.25">
      <c r="G12" s="223"/>
    </row>
    <row r="14" spans="2:24" ht="15.75" thickBot="1" x14ac:dyDescent="0.3"/>
    <row r="15" spans="2:24" ht="27.75" thickBot="1" x14ac:dyDescent="0.3">
      <c r="B15" s="9" t="s">
        <v>12</v>
      </c>
      <c r="C15" s="214" t="s">
        <v>22</v>
      </c>
      <c r="D15" s="214" t="s">
        <v>23</v>
      </c>
      <c r="E15" s="214" t="s">
        <v>115</v>
      </c>
      <c r="F15" s="214" t="s">
        <v>13</v>
      </c>
      <c r="I15" s="68" t="s">
        <v>134</v>
      </c>
    </row>
    <row r="16" spans="2:24" ht="15.75" thickBot="1" x14ac:dyDescent="0.3">
      <c r="B16" s="12" t="s">
        <v>16</v>
      </c>
      <c r="C16" s="15">
        <v>0</v>
      </c>
      <c r="D16" s="15">
        <v>0</v>
      </c>
      <c r="E16" s="219">
        <f>+'PI (M1)'!C11</f>
        <v>7236510.6406951062</v>
      </c>
      <c r="F16" s="13">
        <f>SUM(C16:E16)</f>
        <v>7236510.6406951062</v>
      </c>
      <c r="H16" s="226" t="s">
        <v>16</v>
      </c>
      <c r="I16" s="23">
        <f t="shared" ref="I16:I21" si="2">SUM(C4:F4)</f>
        <v>7292628.1344811469</v>
      </c>
    </row>
    <row r="17" spans="2:9" ht="15.75" thickBot="1" x14ac:dyDescent="0.3">
      <c r="B17" s="12" t="s">
        <v>17</v>
      </c>
      <c r="C17" s="15">
        <v>0</v>
      </c>
      <c r="D17" s="15">
        <v>0</v>
      </c>
      <c r="E17" s="219">
        <f>+'PI (M1)'!C12</f>
        <v>746453.99764728255</v>
      </c>
      <c r="F17" s="13">
        <f t="shared" ref="F17:F21" si="3">SUM(C17:E17)</f>
        <v>746453.99764728255</v>
      </c>
      <c r="H17" s="226" t="s">
        <v>17</v>
      </c>
      <c r="I17" s="23">
        <f t="shared" si="2"/>
        <v>762576.56249295094</v>
      </c>
    </row>
    <row r="18" spans="2:9" ht="15.75" thickBot="1" x14ac:dyDescent="0.3">
      <c r="B18" s="12" t="s">
        <v>18</v>
      </c>
      <c r="C18" s="15">
        <v>0</v>
      </c>
      <c r="D18" s="15">
        <v>0</v>
      </c>
      <c r="E18" s="219">
        <f>+'PI (M1)'!C13</f>
        <v>3155179.502660362</v>
      </c>
      <c r="F18" s="13">
        <f t="shared" si="3"/>
        <v>3155179.502660362</v>
      </c>
      <c r="H18" s="226" t="s">
        <v>18</v>
      </c>
      <c r="I18" s="23">
        <f t="shared" si="2"/>
        <v>3212081.8141524112</v>
      </c>
    </row>
    <row r="19" spans="2:9" ht="15.75" thickBot="1" x14ac:dyDescent="0.3">
      <c r="B19" s="12" t="s">
        <v>19</v>
      </c>
      <c r="C19" s="15">
        <v>0</v>
      </c>
      <c r="D19" s="15">
        <v>0</v>
      </c>
      <c r="E19" s="219">
        <f>+'PI (M1)'!C14</f>
        <v>1405089.8779242965</v>
      </c>
      <c r="F19" s="13">
        <f t="shared" si="3"/>
        <v>1405089.8779242965</v>
      </c>
      <c r="H19" s="226" t="s">
        <v>19</v>
      </c>
      <c r="I19" s="23">
        <f t="shared" si="2"/>
        <v>1377868.3033604922</v>
      </c>
    </row>
    <row r="20" spans="2:9" ht="15.75" thickBot="1" x14ac:dyDescent="0.3">
      <c r="B20" s="12" t="s">
        <v>20</v>
      </c>
      <c r="C20" s="15">
        <v>0</v>
      </c>
      <c r="D20" s="15">
        <v>0</v>
      </c>
      <c r="E20" s="219">
        <f>+'PI (M1)'!C15</f>
        <v>965999.29107295384</v>
      </c>
      <c r="F20" s="13">
        <f t="shared" si="3"/>
        <v>965999.29107295384</v>
      </c>
      <c r="H20" s="226" t="s">
        <v>20</v>
      </c>
      <c r="I20" s="23">
        <f t="shared" si="2"/>
        <v>1022168.7096720148</v>
      </c>
    </row>
    <row r="21" spans="2:9" ht="15.75" thickBot="1" x14ac:dyDescent="0.3">
      <c r="B21" s="12" t="s">
        <v>21</v>
      </c>
      <c r="C21" s="17">
        <v>0</v>
      </c>
      <c r="D21" s="15">
        <v>0</v>
      </c>
      <c r="E21" s="15">
        <v>0</v>
      </c>
      <c r="F21" s="13">
        <f t="shared" si="3"/>
        <v>0</v>
      </c>
      <c r="H21" s="226" t="s">
        <v>21</v>
      </c>
      <c r="I21" s="23">
        <f t="shared" si="2"/>
        <v>0</v>
      </c>
    </row>
    <row r="22" spans="2:9" x14ac:dyDescent="0.25">
      <c r="H22" s="226" t="s">
        <v>9</v>
      </c>
      <c r="I22" s="266">
        <f>SUM(I16:I21)</f>
        <v>13667323.524159016</v>
      </c>
    </row>
    <row r="24" spans="2:9" ht="15.75" thickBot="1" x14ac:dyDescent="0.3"/>
    <row r="25" spans="2:9" ht="27.75" thickBot="1" x14ac:dyDescent="0.3">
      <c r="B25" s="9" t="s">
        <v>12</v>
      </c>
      <c r="C25" s="213" t="s">
        <v>24</v>
      </c>
      <c r="D25" s="213" t="s">
        <v>25</v>
      </c>
      <c r="E25" s="213" t="s">
        <v>114</v>
      </c>
      <c r="F25" s="213" t="s">
        <v>33</v>
      </c>
    </row>
    <row r="26" spans="2:9" ht="15.75" thickBot="1" x14ac:dyDescent="0.3">
      <c r="B26" s="12" t="s">
        <v>16</v>
      </c>
      <c r="C26" s="14">
        <v>0</v>
      </c>
      <c r="D26" s="14">
        <v>0</v>
      </c>
      <c r="E26" s="15">
        <f>+'PIR (M1)'!F4</f>
        <v>56117.49378604041</v>
      </c>
      <c r="F26" s="18">
        <f>SUM(C26:E26)</f>
        <v>56117.49378604041</v>
      </c>
    </row>
    <row r="27" spans="2:9" ht="15.75" thickBot="1" x14ac:dyDescent="0.3">
      <c r="B27" s="12" t="s">
        <v>17</v>
      </c>
      <c r="C27" s="14">
        <v>0</v>
      </c>
      <c r="D27" s="14">
        <v>0</v>
      </c>
      <c r="E27" s="219">
        <f>+'PIR (M1)'!F5</f>
        <v>16122.564845668418</v>
      </c>
      <c r="F27" s="18">
        <f t="shared" ref="F27:F31" si="4">SUM(C27:E27)</f>
        <v>16122.564845668418</v>
      </c>
    </row>
    <row r="28" spans="2:9" ht="15.75" thickBot="1" x14ac:dyDescent="0.3">
      <c r="B28" s="12" t="s">
        <v>18</v>
      </c>
      <c r="C28" s="14">
        <v>0</v>
      </c>
      <c r="D28" s="14">
        <v>0</v>
      </c>
      <c r="E28" s="219">
        <f>+'PIR (M1)'!F6</f>
        <v>56902.311492049113</v>
      </c>
      <c r="F28" s="18">
        <f t="shared" si="4"/>
        <v>56902.311492049113</v>
      </c>
    </row>
    <row r="29" spans="2:9" ht="15.75" thickBot="1" x14ac:dyDescent="0.3">
      <c r="B29" s="12" t="s">
        <v>19</v>
      </c>
      <c r="C29" s="14">
        <v>0</v>
      </c>
      <c r="D29" s="14">
        <v>0</v>
      </c>
      <c r="E29" s="219">
        <f>+'PIR (M1)'!F7</f>
        <v>-27221.574563804217</v>
      </c>
      <c r="F29" s="18">
        <f t="shared" si="4"/>
        <v>-27221.574563804217</v>
      </c>
    </row>
    <row r="30" spans="2:9" ht="15.75" thickBot="1" x14ac:dyDescent="0.3">
      <c r="B30" s="12" t="s">
        <v>20</v>
      </c>
      <c r="C30" s="14">
        <v>0</v>
      </c>
      <c r="D30" s="14">
        <v>0</v>
      </c>
      <c r="E30" s="219">
        <f>+'PIR (M1)'!F8</f>
        <v>56169.418599060999</v>
      </c>
      <c r="F30" s="18">
        <f t="shared" si="4"/>
        <v>56169.418599060999</v>
      </c>
    </row>
    <row r="31" spans="2:9" ht="15.75" thickBot="1" x14ac:dyDescent="0.3">
      <c r="B31" s="12" t="s">
        <v>21</v>
      </c>
      <c r="C31" s="14">
        <v>0</v>
      </c>
      <c r="D31" s="14">
        <v>0</v>
      </c>
      <c r="E31" s="219">
        <v>0</v>
      </c>
      <c r="F31" s="18">
        <f t="shared" si="4"/>
        <v>0</v>
      </c>
    </row>
    <row r="35" spans="6:7" x14ac:dyDescent="0.25">
      <c r="F35" s="23"/>
      <c r="G35" s="57"/>
    </row>
    <row r="36" spans="6:7" x14ac:dyDescent="0.25">
      <c r="G36" s="57"/>
    </row>
  </sheetData>
  <mergeCells count="1">
    <mergeCell ref="J2:L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C2:H31"/>
  <sheetViews>
    <sheetView topLeftCell="A13" workbookViewId="0">
      <selection activeCell="J26" sqref="J26"/>
    </sheetView>
  </sheetViews>
  <sheetFormatPr defaultRowHeight="15" x14ac:dyDescent="0.25"/>
  <cols>
    <col min="3" max="3" width="33.85546875" bestFit="1" customWidth="1"/>
    <col min="4" max="5" width="13.5703125" bestFit="1" customWidth="1"/>
    <col min="6" max="7" width="12.42578125" bestFit="1" customWidth="1"/>
    <col min="8" max="8" width="12" bestFit="1" customWidth="1"/>
    <col min="10" max="10" width="11.85546875" bestFit="1" customWidth="1"/>
  </cols>
  <sheetData>
    <row r="2" spans="3:8" ht="15.75" thickBot="1" x14ac:dyDescent="0.3">
      <c r="C2" s="83" t="s">
        <v>59</v>
      </c>
    </row>
    <row r="3" spans="3:8" x14ac:dyDescent="0.25">
      <c r="C3" s="339" t="s">
        <v>12</v>
      </c>
      <c r="D3" s="80" t="s">
        <v>48</v>
      </c>
      <c r="E3" s="80" t="s">
        <v>50</v>
      </c>
      <c r="F3" s="80" t="s">
        <v>51</v>
      </c>
      <c r="G3" s="80" t="s">
        <v>52</v>
      </c>
    </row>
    <row r="4" spans="3:8" ht="15.75" thickBot="1" x14ac:dyDescent="0.3">
      <c r="C4" s="340"/>
      <c r="D4" s="81" t="s">
        <v>49</v>
      </c>
      <c r="E4" s="81" t="s">
        <v>49</v>
      </c>
      <c r="F4" s="81" t="s">
        <v>49</v>
      </c>
      <c r="G4" s="81" t="s">
        <v>49</v>
      </c>
    </row>
    <row r="5" spans="3:8" ht="15.75" thickBot="1" x14ac:dyDescent="0.3">
      <c r="C5" s="82" t="s">
        <v>53</v>
      </c>
      <c r="D5" s="84">
        <v>0</v>
      </c>
      <c r="E5" s="84">
        <v>0</v>
      </c>
      <c r="F5" s="203">
        <f>+'tariff tables (M1)'!P4</f>
        <v>6.6600000000000003E-4</v>
      </c>
      <c r="G5" s="84">
        <v>0</v>
      </c>
    </row>
    <row r="6" spans="3:8" ht="15.75" thickBot="1" x14ac:dyDescent="0.3">
      <c r="C6" s="82" t="s">
        <v>54</v>
      </c>
      <c r="D6" s="84">
        <v>0</v>
      </c>
      <c r="E6" s="84">
        <v>0</v>
      </c>
      <c r="F6" s="203">
        <f>+'tariff tables (M1)'!P5</f>
        <v>2.5300000000000002E-4</v>
      </c>
      <c r="G6" s="84">
        <v>0</v>
      </c>
    </row>
    <row r="7" spans="3:8" ht="15.75" thickBot="1" x14ac:dyDescent="0.3">
      <c r="C7" s="82" t="s">
        <v>55</v>
      </c>
      <c r="D7" s="84">
        <v>0</v>
      </c>
      <c r="E7" s="84">
        <v>0</v>
      </c>
      <c r="F7" s="203">
        <f>+'tariff tables (M1)'!P6</f>
        <v>4.55E-4</v>
      </c>
      <c r="G7" s="84">
        <v>0</v>
      </c>
    </row>
    <row r="8" spans="3:8" ht="15.75" thickBot="1" x14ac:dyDescent="0.3">
      <c r="C8" s="82" t="s">
        <v>56</v>
      </c>
      <c r="D8" s="84">
        <v>0</v>
      </c>
      <c r="E8" s="84">
        <v>0</v>
      </c>
      <c r="F8" s="203">
        <f>+'tariff tables (M1)'!P7</f>
        <v>4.5300000000000001E-4</v>
      </c>
      <c r="G8" s="84">
        <v>0</v>
      </c>
    </row>
    <row r="9" spans="3:8" ht="15.75" thickBot="1" x14ac:dyDescent="0.3">
      <c r="C9" s="82" t="s">
        <v>57</v>
      </c>
      <c r="D9" s="84">
        <v>0</v>
      </c>
      <c r="E9" s="84">
        <v>0</v>
      </c>
      <c r="F9" s="203">
        <f>+'tariff tables (M1)'!P8</f>
        <v>6.4400000000000004E-4</v>
      </c>
      <c r="G9" s="84">
        <v>0</v>
      </c>
    </row>
    <row r="10" spans="3:8" ht="15.75" thickBot="1" x14ac:dyDescent="0.3">
      <c r="C10" s="82" t="s">
        <v>58</v>
      </c>
      <c r="D10" s="84">
        <v>0</v>
      </c>
      <c r="E10" s="84">
        <v>0</v>
      </c>
      <c r="F10" s="84">
        <v>0</v>
      </c>
      <c r="G10" s="84">
        <v>0</v>
      </c>
    </row>
    <row r="12" spans="3:8" ht="15.75" thickBot="1" x14ac:dyDescent="0.3">
      <c r="C12" s="83" t="s">
        <v>60</v>
      </c>
    </row>
    <row r="13" spans="3:8" x14ac:dyDescent="0.25">
      <c r="C13" s="339" t="s">
        <v>12</v>
      </c>
      <c r="D13" s="80" t="s">
        <v>48</v>
      </c>
      <c r="E13" s="80" t="s">
        <v>50</v>
      </c>
      <c r="F13" s="80" t="s">
        <v>67</v>
      </c>
      <c r="G13" s="80" t="s">
        <v>52</v>
      </c>
    </row>
    <row r="14" spans="3:8" ht="15.75" thickBot="1" x14ac:dyDescent="0.3">
      <c r="C14" s="340"/>
      <c r="D14" s="81" t="s">
        <v>49</v>
      </c>
      <c r="E14" s="81" t="s">
        <v>49</v>
      </c>
      <c r="F14" s="81" t="s">
        <v>49</v>
      </c>
      <c r="G14" s="81" t="s">
        <v>49</v>
      </c>
    </row>
    <row r="15" spans="3:8" ht="15.75" thickBot="1" x14ac:dyDescent="0.3">
      <c r="C15" s="82" t="s">
        <v>53</v>
      </c>
      <c r="D15" s="203">
        <f>'tariff tables'!M4</f>
        <v>2.029E-3</v>
      </c>
      <c r="E15" s="203">
        <f>'tariff tables'!N4</f>
        <v>1.0640000000000001E-3</v>
      </c>
      <c r="F15" s="84">
        <v>0</v>
      </c>
      <c r="G15" s="84">
        <f>'tariff tables'!O4</f>
        <v>-7.3999999999999996E-5</v>
      </c>
      <c r="H15" s="69"/>
    </row>
    <row r="16" spans="3:8" ht="15.75" thickBot="1" x14ac:dyDescent="0.3">
      <c r="C16" s="82" t="s">
        <v>54</v>
      </c>
      <c r="D16" s="203">
        <f>'tariff tables'!M5</f>
        <v>3.1220000000000002E-3</v>
      </c>
      <c r="E16" s="203">
        <f>'tariff tables'!N5</f>
        <v>1.126E-3</v>
      </c>
      <c r="F16" s="84">
        <v>0</v>
      </c>
      <c r="G16" s="84">
        <f>'tariff tables'!O5</f>
        <v>-1.9999999999999999E-6</v>
      </c>
      <c r="H16" s="69"/>
    </row>
    <row r="17" spans="3:8" ht="15.75" thickBot="1" x14ac:dyDescent="0.3">
      <c r="C17" s="82" t="s">
        <v>55</v>
      </c>
      <c r="D17" s="203">
        <f>'tariff tables'!M6</f>
        <v>3.1359999999999999E-3</v>
      </c>
      <c r="E17" s="203">
        <f>'tariff tables'!N6</f>
        <v>8.9700000000000001E-4</v>
      </c>
      <c r="F17" s="84">
        <v>0</v>
      </c>
      <c r="G17" s="84">
        <f>'tariff tables'!O6</f>
        <v>-1.9999999999999999E-6</v>
      </c>
      <c r="H17" s="69"/>
    </row>
    <row r="18" spans="3:8" ht="15.75" thickBot="1" x14ac:dyDescent="0.3">
      <c r="C18" s="82" t="s">
        <v>56</v>
      </c>
      <c r="D18" s="203">
        <f>'tariff tables'!M7</f>
        <v>3.166E-3</v>
      </c>
      <c r="E18" s="203">
        <f>'tariff tables'!N7</f>
        <v>1.127E-3</v>
      </c>
      <c r="F18" s="84">
        <v>0</v>
      </c>
      <c r="G18" s="84">
        <f>'tariff tables'!O7</f>
        <v>-1.9999999999999999E-6</v>
      </c>
      <c r="H18" s="69"/>
    </row>
    <row r="19" spans="3:8" ht="15.75" thickBot="1" x14ac:dyDescent="0.3">
      <c r="C19" s="82" t="s">
        <v>57</v>
      </c>
      <c r="D19" s="203">
        <f>'tariff tables'!M8</f>
        <v>3.1359999999999999E-3</v>
      </c>
      <c r="E19" s="203">
        <f>'tariff tables'!N8</f>
        <v>1.3999999999999999E-4</v>
      </c>
      <c r="F19" s="84">
        <v>0</v>
      </c>
      <c r="G19" s="84">
        <f>'tariff tables'!O8</f>
        <v>-1.9999999999999999E-6</v>
      </c>
      <c r="H19" s="69"/>
    </row>
    <row r="20" spans="3:8" ht="15.75" thickBot="1" x14ac:dyDescent="0.3">
      <c r="C20" s="82" t="s">
        <v>58</v>
      </c>
      <c r="D20" s="84">
        <v>0</v>
      </c>
      <c r="E20" s="84">
        <v>0</v>
      </c>
      <c r="F20" s="84">
        <v>0</v>
      </c>
      <c r="G20" s="84">
        <f>'tariff tables'!O9</f>
        <v>0</v>
      </c>
      <c r="H20" s="69"/>
    </row>
    <row r="21" spans="3:8" x14ac:dyDescent="0.25">
      <c r="D21" s="69"/>
      <c r="E21" s="69"/>
      <c r="F21" s="69"/>
      <c r="G21" s="69"/>
      <c r="H21" s="69"/>
    </row>
    <row r="22" spans="3:8" ht="15.75" thickBot="1" x14ac:dyDescent="0.3">
      <c r="C22" s="83" t="s">
        <v>63</v>
      </c>
      <c r="D22" s="69"/>
      <c r="E22" s="69"/>
      <c r="F22" s="69"/>
      <c r="G22" s="69"/>
      <c r="H22" s="69"/>
    </row>
    <row r="23" spans="3:8" x14ac:dyDescent="0.25">
      <c r="C23" s="339" t="s">
        <v>12</v>
      </c>
      <c r="D23" s="85" t="s">
        <v>34</v>
      </c>
      <c r="E23" s="85" t="s">
        <v>35</v>
      </c>
      <c r="F23" s="85" t="s">
        <v>61</v>
      </c>
      <c r="G23" s="85" t="s">
        <v>36</v>
      </c>
      <c r="H23" s="85" t="s">
        <v>9</v>
      </c>
    </row>
    <row r="24" spans="3:8" x14ac:dyDescent="0.25">
      <c r="C24" s="341"/>
      <c r="D24" s="86" t="s">
        <v>49</v>
      </c>
      <c r="E24" s="86" t="s">
        <v>49</v>
      </c>
      <c r="F24" s="86" t="s">
        <v>49</v>
      </c>
      <c r="G24" s="86" t="s">
        <v>49</v>
      </c>
      <c r="H24" s="86" t="s">
        <v>62</v>
      </c>
    </row>
    <row r="25" spans="3:8" ht="15.75" thickBot="1" x14ac:dyDescent="0.3">
      <c r="C25" s="340"/>
      <c r="D25" s="87"/>
      <c r="E25" s="87"/>
      <c r="F25" s="87"/>
      <c r="G25" s="87"/>
      <c r="H25" s="88" t="s">
        <v>49</v>
      </c>
    </row>
    <row r="26" spans="3:8" ht="15.75" thickBot="1" x14ac:dyDescent="0.3">
      <c r="C26" s="82" t="s">
        <v>53</v>
      </c>
      <c r="D26" s="203">
        <f>D15+D5</f>
        <v>2.029E-3</v>
      </c>
      <c r="E26" s="203">
        <f>E15+E5</f>
        <v>1.0640000000000001E-3</v>
      </c>
      <c r="F26" s="203">
        <f>F15+F5</f>
        <v>6.6600000000000003E-4</v>
      </c>
      <c r="G26" s="84">
        <f>G15+G5</f>
        <v>-7.3999999999999996E-5</v>
      </c>
      <c r="H26" s="88">
        <f t="shared" ref="H26:H31" si="0">SUM(D26:G26)</f>
        <v>3.6850000000000003E-3</v>
      </c>
    </row>
    <row r="27" spans="3:8" ht="15.75" thickBot="1" x14ac:dyDescent="0.3">
      <c r="C27" s="82" t="s">
        <v>54</v>
      </c>
      <c r="D27" s="203">
        <f t="shared" ref="D27:G31" si="1">D16+D6</f>
        <v>3.1220000000000002E-3</v>
      </c>
      <c r="E27" s="203">
        <f t="shared" si="1"/>
        <v>1.126E-3</v>
      </c>
      <c r="F27" s="203">
        <f t="shared" si="1"/>
        <v>2.5300000000000002E-4</v>
      </c>
      <c r="G27" s="84">
        <f t="shared" si="1"/>
        <v>-1.9999999999999999E-6</v>
      </c>
      <c r="H27" s="88">
        <f t="shared" si="0"/>
        <v>4.4989999999999995E-3</v>
      </c>
    </row>
    <row r="28" spans="3:8" ht="15.75" thickBot="1" x14ac:dyDescent="0.3">
      <c r="C28" s="82" t="s">
        <v>55</v>
      </c>
      <c r="D28" s="203">
        <f t="shared" si="1"/>
        <v>3.1359999999999999E-3</v>
      </c>
      <c r="E28" s="203">
        <f t="shared" si="1"/>
        <v>8.9700000000000001E-4</v>
      </c>
      <c r="F28" s="203">
        <f t="shared" si="1"/>
        <v>4.55E-4</v>
      </c>
      <c r="G28" s="84">
        <f t="shared" si="1"/>
        <v>-1.9999999999999999E-6</v>
      </c>
      <c r="H28" s="88">
        <f t="shared" si="0"/>
        <v>4.4859999999999995E-3</v>
      </c>
    </row>
    <row r="29" spans="3:8" ht="15.75" thickBot="1" x14ac:dyDescent="0.3">
      <c r="C29" s="82" t="s">
        <v>56</v>
      </c>
      <c r="D29" s="203">
        <f t="shared" si="1"/>
        <v>3.166E-3</v>
      </c>
      <c r="E29" s="203">
        <f t="shared" si="1"/>
        <v>1.127E-3</v>
      </c>
      <c r="F29" s="203">
        <f t="shared" si="1"/>
        <v>4.5300000000000001E-4</v>
      </c>
      <c r="G29" s="84">
        <f t="shared" si="1"/>
        <v>-1.9999999999999999E-6</v>
      </c>
      <c r="H29" s="88">
        <f t="shared" si="0"/>
        <v>4.744E-3</v>
      </c>
    </row>
    <row r="30" spans="3:8" ht="15.75" thickBot="1" x14ac:dyDescent="0.3">
      <c r="C30" s="82" t="s">
        <v>57</v>
      </c>
      <c r="D30" s="203">
        <f t="shared" si="1"/>
        <v>3.1359999999999999E-3</v>
      </c>
      <c r="E30" s="203">
        <f t="shared" si="1"/>
        <v>1.3999999999999999E-4</v>
      </c>
      <c r="F30" s="203">
        <f t="shared" si="1"/>
        <v>6.4400000000000004E-4</v>
      </c>
      <c r="G30" s="84">
        <f t="shared" si="1"/>
        <v>-1.9999999999999999E-6</v>
      </c>
      <c r="H30" s="88">
        <f t="shared" si="0"/>
        <v>3.9179999999999996E-3</v>
      </c>
    </row>
    <row r="31" spans="3:8" ht="15.75" thickBot="1" x14ac:dyDescent="0.3">
      <c r="C31" s="82" t="s">
        <v>58</v>
      </c>
      <c r="D31" s="84">
        <f t="shared" si="1"/>
        <v>0</v>
      </c>
      <c r="E31" s="84">
        <f t="shared" si="1"/>
        <v>0</v>
      </c>
      <c r="F31" s="84">
        <f t="shared" si="1"/>
        <v>0</v>
      </c>
      <c r="G31" s="84">
        <f t="shared" si="1"/>
        <v>0</v>
      </c>
      <c r="H31" s="88">
        <f t="shared" si="0"/>
        <v>0</v>
      </c>
    </row>
  </sheetData>
  <mergeCells count="3">
    <mergeCell ref="C3:C4"/>
    <mergeCell ref="C13:C14"/>
    <mergeCell ref="C23:C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2:AG85"/>
  <sheetViews>
    <sheetView zoomScaleNormal="100" workbookViewId="0">
      <pane xSplit="1" ySplit="14" topLeftCell="N69" activePane="bottomRight" state="frozen"/>
      <selection pane="topRight" activeCell="B1" sqref="B1"/>
      <selection pane="bottomLeft" activeCell="A19" sqref="A19"/>
      <selection pane="bottomRight" activeCell="X88" sqref="X88"/>
    </sheetView>
  </sheetViews>
  <sheetFormatPr defaultColWidth="9.140625" defaultRowHeight="15" x14ac:dyDescent="0.25"/>
  <cols>
    <col min="1" max="1" width="21.5703125" style="76" customWidth="1"/>
    <col min="2" max="2" width="18" style="76" customWidth="1"/>
    <col min="3" max="3" width="16.42578125" style="76" customWidth="1"/>
    <col min="4" max="4" width="15.140625" style="76" customWidth="1"/>
    <col min="5" max="5" width="16.140625" style="76" customWidth="1"/>
    <col min="6" max="6" width="15" style="76" bestFit="1" customWidth="1"/>
    <col min="7" max="7" width="16" style="76" customWidth="1"/>
    <col min="8" max="8" width="15" style="76" bestFit="1" customWidth="1"/>
    <col min="9" max="11" width="16" style="76" bestFit="1" customWidth="1"/>
    <col min="12" max="23" width="16" style="223" customWidth="1"/>
    <col min="24" max="24" width="16.42578125" style="76" customWidth="1"/>
    <col min="25" max="25" width="17.28515625" style="76" customWidth="1"/>
    <col min="26" max="26" width="16.85546875" style="76" customWidth="1"/>
    <col min="27" max="27" width="13.85546875" style="76" bestFit="1" customWidth="1"/>
    <col min="28" max="28" width="10.85546875" style="76" bestFit="1" customWidth="1"/>
    <col min="29" max="29" width="9.140625" style="76"/>
    <col min="30" max="30" width="12.7109375" style="76" bestFit="1" customWidth="1"/>
    <col min="31" max="16384" width="9.140625" style="76"/>
  </cols>
  <sheetData>
    <row r="2" spans="1:33" x14ac:dyDescent="0.25">
      <c r="B2" s="244" t="s">
        <v>81</v>
      </c>
      <c r="J2" s="3" t="s">
        <v>27</v>
      </c>
    </row>
    <row r="3" spans="1:33" x14ac:dyDescent="0.25">
      <c r="B3" s="287" t="s">
        <v>159</v>
      </c>
      <c r="C3" s="89" t="s">
        <v>68</v>
      </c>
      <c r="D3" s="89" t="s">
        <v>82</v>
      </c>
      <c r="E3" s="243" t="s">
        <v>126</v>
      </c>
      <c r="F3" s="243" t="s">
        <v>95</v>
      </c>
      <c r="G3" s="89" t="s">
        <v>69</v>
      </c>
      <c r="H3" s="89" t="s">
        <v>83</v>
      </c>
      <c r="J3" s="58" t="s">
        <v>84</v>
      </c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33" x14ac:dyDescent="0.25">
      <c r="A4" s="76" t="s">
        <v>0</v>
      </c>
      <c r="B4" s="24">
        <f>+N78</f>
        <v>2260139.7285558721</v>
      </c>
      <c r="C4" s="24">
        <f>SUM(B35:Z35)</f>
        <v>41874492.957178667</v>
      </c>
      <c r="D4" s="90">
        <f>SUM(B28:Z28)</f>
        <v>24507911674.413639</v>
      </c>
      <c r="E4" s="24">
        <f>SUM(B21:Z21)</f>
        <v>39007530.144976065</v>
      </c>
      <c r="F4" s="24">
        <f>+B4-C4+E4</f>
        <v>-606823.08364672959</v>
      </c>
      <c r="G4" s="24">
        <f>SUM(B68:Z68)</f>
        <v>11764.239566182168</v>
      </c>
      <c r="H4" s="42">
        <f>F4+G4</f>
        <v>-595058.84408054745</v>
      </c>
      <c r="J4" s="58" t="s">
        <v>123</v>
      </c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33" x14ac:dyDescent="0.25">
      <c r="A5" s="76" t="s">
        <v>4</v>
      </c>
      <c r="B5" s="24">
        <f t="shared" ref="B5:B8" si="0">+N79</f>
        <v>98743.25123059655</v>
      </c>
      <c r="C5" s="24">
        <f>SUM(B36:Z36)</f>
        <v>7323381.7426198879</v>
      </c>
      <c r="D5" s="90">
        <f>SUM(B29:Z29)</f>
        <v>6375452463.0753651</v>
      </c>
      <c r="E5" s="24">
        <f>SUM(B22:Z22)</f>
        <v>7972586.6620000806</v>
      </c>
      <c r="F5" s="24">
        <f t="shared" ref="F5:F7" si="1">+B5-C5+E5</f>
        <v>747948.17061078921</v>
      </c>
      <c r="G5" s="24">
        <f>SUM(B69:Z69)</f>
        <v>-10802.154910561412</v>
      </c>
      <c r="H5" s="42">
        <f>F5+G5</f>
        <v>737146.01570022781</v>
      </c>
      <c r="J5" s="58" t="s">
        <v>122</v>
      </c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1:33" x14ac:dyDescent="0.25">
      <c r="A6" s="76" t="s">
        <v>5</v>
      </c>
      <c r="B6" s="24">
        <f t="shared" si="0"/>
        <v>354200.51758679363</v>
      </c>
      <c r="C6" s="24">
        <f>SUM(B37:Z37)</f>
        <v>17185874.310201548</v>
      </c>
      <c r="D6" s="90">
        <f>SUM(B30:Z30)</f>
        <v>14925458563.964394</v>
      </c>
      <c r="E6" s="24">
        <f>SUM(B23:Z23)</f>
        <v>18670607.693111278</v>
      </c>
      <c r="F6" s="24">
        <f t="shared" si="1"/>
        <v>1838933.9004965238</v>
      </c>
      <c r="G6" s="24">
        <f>SUM(B70:Z70)</f>
        <v>-23236.535591504038</v>
      </c>
      <c r="H6" s="42">
        <f>F6+G6</f>
        <v>1815697.3649050198</v>
      </c>
      <c r="J6" s="58" t="s">
        <v>124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33" x14ac:dyDescent="0.25">
      <c r="A7" s="76" t="s">
        <v>6</v>
      </c>
      <c r="B7" s="24">
        <f t="shared" si="0"/>
        <v>106604.13489667099</v>
      </c>
      <c r="C7" s="24">
        <f>SUM(B38:Z38)</f>
        <v>7427761.8812876763</v>
      </c>
      <c r="D7" s="90">
        <f>SUM(B31:Z31)</f>
        <v>6511980472.8011837</v>
      </c>
      <c r="E7" s="24">
        <f>SUM(B24:Z24)</f>
        <v>8206819.4386253376</v>
      </c>
      <c r="F7" s="24">
        <f t="shared" si="1"/>
        <v>885661.69223433267</v>
      </c>
      <c r="G7" s="24">
        <f>SUM(B71:Z71)</f>
        <v>-8845.8198724769736</v>
      </c>
      <c r="H7" s="42">
        <f>F7+G7</f>
        <v>876815.8723618557</v>
      </c>
      <c r="J7" s="58" t="s">
        <v>85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33" ht="15.75" thickBot="1" x14ac:dyDescent="0.3">
      <c r="A8" s="76" t="s">
        <v>7</v>
      </c>
      <c r="B8" s="24">
        <f t="shared" si="0"/>
        <v>-122961.87593461122</v>
      </c>
      <c r="C8" s="24">
        <f>SUM(B39:Z39)</f>
        <v>3663902.2382639144</v>
      </c>
      <c r="D8" s="90">
        <f>SUM(B32:Z32)</f>
        <v>3329301801.4772553</v>
      </c>
      <c r="E8" s="24">
        <f>SUM(B25:Z25)</f>
        <v>4195750.8812872404</v>
      </c>
      <c r="F8" s="24">
        <f>+B8-C8+E8</f>
        <v>408886.76708871499</v>
      </c>
      <c r="G8" s="24">
        <f>SUM(B72:Z72)</f>
        <v>-5185.0735857255277</v>
      </c>
      <c r="H8" s="42">
        <f>F8+G8</f>
        <v>403701.69350298948</v>
      </c>
      <c r="J8" s="58" t="s">
        <v>155</v>
      </c>
      <c r="L8" s="76"/>
      <c r="P8" s="50"/>
      <c r="Q8" s="50"/>
      <c r="R8" s="50"/>
      <c r="S8" s="50"/>
      <c r="T8" s="50"/>
      <c r="U8" s="50"/>
      <c r="V8" s="50"/>
      <c r="W8" s="50"/>
      <c r="X8" s="50"/>
    </row>
    <row r="9" spans="1:33" ht="16.5" thickTop="1" thickBot="1" x14ac:dyDescent="0.3">
      <c r="B9" s="91">
        <f>SUM(B4:B8)</f>
        <v>2696725.7563353223</v>
      </c>
      <c r="C9" s="91">
        <f t="shared" ref="C9:H9" si="2">SUM(C4:C8)</f>
        <v>77475413.129551694</v>
      </c>
      <c r="D9" s="240">
        <f>SUM(D4:D8)</f>
        <v>55650104975.731842</v>
      </c>
      <c r="E9" s="91">
        <f t="shared" si="2"/>
        <v>78053294.820000008</v>
      </c>
      <c r="F9" s="91">
        <f>SUM(F4:F8)</f>
        <v>3274607.4467836311</v>
      </c>
      <c r="G9" s="91">
        <f>SUM(G4:G8)</f>
        <v>-36305.344394085783</v>
      </c>
      <c r="H9" s="91">
        <f t="shared" si="2"/>
        <v>3238302.1023895452</v>
      </c>
      <c r="J9" s="58" t="s">
        <v>156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33" ht="16.5" thickTop="1" thickBot="1" x14ac:dyDescent="0.3">
      <c r="B10" s="223"/>
      <c r="F10" s="39" t="s">
        <v>26</v>
      </c>
      <c r="G10" s="21">
        <f>G9-SUM(B51:Z51)</f>
        <v>-1.8298845396202523E-2</v>
      </c>
      <c r="J10" s="58" t="s">
        <v>157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33" ht="15.75" thickTop="1" x14ac:dyDescent="0.25">
      <c r="E11" s="4"/>
      <c r="G11" s="3"/>
      <c r="J11" s="58" t="s">
        <v>158</v>
      </c>
      <c r="K11" s="50"/>
      <c r="L11" s="50"/>
      <c r="M11" s="50"/>
      <c r="N11" s="50"/>
    </row>
    <row r="12" spans="1:33" ht="15.75" thickBot="1" x14ac:dyDescent="0.3">
      <c r="B12" s="53"/>
      <c r="C12" s="53"/>
      <c r="D12" s="53"/>
      <c r="E12" s="53"/>
      <c r="F12" s="53"/>
      <c r="G12" s="53"/>
      <c r="H12" s="53"/>
      <c r="I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9"/>
      <c r="Y12" s="49"/>
    </row>
    <row r="13" spans="1:33" ht="15.75" thickBot="1" x14ac:dyDescent="0.3">
      <c r="B13" s="225"/>
      <c r="C13" s="126"/>
      <c r="D13" s="144" t="s">
        <v>72</v>
      </c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333" t="s">
        <v>71</v>
      </c>
      <c r="Y13" s="334"/>
      <c r="Z13" s="335"/>
    </row>
    <row r="14" spans="1:33" x14ac:dyDescent="0.25">
      <c r="A14" s="76" t="s">
        <v>87</v>
      </c>
      <c r="B14" s="95">
        <v>42370</v>
      </c>
      <c r="C14" s="96">
        <f t="shared" ref="C14:K14" si="3">EDATE(B14,1)</f>
        <v>42401</v>
      </c>
      <c r="D14" s="96">
        <f t="shared" si="3"/>
        <v>42430</v>
      </c>
      <c r="E14" s="96">
        <f t="shared" si="3"/>
        <v>42461</v>
      </c>
      <c r="F14" s="96">
        <f t="shared" si="3"/>
        <v>42491</v>
      </c>
      <c r="G14" s="96">
        <f t="shared" si="3"/>
        <v>42522</v>
      </c>
      <c r="H14" s="96">
        <f t="shared" si="3"/>
        <v>42552</v>
      </c>
      <c r="I14" s="96">
        <f t="shared" si="3"/>
        <v>42583</v>
      </c>
      <c r="J14" s="96">
        <f t="shared" si="3"/>
        <v>42614</v>
      </c>
      <c r="K14" s="96">
        <f t="shared" si="3"/>
        <v>42644</v>
      </c>
      <c r="L14" s="96">
        <f t="shared" ref="L14:W14" si="4">EDATE(K14,1)</f>
        <v>42675</v>
      </c>
      <c r="M14" s="96">
        <f t="shared" si="4"/>
        <v>42705</v>
      </c>
      <c r="N14" s="96">
        <f t="shared" si="4"/>
        <v>42736</v>
      </c>
      <c r="O14" s="96">
        <f t="shared" si="4"/>
        <v>42767</v>
      </c>
      <c r="P14" s="96">
        <f t="shared" si="4"/>
        <v>42795</v>
      </c>
      <c r="Q14" s="96">
        <f t="shared" si="4"/>
        <v>42826</v>
      </c>
      <c r="R14" s="96">
        <f t="shared" si="4"/>
        <v>42856</v>
      </c>
      <c r="S14" s="96">
        <f t="shared" si="4"/>
        <v>42887</v>
      </c>
      <c r="T14" s="96">
        <f t="shared" si="4"/>
        <v>42917</v>
      </c>
      <c r="U14" s="96">
        <f t="shared" si="4"/>
        <v>42948</v>
      </c>
      <c r="V14" s="96">
        <f t="shared" si="4"/>
        <v>42979</v>
      </c>
      <c r="W14" s="96">
        <f t="shared" si="4"/>
        <v>43009</v>
      </c>
      <c r="X14" s="95">
        <f>EDATE(W14,1)</f>
        <v>43040</v>
      </c>
      <c r="Y14" s="96">
        <f>EDATE(X14,1)</f>
        <v>43070</v>
      </c>
      <c r="Z14" s="97">
        <f>EDATE(Y14,1)</f>
        <v>43101</v>
      </c>
      <c r="AA14" s="1"/>
      <c r="AB14" s="1"/>
      <c r="AC14" s="1"/>
      <c r="AD14" s="1"/>
      <c r="AE14" s="1"/>
      <c r="AF14" s="1"/>
      <c r="AG14" s="1"/>
    </row>
    <row r="15" spans="1:33" x14ac:dyDescent="0.25">
      <c r="A15" s="50" t="s">
        <v>0</v>
      </c>
      <c r="B15" s="98">
        <v>0</v>
      </c>
      <c r="C15" s="99">
        <v>0</v>
      </c>
      <c r="D15" s="99">
        <v>92701.6</v>
      </c>
      <c r="E15" s="99">
        <v>470887.92</v>
      </c>
      <c r="F15" s="99">
        <v>1113267.27</v>
      </c>
      <c r="G15" s="99">
        <v>1040037.3</v>
      </c>
      <c r="H15" s="99">
        <v>1509771.61</v>
      </c>
      <c r="I15" s="99">
        <v>2518235.16</v>
      </c>
      <c r="J15" s="46">
        <v>1528668.86</v>
      </c>
      <c r="K15" s="201">
        <v>1905356.75</v>
      </c>
      <c r="L15" s="201">
        <v>2048839.7199999997</v>
      </c>
      <c r="M15" s="201">
        <v>1913931.6199999999</v>
      </c>
      <c r="N15" s="201">
        <v>1690080.7899999998</v>
      </c>
      <c r="O15" s="201">
        <v>1877206.5299999996</v>
      </c>
      <c r="P15" s="201">
        <v>1484918.02</v>
      </c>
      <c r="Q15" s="201">
        <v>630134.03999999992</v>
      </c>
      <c r="R15" s="201">
        <v>2225868.1400000006</v>
      </c>
      <c r="S15" s="201">
        <v>2452376.73</v>
      </c>
      <c r="T15" s="201">
        <v>1476113.1700000002</v>
      </c>
      <c r="U15" s="201">
        <v>2335443.9099999992</v>
      </c>
      <c r="V15" s="201">
        <v>1946348.1600000001</v>
      </c>
      <c r="W15" s="302">
        <v>1758048.53</v>
      </c>
      <c r="X15" s="145">
        <v>1620079.84</v>
      </c>
      <c r="Y15" s="146">
        <v>1338377</v>
      </c>
      <c r="Z15" s="147">
        <v>1447564</v>
      </c>
      <c r="AA15" s="50"/>
    </row>
    <row r="16" spans="1:33" x14ac:dyDescent="0.25">
      <c r="A16" s="50" t="s">
        <v>1</v>
      </c>
      <c r="B16" s="98">
        <v>0</v>
      </c>
      <c r="C16" s="99">
        <v>0</v>
      </c>
      <c r="D16" s="99">
        <v>360011.71</v>
      </c>
      <c r="E16" s="99">
        <v>100283.17</v>
      </c>
      <c r="F16" s="99">
        <v>276551.98</v>
      </c>
      <c r="G16" s="99">
        <v>605722.87</v>
      </c>
      <c r="H16" s="99">
        <v>470055.31</v>
      </c>
      <c r="I16" s="99">
        <v>1007513.72</v>
      </c>
      <c r="J16" s="46">
        <v>231513.24</v>
      </c>
      <c r="K16" s="201">
        <v>1466502.53</v>
      </c>
      <c r="L16" s="201">
        <v>1729424.32</v>
      </c>
      <c r="M16" s="201">
        <v>1390087.1</v>
      </c>
      <c r="N16" s="201">
        <v>1606995.78</v>
      </c>
      <c r="O16" s="201">
        <v>2206926.4300000002</v>
      </c>
      <c r="P16" s="201">
        <v>1309598.0999999996</v>
      </c>
      <c r="Q16" s="201">
        <v>1857370.0300000005</v>
      </c>
      <c r="R16" s="201">
        <v>2223361.83</v>
      </c>
      <c r="S16" s="201">
        <v>2459399.94</v>
      </c>
      <c r="T16" s="201">
        <v>1721311.83</v>
      </c>
      <c r="U16" s="201">
        <v>2712665.18</v>
      </c>
      <c r="V16" s="201">
        <v>2376750.8800000004</v>
      </c>
      <c r="W16" s="302">
        <v>2789157.6200000006</v>
      </c>
      <c r="X16" s="145">
        <v>2971651</v>
      </c>
      <c r="Y16" s="146">
        <v>2335744</v>
      </c>
      <c r="Z16" s="147">
        <v>1680864</v>
      </c>
      <c r="AA16" s="50"/>
    </row>
    <row r="17" spans="1:30" x14ac:dyDescent="0.25">
      <c r="A17" s="50" t="s">
        <v>2</v>
      </c>
      <c r="B17" s="98">
        <v>0</v>
      </c>
      <c r="C17" s="99">
        <v>0</v>
      </c>
      <c r="D17" s="99">
        <v>23175.4</v>
      </c>
      <c r="E17" s="99">
        <v>20000</v>
      </c>
      <c r="F17" s="99">
        <v>110941.65</v>
      </c>
      <c r="G17" s="99">
        <v>105942.24</v>
      </c>
      <c r="H17" s="99">
        <v>77203.42</v>
      </c>
      <c r="I17" s="99">
        <v>288148.55</v>
      </c>
      <c r="J17" s="46">
        <v>98245.3</v>
      </c>
      <c r="K17" s="201">
        <v>-20629.98</v>
      </c>
      <c r="L17" s="201">
        <v>171715.17000000004</v>
      </c>
      <c r="M17" s="201">
        <v>163978.35999999999</v>
      </c>
      <c r="N17" s="201">
        <v>143965.96999999997</v>
      </c>
      <c r="O17" s="201">
        <v>286356.54000000004</v>
      </c>
      <c r="P17" s="201">
        <v>138885.66</v>
      </c>
      <c r="Q17" s="201">
        <v>90873.95</v>
      </c>
      <c r="R17" s="201">
        <v>191206.37</v>
      </c>
      <c r="S17" s="201">
        <v>41515.079999999987</v>
      </c>
      <c r="T17" s="201">
        <v>48458.150000000031</v>
      </c>
      <c r="U17" s="201">
        <v>479199.20000000007</v>
      </c>
      <c r="V17" s="201">
        <v>6987.9799999999959</v>
      </c>
      <c r="W17" s="302">
        <v>103923.13</v>
      </c>
      <c r="X17" s="145">
        <v>558643</v>
      </c>
      <c r="Y17" s="146">
        <v>399649</v>
      </c>
      <c r="Z17" s="147">
        <v>521958</v>
      </c>
      <c r="AA17" s="50"/>
    </row>
    <row r="18" spans="1:30" x14ac:dyDescent="0.25">
      <c r="A18" s="50" t="s">
        <v>3</v>
      </c>
      <c r="B18" s="98">
        <v>0</v>
      </c>
      <c r="C18" s="99">
        <v>0</v>
      </c>
      <c r="D18" s="99">
        <v>13689</v>
      </c>
      <c r="E18" s="99">
        <v>4868.25</v>
      </c>
      <c r="F18" s="99">
        <v>16491.560000000001</v>
      </c>
      <c r="G18" s="99">
        <v>61798.91</v>
      </c>
      <c r="H18" s="99">
        <v>129893.74</v>
      </c>
      <c r="I18" s="99">
        <v>87893.42</v>
      </c>
      <c r="J18" s="46">
        <v>242878.07999999999</v>
      </c>
      <c r="K18" s="201">
        <v>122671.65</v>
      </c>
      <c r="L18" s="201">
        <v>21593.440000000006</v>
      </c>
      <c r="M18" s="201">
        <v>16432.740000000002</v>
      </c>
      <c r="N18" s="201">
        <v>233596.28</v>
      </c>
      <c r="O18" s="201">
        <v>43536.29</v>
      </c>
      <c r="P18" s="201">
        <v>58192.76</v>
      </c>
      <c r="Q18" s="201">
        <v>11926.3</v>
      </c>
      <c r="R18" s="201">
        <v>17374.550000000003</v>
      </c>
      <c r="S18" s="201">
        <v>23819.039999999997</v>
      </c>
      <c r="T18" s="201">
        <v>103044.69</v>
      </c>
      <c r="U18" s="201">
        <v>18933.559999999998</v>
      </c>
      <c r="V18" s="201">
        <v>13266.67</v>
      </c>
      <c r="W18" s="302">
        <v>12319.51</v>
      </c>
      <c r="X18" s="145">
        <v>98513</v>
      </c>
      <c r="Y18" s="146">
        <v>106500</v>
      </c>
      <c r="Z18" s="147">
        <v>230000</v>
      </c>
      <c r="AA18" s="50"/>
    </row>
    <row r="19" spans="1:30" x14ac:dyDescent="0.25">
      <c r="B19" s="105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5"/>
      <c r="Y19" s="106"/>
      <c r="Z19" s="107"/>
    </row>
    <row r="20" spans="1:30" x14ac:dyDescent="0.25">
      <c r="A20" s="76" t="s">
        <v>88</v>
      </c>
      <c r="B20" s="105"/>
      <c r="C20" s="104"/>
      <c r="D20" s="108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3"/>
      <c r="Y20" s="104"/>
      <c r="Z20" s="107"/>
    </row>
    <row r="21" spans="1:30" x14ac:dyDescent="0.25">
      <c r="A21" s="76" t="s">
        <v>0</v>
      </c>
      <c r="B21" s="116">
        <v>0</v>
      </c>
      <c r="C21" s="120">
        <v>0</v>
      </c>
      <c r="D21" s="143">
        <f>D15+((D28/SUM(D$28:D$32))*D$17)+((D28/SUM(D$28:D$32))*D$18)</f>
        <v>109165.05951390543</v>
      </c>
      <c r="E21" s="120">
        <f t="shared" ref="E21:J21" si="5">E15+((E28/SUM(E$28:E$32))*E$17)+((E28/SUM(E$28:E$32))*E$18)</f>
        <v>480741.41032421798</v>
      </c>
      <c r="F21" s="120">
        <f t="shared" si="5"/>
        <v>1159520.6775673528</v>
      </c>
      <c r="G21" s="120">
        <f t="shared" si="5"/>
        <v>1112154.6232287937</v>
      </c>
      <c r="H21" s="120">
        <f t="shared" si="5"/>
        <v>1607871.1840183262</v>
      </c>
      <c r="I21" s="120">
        <f t="shared" si="5"/>
        <v>2696956.6273276648</v>
      </c>
      <c r="J21" s="120">
        <f t="shared" si="5"/>
        <v>1680521.3719706708</v>
      </c>
      <c r="K21" s="120">
        <f>K15+((K28/SUM(K$28:K$32))*K$17)+((K28/SUM(K$28:K$32))*K$18)</f>
        <v>1945919.517875429</v>
      </c>
      <c r="L21" s="120">
        <f t="shared" ref="L21:U21" si="6">L15+((L28/SUM(L$28:L$32))*L$17)+((L28/SUM(L$28:L$32))*L$18)</f>
        <v>2120554.6975831105</v>
      </c>
      <c r="M21" s="120">
        <f t="shared" si="6"/>
        <v>1998032.1834068832</v>
      </c>
      <c r="N21" s="120">
        <f t="shared" si="6"/>
        <v>1881554.1394569001</v>
      </c>
      <c r="O21" s="120">
        <f t="shared" si="6"/>
        <v>2029628.75873946</v>
      </c>
      <c r="P21" s="120">
        <f t="shared" si="6"/>
        <v>1570290.0599660215</v>
      </c>
      <c r="Q21" s="120">
        <f t="shared" si="6"/>
        <v>671069.67591155518</v>
      </c>
      <c r="R21" s="120">
        <f t="shared" si="6"/>
        <v>2305581.1949410611</v>
      </c>
      <c r="S21" s="120">
        <f t="shared" si="6"/>
        <v>2479685.3929436286</v>
      </c>
      <c r="T21" s="120">
        <f t="shared" si="6"/>
        <v>1547830.6825912232</v>
      </c>
      <c r="U21" s="120">
        <f t="shared" si="6"/>
        <v>2568760.2312064166</v>
      </c>
      <c r="V21" s="120">
        <f>V15+((V28/SUM(V$28:V$32))*V$17)+((V28/SUM(V$28:V$32))*V$18)</f>
        <v>1954986.9702397876</v>
      </c>
      <c r="W21" s="117">
        <f>W15+((W28/SUM(W$28:W$32))*W$17)+((W28/SUM(W$28:W$32))*W$18)</f>
        <v>1805103.413504442</v>
      </c>
      <c r="X21" s="116">
        <f>X15+((X28/SUM(X$28:X$32))*X$17)+((X28/SUM(X$28:X$32))*X$18)</f>
        <v>1876005.381126425</v>
      </c>
      <c r="Y21" s="117">
        <f>Y15+((Y28/SUM(Y$28:Y$32))*Y$17)+((Y28/SUM(Y$28:Y$32))*Y$18)</f>
        <v>1574894.2673449065</v>
      </c>
      <c r="Z21" s="121">
        <f>Z15+((Z28/SUM(Z$28:Z$32))*Z$17)+((Z28/SUM(Z$28:Z$32))*Z$18)</f>
        <v>1830702.624187883</v>
      </c>
    </row>
    <row r="22" spans="1:30" x14ac:dyDescent="0.25">
      <c r="A22" s="76" t="s">
        <v>4</v>
      </c>
      <c r="B22" s="116">
        <v>0</v>
      </c>
      <c r="C22" s="120">
        <v>0</v>
      </c>
      <c r="D22" s="120">
        <f t="shared" ref="D22:J25" si="7">((D29/SUM(D$29:D$32))*D$16)+((D29/SUM(D$28:D$32))*D$17)+((D29/SUM(D$28:D$32))*D$18)</f>
        <v>80396.905524086716</v>
      </c>
      <c r="E22" s="120">
        <f t="shared" si="7"/>
        <v>22367.506099326867</v>
      </c>
      <c r="F22" s="120">
        <f t="shared" si="7"/>
        <v>66516.61829322367</v>
      </c>
      <c r="G22" s="120">
        <f t="shared" si="7"/>
        <v>141612.99114022916</v>
      </c>
      <c r="H22" s="120">
        <f t="shared" si="7"/>
        <v>123183.06799324245</v>
      </c>
      <c r="I22" s="120">
        <f t="shared" si="7"/>
        <v>256818.75360544008</v>
      </c>
      <c r="J22" s="120">
        <f t="shared" si="7"/>
        <v>84485.044258937647</v>
      </c>
      <c r="K22" s="120">
        <f>((K29/SUM(K$29:K$32))*K$16)+((K29/SUM(K$28:K$32))*K$17)+((K29/SUM(K$28:K$32))*K$18)</f>
        <v>300926.18467047397</v>
      </c>
      <c r="L22" s="120">
        <f t="shared" ref="L22:U22" si="8">((L29/SUM(L$29:L$32))*L$16)+((L29/SUM(L$28:L$32))*L$17)+((L29/SUM(L$28:L$32))*L$18)</f>
        <v>353019.58774262288</v>
      </c>
      <c r="M22" s="120">
        <f t="shared" si="8"/>
        <v>315056.14478681865</v>
      </c>
      <c r="N22" s="120">
        <f t="shared" si="8"/>
        <v>411570.06873041322</v>
      </c>
      <c r="O22" s="120">
        <f t="shared" si="8"/>
        <v>502793.63688851451</v>
      </c>
      <c r="P22" s="120">
        <f t="shared" si="8"/>
        <v>294404.38001965731</v>
      </c>
      <c r="Q22" s="120">
        <f t="shared" si="8"/>
        <v>373499.38771814341</v>
      </c>
      <c r="R22" s="120">
        <f t="shared" si="8"/>
        <v>445905.33572743292</v>
      </c>
      <c r="S22" s="120">
        <f t="shared" si="8"/>
        <v>487405.22998657834</v>
      </c>
      <c r="T22" s="120">
        <f t="shared" si="8"/>
        <v>383536.44183370651</v>
      </c>
      <c r="U22" s="120">
        <f t="shared" si="8"/>
        <v>619568.08369206416</v>
      </c>
      <c r="V22" s="120">
        <f>((V29/SUM(V$29:V$32))*V$16)+((V29/SUM(V$28:V$32))*V$17)+((V29/SUM(V$28:V$32))*V$18)</f>
        <v>474036.28843908414</v>
      </c>
      <c r="W22" s="117">
        <f t="shared" ref="W22:Z25" si="9">((W29/SUM(W$29:W$32))*W$16)+((W29/SUM(W$28:W$32))*W$17)+((W29/SUM(W$28:W$32))*W$18)</f>
        <v>559059.78075431671</v>
      </c>
      <c r="X22" s="116">
        <f t="shared" si="9"/>
        <v>651865.75162475964</v>
      </c>
      <c r="Y22" s="117">
        <f t="shared" si="9"/>
        <v>554988.1400111526</v>
      </c>
      <c r="Z22" s="121">
        <f t="shared" si="9"/>
        <v>469571.33245985606</v>
      </c>
    </row>
    <row r="23" spans="1:30" x14ac:dyDescent="0.25">
      <c r="A23" s="76" t="s">
        <v>5</v>
      </c>
      <c r="B23" s="116">
        <v>0</v>
      </c>
      <c r="C23" s="120">
        <v>0</v>
      </c>
      <c r="D23" s="120">
        <f t="shared" si="7"/>
        <v>184247.82933918544</v>
      </c>
      <c r="E23" s="120">
        <f t="shared" si="7"/>
        <v>55385.846863700259</v>
      </c>
      <c r="F23" s="120">
        <f t="shared" si="7"/>
        <v>171531.62773943189</v>
      </c>
      <c r="G23" s="120">
        <f t="shared" si="7"/>
        <v>338504.71718132001</v>
      </c>
      <c r="H23" s="120">
        <f t="shared" si="7"/>
        <v>279215.68078933004</v>
      </c>
      <c r="I23" s="120">
        <f t="shared" si="7"/>
        <v>584292.23288406734</v>
      </c>
      <c r="J23" s="120">
        <f t="shared" si="7"/>
        <v>200672.65960033773</v>
      </c>
      <c r="K23" s="120">
        <f>((K30/SUM(K$29:K$32))*K$16)+((K30/SUM(K$28:K$32))*K$17)+((K30/SUM(K$28:K$32))*K$18)</f>
        <v>739452.89185881964</v>
      </c>
      <c r="L23" s="120">
        <f t="shared" ref="L23:U23" si="10">((L30/SUM(L$29:L$32))*L$16)+((L30/SUM(L$28:L$32))*L$17)+((L30/SUM(L$28:L$32))*L$18)</f>
        <v>888814.69108194357</v>
      </c>
      <c r="M23" s="120">
        <f t="shared" si="10"/>
        <v>711740.86681302055</v>
      </c>
      <c r="N23" s="120">
        <f t="shared" si="10"/>
        <v>860102.8293358126</v>
      </c>
      <c r="O23" s="120">
        <f t="shared" si="10"/>
        <v>1111966.4679228009</v>
      </c>
      <c r="P23" s="120">
        <f t="shared" si="10"/>
        <v>690470.57929419319</v>
      </c>
      <c r="Q23" s="120">
        <f t="shared" si="10"/>
        <v>910120.41798563395</v>
      </c>
      <c r="R23" s="120">
        <f t="shared" si="10"/>
        <v>1128159.4145622177</v>
      </c>
      <c r="S23" s="120">
        <f t="shared" si="10"/>
        <v>1176823.5237113321</v>
      </c>
      <c r="T23" s="120">
        <f t="shared" si="10"/>
        <v>870044.8240527754</v>
      </c>
      <c r="U23" s="120">
        <f t="shared" si="10"/>
        <v>1418094.0621458886</v>
      </c>
      <c r="V23" s="120">
        <f>((V30/SUM(V$29:V$32))*V$16)+((V30/SUM(V$28:V$32))*V$17)+((V30/SUM(V$28:V$32))*V$18)</f>
        <v>1143451.0603072618</v>
      </c>
      <c r="W23" s="117">
        <f t="shared" si="9"/>
        <v>1367717.5298977192</v>
      </c>
      <c r="X23" s="116">
        <f t="shared" si="9"/>
        <v>1608482.5487031334</v>
      </c>
      <c r="Y23" s="117">
        <f t="shared" si="9"/>
        <v>1249577.4041484857</v>
      </c>
      <c r="Z23" s="121">
        <f t="shared" si="9"/>
        <v>981737.98689286539</v>
      </c>
    </row>
    <row r="24" spans="1:30" x14ac:dyDescent="0.25">
      <c r="A24" s="76" t="s">
        <v>6</v>
      </c>
      <c r="B24" s="116">
        <v>0</v>
      </c>
      <c r="C24" s="120">
        <v>0</v>
      </c>
      <c r="D24" s="120">
        <f t="shared" si="7"/>
        <v>76446.845496259717</v>
      </c>
      <c r="E24" s="120">
        <f t="shared" si="7"/>
        <v>24925.441552928634</v>
      </c>
      <c r="F24" s="120">
        <f t="shared" si="7"/>
        <v>80373.1566544823</v>
      </c>
      <c r="G24" s="120">
        <f t="shared" si="7"/>
        <v>143812.49422455556</v>
      </c>
      <c r="H24" s="120">
        <f t="shared" si="7"/>
        <v>117089.55808990503</v>
      </c>
      <c r="I24" s="120">
        <f t="shared" si="7"/>
        <v>238156.59167654801</v>
      </c>
      <c r="J24" s="120">
        <f t="shared" si="7"/>
        <v>88431.392361907871</v>
      </c>
      <c r="K24" s="120">
        <f>((K31/SUM(K$29:K$32))*K$16)+((K31/SUM(K$28:K$32))*K$17)+((K31/SUM(K$28:K$32))*K$18)</f>
        <v>314181.39281031361</v>
      </c>
      <c r="L24" s="120">
        <f t="shared" ref="L24:U24" si="11">((L31/SUM(L$29:L$32))*L$16)+((L31/SUM(L$28:L$32))*L$17)+((L31/SUM(L$28:L$32))*L$18)</f>
        <v>398118.03346698196</v>
      </c>
      <c r="M24" s="120">
        <f t="shared" si="11"/>
        <v>306986.68836154032</v>
      </c>
      <c r="N24" s="120">
        <f t="shared" si="11"/>
        <v>356788.04041822487</v>
      </c>
      <c r="O24" s="120">
        <f t="shared" si="11"/>
        <v>520044.08722166944</v>
      </c>
      <c r="P24" s="120">
        <f t="shared" si="11"/>
        <v>294078.51311682223</v>
      </c>
      <c r="Q24" s="120">
        <f t="shared" si="11"/>
        <v>424160.63775331364</v>
      </c>
      <c r="R24" s="120">
        <f t="shared" si="11"/>
        <v>518592.16985403083</v>
      </c>
      <c r="S24" s="120">
        <f t="shared" si="11"/>
        <v>548139.25087458664</v>
      </c>
      <c r="T24" s="120">
        <f t="shared" si="11"/>
        <v>364489.81913091976</v>
      </c>
      <c r="U24" s="120">
        <f t="shared" si="11"/>
        <v>615254.63877527637</v>
      </c>
      <c r="V24" s="120">
        <f>((V31/SUM(V$29:V$32))*V$16)+((V31/SUM(V$28:V$32))*V$17)+((V31/SUM(V$28:V$32))*V$18)</f>
        <v>506347.93409592676</v>
      </c>
      <c r="W24" s="117">
        <f t="shared" si="9"/>
        <v>617383.68475802662</v>
      </c>
      <c r="X24" s="116">
        <f t="shared" si="9"/>
        <v>722381.70914536284</v>
      </c>
      <c r="Y24" s="117">
        <f t="shared" si="9"/>
        <v>531967.33850429696</v>
      </c>
      <c r="Z24" s="121">
        <f t="shared" si="9"/>
        <v>398670.02028145781</v>
      </c>
    </row>
    <row r="25" spans="1:30" x14ac:dyDescent="0.25">
      <c r="A25" s="76" t="s">
        <v>7</v>
      </c>
      <c r="B25" s="116">
        <v>0</v>
      </c>
      <c r="C25" s="120">
        <v>0</v>
      </c>
      <c r="D25" s="120">
        <f t="shared" si="7"/>
        <v>39321.070126562699</v>
      </c>
      <c r="E25" s="120">
        <f t="shared" si="7"/>
        <v>12619.135159826228</v>
      </c>
      <c r="F25" s="120">
        <f t="shared" si="7"/>
        <v>39310.379745509235</v>
      </c>
      <c r="G25" s="120">
        <f t="shared" si="7"/>
        <v>77416.494225101458</v>
      </c>
      <c r="H25" s="120">
        <f t="shared" si="7"/>
        <v>59564.589109196262</v>
      </c>
      <c r="I25" s="120">
        <f t="shared" si="7"/>
        <v>125566.64450627941</v>
      </c>
      <c r="J25" s="120">
        <f t="shared" si="7"/>
        <v>47195.011808146039</v>
      </c>
      <c r="K25" s="120">
        <f>((K32/SUM(K$29:K$32))*K$16)+((K32/SUM(K$28:K$32))*K$17)+((K32/SUM(K$28:K$32))*K$18)</f>
        <v>173420.96278496395</v>
      </c>
      <c r="L25" s="120">
        <f t="shared" ref="L25:U25" si="12">((L32/SUM(L$29:L$32))*L$16)+((L32/SUM(L$28:L$32))*L$17)+((L32/SUM(L$28:L$32))*L$18)</f>
        <v>211065.64012534122</v>
      </c>
      <c r="M25" s="120">
        <f t="shared" si="12"/>
        <v>152613.93663173731</v>
      </c>
      <c r="N25" s="120">
        <f t="shared" si="12"/>
        <v>164623.74205864902</v>
      </c>
      <c r="O25" s="120">
        <f t="shared" si="12"/>
        <v>249592.83922755485</v>
      </c>
      <c r="P25" s="120">
        <f t="shared" si="12"/>
        <v>142351.0076033056</v>
      </c>
      <c r="Q25" s="120">
        <f t="shared" si="12"/>
        <v>211454.20063135427</v>
      </c>
      <c r="R25" s="120">
        <f t="shared" si="12"/>
        <v>259572.77491525796</v>
      </c>
      <c r="S25" s="120">
        <f t="shared" si="12"/>
        <v>285057.39248387417</v>
      </c>
      <c r="T25" s="120">
        <f t="shared" si="12"/>
        <v>183026.0723913754</v>
      </c>
      <c r="U25" s="120">
        <f t="shared" si="12"/>
        <v>324564.83418035397</v>
      </c>
      <c r="V25" s="120">
        <f>((V32/SUM(V$29:V$32))*V$16)+((V32/SUM(V$28:V$32))*V$17)+((V32/SUM(V$28:V$32))*V$18)</f>
        <v>264531.43691794015</v>
      </c>
      <c r="W25" s="117">
        <f t="shared" si="9"/>
        <v>314184.3810854961</v>
      </c>
      <c r="X25" s="116">
        <f t="shared" si="9"/>
        <v>390151.44940031954</v>
      </c>
      <c r="Y25" s="117">
        <f t="shared" si="9"/>
        <v>268842.84999115817</v>
      </c>
      <c r="Z25" s="121">
        <f t="shared" si="9"/>
        <v>199704.03617793764</v>
      </c>
    </row>
    <row r="26" spans="1:30" x14ac:dyDescent="0.25">
      <c r="B26" s="105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3"/>
      <c r="Y26" s="104"/>
      <c r="Z26" s="107"/>
    </row>
    <row r="27" spans="1:30" x14ac:dyDescent="0.25">
      <c r="A27" s="76" t="s">
        <v>89</v>
      </c>
      <c r="B27" s="105"/>
      <c r="C27" s="104"/>
      <c r="D27" s="108" t="s">
        <v>90</v>
      </c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3"/>
      <c r="Y27" s="104"/>
      <c r="Z27" s="107"/>
    </row>
    <row r="28" spans="1:30" x14ac:dyDescent="0.25">
      <c r="A28" s="50" t="s">
        <v>0</v>
      </c>
      <c r="B28" s="148">
        <v>0</v>
      </c>
      <c r="C28" s="142">
        <v>0</v>
      </c>
      <c r="D28" s="114">
        <v>993663505</v>
      </c>
      <c r="E28" s="114">
        <v>799965556</v>
      </c>
      <c r="F28" s="114">
        <v>694371338</v>
      </c>
      <c r="G28" s="114">
        <v>1033880199</v>
      </c>
      <c r="H28" s="114">
        <v>1389519683</v>
      </c>
      <c r="I28" s="114">
        <v>1393717014</v>
      </c>
      <c r="J28" s="114">
        <v>1260356462</v>
      </c>
      <c r="K28" s="114">
        <v>898752689</v>
      </c>
      <c r="L28" s="114">
        <v>737254549</v>
      </c>
      <c r="M28" s="114">
        <v>1139687162</v>
      </c>
      <c r="N28" s="114">
        <v>1486587515</v>
      </c>
      <c r="O28" s="114">
        <v>1118519560</v>
      </c>
      <c r="P28" s="114">
        <v>900425374</v>
      </c>
      <c r="Q28" s="114">
        <v>785388980</v>
      </c>
      <c r="R28" s="114">
        <v>745552820</v>
      </c>
      <c r="S28" s="114">
        <v>999249366</v>
      </c>
      <c r="T28" s="114">
        <v>1328710328</v>
      </c>
      <c r="U28" s="114">
        <v>1345571317</v>
      </c>
      <c r="V28" s="114">
        <v>1065182267</v>
      </c>
      <c r="W28" s="239">
        <v>935823271</v>
      </c>
      <c r="X28" s="322">
        <v>787683157.06022894</v>
      </c>
      <c r="Y28" s="323">
        <v>1158938119.543231</v>
      </c>
      <c r="Z28" s="324">
        <v>1509111442.8101764</v>
      </c>
      <c r="AA28" s="149"/>
      <c r="AB28" s="53"/>
      <c r="AD28" s="53"/>
    </row>
    <row r="29" spans="1:30" x14ac:dyDescent="0.25">
      <c r="A29" s="50" t="s">
        <v>4</v>
      </c>
      <c r="B29" s="148">
        <v>0</v>
      </c>
      <c r="C29" s="142">
        <v>0</v>
      </c>
      <c r="D29" s="114">
        <v>260227273</v>
      </c>
      <c r="E29" s="114">
        <v>236480663</v>
      </c>
      <c r="F29" s="114">
        <v>226604577</v>
      </c>
      <c r="G29" s="114">
        <v>276800633</v>
      </c>
      <c r="H29" s="114">
        <v>328433342</v>
      </c>
      <c r="I29" s="114">
        <v>327996744</v>
      </c>
      <c r="J29" s="114">
        <v>315410170</v>
      </c>
      <c r="K29" s="114">
        <v>268275261</v>
      </c>
      <c r="L29" s="114">
        <v>238400191</v>
      </c>
      <c r="M29" s="114">
        <v>276639061</v>
      </c>
      <c r="N29" s="114">
        <v>331623730</v>
      </c>
      <c r="O29" s="114">
        <v>274620464</v>
      </c>
      <c r="P29" s="114">
        <v>244043467</v>
      </c>
      <c r="Q29" s="114">
        <v>230986921</v>
      </c>
      <c r="R29" s="114">
        <v>228484392</v>
      </c>
      <c r="S29" s="114">
        <v>271547337</v>
      </c>
      <c r="T29" s="114">
        <v>314773105</v>
      </c>
      <c r="U29" s="114">
        <v>317794583</v>
      </c>
      <c r="V29" s="114">
        <v>284270101</v>
      </c>
      <c r="W29" s="239">
        <v>269129889</v>
      </c>
      <c r="X29" s="322">
        <v>238665096.04963773</v>
      </c>
      <c r="Y29" s="323">
        <v>281437352.34235275</v>
      </c>
      <c r="Z29" s="324">
        <v>332808110.68337435</v>
      </c>
      <c r="AA29" s="149"/>
      <c r="AB29" s="53"/>
      <c r="AD29" s="53"/>
    </row>
    <row r="30" spans="1:30" x14ac:dyDescent="0.25">
      <c r="A30" s="50" t="s">
        <v>5</v>
      </c>
      <c r="B30" s="148">
        <v>0</v>
      </c>
      <c r="C30" s="142">
        <v>0</v>
      </c>
      <c r="D30" s="114">
        <v>596370095</v>
      </c>
      <c r="E30" s="114">
        <v>585567373</v>
      </c>
      <c r="F30" s="114">
        <v>584363020</v>
      </c>
      <c r="G30" s="114">
        <v>661650596</v>
      </c>
      <c r="H30" s="114">
        <v>744450846</v>
      </c>
      <c r="I30" s="114">
        <v>746230356</v>
      </c>
      <c r="J30" s="114">
        <v>749176357</v>
      </c>
      <c r="K30" s="114">
        <v>659221190</v>
      </c>
      <c r="L30" s="114">
        <v>600231827</v>
      </c>
      <c r="M30" s="114">
        <v>624953134</v>
      </c>
      <c r="N30" s="114">
        <v>693030252</v>
      </c>
      <c r="O30" s="114">
        <v>607344097</v>
      </c>
      <c r="P30" s="114">
        <v>572358448</v>
      </c>
      <c r="Q30" s="114">
        <v>562854773</v>
      </c>
      <c r="R30" s="114">
        <v>578075204</v>
      </c>
      <c r="S30" s="114">
        <v>655641906</v>
      </c>
      <c r="T30" s="114">
        <v>714056556</v>
      </c>
      <c r="U30" s="114">
        <v>727381902</v>
      </c>
      <c r="V30" s="114">
        <v>685704779</v>
      </c>
      <c r="W30" s="239">
        <v>658415575</v>
      </c>
      <c r="X30" s="322">
        <v>588907518.18693686</v>
      </c>
      <c r="Y30" s="323">
        <v>633667155.77618086</v>
      </c>
      <c r="Z30" s="324">
        <v>695805604.0012753</v>
      </c>
      <c r="AA30" s="149"/>
      <c r="AB30" s="53"/>
      <c r="AD30" s="53"/>
    </row>
    <row r="31" spans="1:30" x14ac:dyDescent="0.25">
      <c r="A31" s="50" t="s">
        <v>6</v>
      </c>
      <c r="B31" s="148">
        <v>0</v>
      </c>
      <c r="C31" s="142">
        <v>0</v>
      </c>
      <c r="D31" s="114">
        <v>247441789</v>
      </c>
      <c r="E31" s="114">
        <v>263524459</v>
      </c>
      <c r="F31" s="114">
        <v>273810149</v>
      </c>
      <c r="G31" s="114">
        <v>281099842</v>
      </c>
      <c r="H31" s="114">
        <v>312186695</v>
      </c>
      <c r="I31" s="114">
        <v>304162315</v>
      </c>
      <c r="J31" s="114">
        <v>330143172</v>
      </c>
      <c r="K31" s="114">
        <v>280092260</v>
      </c>
      <c r="L31" s="114">
        <v>268855946</v>
      </c>
      <c r="M31" s="114">
        <v>269553572</v>
      </c>
      <c r="N31" s="114">
        <v>287482958</v>
      </c>
      <c r="O31" s="114">
        <v>284042474</v>
      </c>
      <c r="P31" s="114">
        <v>243773343</v>
      </c>
      <c r="Q31" s="114">
        <v>262317859</v>
      </c>
      <c r="R31" s="114">
        <v>265729533</v>
      </c>
      <c r="S31" s="114">
        <v>305383990</v>
      </c>
      <c r="T31" s="114">
        <v>299141306</v>
      </c>
      <c r="U31" s="114">
        <v>315582091</v>
      </c>
      <c r="V31" s="114">
        <v>303646750</v>
      </c>
      <c r="W31" s="239">
        <v>297206861</v>
      </c>
      <c r="X31" s="322">
        <v>264482831.88364848</v>
      </c>
      <c r="Y31" s="323">
        <v>269763384.99458551</v>
      </c>
      <c r="Z31" s="324">
        <v>282556891.92294854</v>
      </c>
      <c r="AA31" s="149"/>
      <c r="AB31" s="53"/>
      <c r="AD31" s="53"/>
    </row>
    <row r="32" spans="1:30" x14ac:dyDescent="0.25">
      <c r="A32" s="50" t="s">
        <v>7</v>
      </c>
      <c r="B32" s="148">
        <v>0</v>
      </c>
      <c r="C32" s="142">
        <v>0</v>
      </c>
      <c r="D32" s="114">
        <v>127273740</v>
      </c>
      <c r="E32" s="114">
        <v>133415922</v>
      </c>
      <c r="F32" s="114">
        <v>133920097</v>
      </c>
      <c r="G32" s="114">
        <v>151320401</v>
      </c>
      <c r="H32" s="114">
        <v>158812387</v>
      </c>
      <c r="I32" s="114">
        <v>160367769</v>
      </c>
      <c r="J32" s="114">
        <v>176194341</v>
      </c>
      <c r="K32" s="114">
        <v>154604539</v>
      </c>
      <c r="L32" s="114">
        <v>142536252</v>
      </c>
      <c r="M32" s="114">
        <v>134004611</v>
      </c>
      <c r="N32" s="114">
        <v>132646039</v>
      </c>
      <c r="O32" s="114">
        <v>136324918</v>
      </c>
      <c r="P32" s="114">
        <v>118000396</v>
      </c>
      <c r="Q32" s="114">
        <v>130771713</v>
      </c>
      <c r="R32" s="114">
        <v>133006544</v>
      </c>
      <c r="S32" s="114">
        <v>158813593</v>
      </c>
      <c r="T32" s="114">
        <v>150211763</v>
      </c>
      <c r="U32" s="114">
        <v>166478792</v>
      </c>
      <c r="V32" s="114">
        <v>158634223</v>
      </c>
      <c r="W32" s="239">
        <v>151247524</v>
      </c>
      <c r="X32" s="322">
        <v>142844646.94293943</v>
      </c>
      <c r="Y32" s="323">
        <v>136331597.81786224</v>
      </c>
      <c r="Z32" s="324">
        <v>141539992.71645406</v>
      </c>
      <c r="AA32" s="149"/>
      <c r="AB32" s="53"/>
      <c r="AD32" s="53"/>
    </row>
    <row r="33" spans="1:28" x14ac:dyDescent="0.25">
      <c r="B33" s="105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3"/>
      <c r="Y33" s="104"/>
      <c r="Z33" s="107"/>
    </row>
    <row r="34" spans="1:28" x14ac:dyDescent="0.25">
      <c r="A34" s="76" t="s">
        <v>91</v>
      </c>
      <c r="B34" s="105"/>
      <c r="C34" s="104"/>
      <c r="D34" s="108" t="s">
        <v>72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3"/>
      <c r="Y34" s="104"/>
      <c r="Z34" s="107"/>
      <c r="AA34" s="122" t="s">
        <v>137</v>
      </c>
      <c r="AB34" s="50"/>
    </row>
    <row r="35" spans="1:28" x14ac:dyDescent="0.25">
      <c r="A35" s="50" t="str">
        <f>A28</f>
        <v>RES</v>
      </c>
      <c r="B35" s="98">
        <v>0</v>
      </c>
      <c r="C35" s="99">
        <v>0</v>
      </c>
      <c r="D35" s="99">
        <v>0</v>
      </c>
      <c r="E35" s="99">
        <v>0</v>
      </c>
      <c r="F35" s="99">
        <v>123961.69</v>
      </c>
      <c r="G35" s="99">
        <v>1908168.92</v>
      </c>
      <c r="H35" s="99">
        <v>2568297.87</v>
      </c>
      <c r="I35" s="99">
        <v>2577448.31</v>
      </c>
      <c r="J35" s="99">
        <v>2331302.52</v>
      </c>
      <c r="K35" s="99">
        <v>1662285.76</v>
      </c>
      <c r="L35" s="99">
        <v>1362163.19</v>
      </c>
      <c r="M35" s="99">
        <v>2095736.41</v>
      </c>
      <c r="N35" s="99">
        <v>2744219.77</v>
      </c>
      <c r="O35" s="99">
        <v>2148829.36</v>
      </c>
      <c r="P35" s="99">
        <v>1729823.68</v>
      </c>
      <c r="Q35" s="99">
        <v>1512003.54</v>
      </c>
      <c r="R35" s="99">
        <v>1440840.56</v>
      </c>
      <c r="S35" s="99">
        <v>1936757.77</v>
      </c>
      <c r="T35" s="99">
        <v>2576912.5699999998</v>
      </c>
      <c r="U35" s="99">
        <v>2608657.2400000002</v>
      </c>
      <c r="V35" s="99">
        <v>2062676.64</v>
      </c>
      <c r="W35" s="109">
        <v>1810953.83</v>
      </c>
      <c r="X35" s="116">
        <f>X28*$AA35+X49</f>
        <v>1521114.9738855136</v>
      </c>
      <c r="Y35" s="117">
        <f t="shared" ref="Y35:Z35" si="13">Y28*$AA35+Y49</f>
        <v>2238054.8722449476</v>
      </c>
      <c r="Z35" s="121">
        <f t="shared" si="13"/>
        <v>2914283.4810482138</v>
      </c>
      <c r="AA35" s="110">
        <v>1.9910000000000001E-3</v>
      </c>
      <c r="AB35" s="50"/>
    </row>
    <row r="36" spans="1:28" x14ac:dyDescent="0.25">
      <c r="A36" s="50" t="str">
        <f>A29</f>
        <v>SGS</v>
      </c>
      <c r="B36" s="98">
        <v>0</v>
      </c>
      <c r="C36" s="99">
        <v>0</v>
      </c>
      <c r="D36" s="99">
        <v>0</v>
      </c>
      <c r="E36" s="99">
        <v>0</v>
      </c>
      <c r="F36" s="99">
        <v>30867.47</v>
      </c>
      <c r="G36" s="99">
        <v>447208.24</v>
      </c>
      <c r="H36" s="99">
        <v>531350.03</v>
      </c>
      <c r="I36" s="99">
        <v>530492.54</v>
      </c>
      <c r="J36" s="99">
        <v>510350.03</v>
      </c>
      <c r="K36" s="99">
        <v>434079.23</v>
      </c>
      <c r="L36" s="99">
        <v>385472.34</v>
      </c>
      <c r="M36" s="99">
        <v>447361.18</v>
      </c>
      <c r="N36" s="99">
        <v>521889.23</v>
      </c>
      <c r="O36" s="99">
        <v>291041.78999999998</v>
      </c>
      <c r="P36" s="99">
        <v>258475.06</v>
      </c>
      <c r="Q36" s="99">
        <v>244605.15</v>
      </c>
      <c r="R36" s="99">
        <v>242003.19</v>
      </c>
      <c r="S36" s="99">
        <v>287667.83</v>
      </c>
      <c r="T36" s="99">
        <v>333489.84999999998</v>
      </c>
      <c r="U36" s="99">
        <v>336690.37</v>
      </c>
      <c r="V36" s="99">
        <v>301150.11</v>
      </c>
      <c r="W36" s="109">
        <v>285102.90999999997</v>
      </c>
      <c r="X36" s="116">
        <f t="shared" ref="X36:Z39" si="14">X29*$AA36</f>
        <v>252985.00181261598</v>
      </c>
      <c r="Y36" s="117">
        <f t="shared" si="14"/>
        <v>298323.59348289389</v>
      </c>
      <c r="Z36" s="121">
        <f t="shared" si="14"/>
        <v>352776.59732437681</v>
      </c>
      <c r="AA36" s="110">
        <v>1.06E-3</v>
      </c>
      <c r="AB36" s="50"/>
    </row>
    <row r="37" spans="1:28" x14ac:dyDescent="0.25">
      <c r="A37" s="50" t="str">
        <f>A30</f>
        <v>LGS</v>
      </c>
      <c r="B37" s="98">
        <v>0</v>
      </c>
      <c r="C37" s="99">
        <v>0</v>
      </c>
      <c r="D37" s="99">
        <v>0</v>
      </c>
      <c r="E37" s="99">
        <v>0</v>
      </c>
      <c r="F37" s="99">
        <v>64202.879999999997</v>
      </c>
      <c r="G37" s="99">
        <v>1059813.77</v>
      </c>
      <c r="H37" s="99">
        <v>1203922.71</v>
      </c>
      <c r="I37" s="99">
        <v>1206399.46</v>
      </c>
      <c r="J37" s="99">
        <v>1211503.1299999999</v>
      </c>
      <c r="K37" s="99">
        <v>1066102.3899999999</v>
      </c>
      <c r="L37" s="99">
        <v>972108.05</v>
      </c>
      <c r="M37" s="99">
        <v>1010681.81</v>
      </c>
      <c r="N37" s="99">
        <v>1097512.96</v>
      </c>
      <c r="O37" s="99">
        <v>657802.05000000005</v>
      </c>
      <c r="P37" s="99">
        <v>617850.03</v>
      </c>
      <c r="Q37" s="99">
        <v>607462.05000000005</v>
      </c>
      <c r="R37" s="99">
        <v>624105.06000000006</v>
      </c>
      <c r="S37" s="99">
        <v>707741.76</v>
      </c>
      <c r="T37" s="99">
        <v>770766.14</v>
      </c>
      <c r="U37" s="99">
        <v>785160.49</v>
      </c>
      <c r="V37" s="99">
        <v>740167.74</v>
      </c>
      <c r="W37" s="109">
        <v>710721.13</v>
      </c>
      <c r="X37" s="116">
        <f t="shared" si="14"/>
        <v>636020.1196418918</v>
      </c>
      <c r="Y37" s="117">
        <f t="shared" si="14"/>
        <v>684360.52823827532</v>
      </c>
      <c r="Z37" s="121">
        <f t="shared" si="14"/>
        <v>751470.05232137733</v>
      </c>
      <c r="AA37" s="110">
        <v>1.08E-3</v>
      </c>
      <c r="AB37" s="50"/>
    </row>
    <row r="38" spans="1:28" x14ac:dyDescent="0.25">
      <c r="A38" s="50" t="str">
        <f>A31</f>
        <v>SPS</v>
      </c>
      <c r="B38" s="98">
        <v>0</v>
      </c>
      <c r="C38" s="99">
        <v>0</v>
      </c>
      <c r="D38" s="99">
        <v>0</v>
      </c>
      <c r="E38" s="99">
        <v>0</v>
      </c>
      <c r="F38" s="99">
        <v>42324.55</v>
      </c>
      <c r="G38" s="99">
        <v>402228.87</v>
      </c>
      <c r="H38" s="99">
        <v>504543.46</v>
      </c>
      <c r="I38" s="99">
        <v>492134.64</v>
      </c>
      <c r="J38" s="99">
        <v>534160.06000000006</v>
      </c>
      <c r="K38" s="99">
        <v>453189.31</v>
      </c>
      <c r="L38" s="99">
        <v>435008.89</v>
      </c>
      <c r="M38" s="99">
        <v>436137.77</v>
      </c>
      <c r="N38" s="99">
        <v>457765.57</v>
      </c>
      <c r="O38" s="99">
        <v>318136.18</v>
      </c>
      <c r="P38" s="99">
        <v>262787.62</v>
      </c>
      <c r="Q38" s="99">
        <v>282778.65000000002</v>
      </c>
      <c r="R38" s="99">
        <v>286456.53999999998</v>
      </c>
      <c r="S38" s="99">
        <v>329203.88</v>
      </c>
      <c r="T38" s="99">
        <v>322474.40000000002</v>
      </c>
      <c r="U38" s="99">
        <v>340197.43</v>
      </c>
      <c r="V38" s="99">
        <v>327331.33</v>
      </c>
      <c r="W38" s="109">
        <v>320388.98</v>
      </c>
      <c r="X38" s="116">
        <f t="shared" si="14"/>
        <v>285112.49277057307</v>
      </c>
      <c r="Y38" s="117">
        <f t="shared" si="14"/>
        <v>290804.92902416317</v>
      </c>
      <c r="Z38" s="121">
        <f t="shared" si="14"/>
        <v>304596.32949293853</v>
      </c>
      <c r="AA38" s="110">
        <v>1.078E-3</v>
      </c>
      <c r="AB38" s="50"/>
    </row>
    <row r="39" spans="1:28" x14ac:dyDescent="0.25">
      <c r="A39" s="50" t="str">
        <f>A32</f>
        <v>LPS</v>
      </c>
      <c r="B39" s="98">
        <v>0</v>
      </c>
      <c r="C39" s="99">
        <v>0</v>
      </c>
      <c r="D39" s="99">
        <v>0</v>
      </c>
      <c r="E39" s="99">
        <v>0</v>
      </c>
      <c r="F39" s="99">
        <v>0</v>
      </c>
      <c r="G39" s="99">
        <v>131268.19</v>
      </c>
      <c r="H39" s="99">
        <v>256958.42</v>
      </c>
      <c r="I39" s="99">
        <v>259475.03</v>
      </c>
      <c r="J39" s="99">
        <v>285082.46999999997</v>
      </c>
      <c r="K39" s="99">
        <v>250150.11</v>
      </c>
      <c r="L39" s="99">
        <v>230623.71</v>
      </c>
      <c r="M39" s="99">
        <v>216819.48</v>
      </c>
      <c r="N39" s="99">
        <v>214621.26</v>
      </c>
      <c r="O39" s="99">
        <v>172271.18</v>
      </c>
      <c r="P39" s="99">
        <v>122366.39999999999</v>
      </c>
      <c r="Q39" s="99">
        <v>135610.26999999999</v>
      </c>
      <c r="R39" s="99">
        <v>137927.78</v>
      </c>
      <c r="S39" s="99">
        <v>164689.71</v>
      </c>
      <c r="T39" s="99">
        <v>155769.62</v>
      </c>
      <c r="U39" s="99">
        <v>172638.5</v>
      </c>
      <c r="V39" s="99">
        <v>164503.65</v>
      </c>
      <c r="W39" s="109">
        <v>156843.72</v>
      </c>
      <c r="X39" s="116">
        <f t="shared" si="14"/>
        <v>148129.89887982819</v>
      </c>
      <c r="Y39" s="117">
        <f t="shared" si="14"/>
        <v>141375.86693712315</v>
      </c>
      <c r="Z39" s="121">
        <f t="shared" si="14"/>
        <v>146776.97244696284</v>
      </c>
      <c r="AA39" s="110">
        <v>1.0369999999999999E-3</v>
      </c>
      <c r="AB39" s="50"/>
    </row>
    <row r="40" spans="1:28" x14ac:dyDescent="0.25">
      <c r="A40" s="50"/>
      <c r="B40" s="105"/>
      <c r="C40" s="113"/>
      <c r="D40" s="104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2"/>
      <c r="Y40" s="113"/>
      <c r="Z40" s="107"/>
    </row>
    <row r="41" spans="1:28" s="223" customFormat="1" x14ac:dyDescent="0.25">
      <c r="A41" s="50" t="s">
        <v>135</v>
      </c>
      <c r="B41" s="297"/>
      <c r="C41" s="288"/>
      <c r="D41" s="108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3"/>
      <c r="Y41" s="104"/>
      <c r="Z41" s="107"/>
    </row>
    <row r="42" spans="1:28" s="223" customFormat="1" x14ac:dyDescent="0.25">
      <c r="A42" s="223" t="s">
        <v>0</v>
      </c>
      <c r="B42" s="116">
        <v>0</v>
      </c>
      <c r="C42" s="120">
        <v>0</v>
      </c>
      <c r="D42" s="120">
        <v>0</v>
      </c>
      <c r="E42" s="120">
        <v>0</v>
      </c>
      <c r="F42" s="143">
        <f>+(F35-F49)+(F49*F35/SUM(F35:F39))</f>
        <v>123961.69</v>
      </c>
      <c r="G42" s="143">
        <f>+(G35-G49)+(G49*G35/SUM(G35:G39))</f>
        <v>1908168.92</v>
      </c>
      <c r="H42" s="120">
        <f t="shared" ref="H42:Z42" si="15">+(H35-H49)+(H49*H35/SUM(H35:H39))</f>
        <v>2568297.87</v>
      </c>
      <c r="I42" s="120">
        <f t="shared" si="15"/>
        <v>2577448.31</v>
      </c>
      <c r="J42" s="120">
        <f t="shared" si="15"/>
        <v>2331302.52</v>
      </c>
      <c r="K42" s="120">
        <f t="shared" si="15"/>
        <v>1662285.76</v>
      </c>
      <c r="L42" s="120">
        <f t="shared" si="15"/>
        <v>1362163.19</v>
      </c>
      <c r="M42" s="120">
        <f t="shared" si="15"/>
        <v>2095736.41</v>
      </c>
      <c r="N42" s="120">
        <f t="shared" si="15"/>
        <v>2744219.77</v>
      </c>
      <c r="O42" s="120">
        <f t="shared" si="15"/>
        <v>2148829.36</v>
      </c>
      <c r="P42" s="120">
        <f t="shared" si="15"/>
        <v>1729823.68</v>
      </c>
      <c r="Q42" s="120">
        <f>+(Q35-Q49)+(Q49*Q35/SUM(Q35:Q39))</f>
        <v>1535490.3519158037</v>
      </c>
      <c r="R42" s="120">
        <f t="shared" si="15"/>
        <v>1461392.3439489268</v>
      </c>
      <c r="S42" s="120">
        <f t="shared" si="15"/>
        <v>1959654.4296565112</v>
      </c>
      <c r="T42" s="120">
        <f t="shared" si="15"/>
        <v>2602980.2619516258</v>
      </c>
      <c r="U42" s="120">
        <f t="shared" si="15"/>
        <v>2635782.5735193253</v>
      </c>
      <c r="V42" s="120">
        <f t="shared" si="15"/>
        <v>2087458.9369660481</v>
      </c>
      <c r="W42" s="117">
        <f t="shared" si="15"/>
        <v>1834404.122561598</v>
      </c>
      <c r="X42" s="116">
        <f t="shared" si="15"/>
        <v>1543046.785651952</v>
      </c>
      <c r="Y42" s="120">
        <f t="shared" si="15"/>
        <v>2264931.6692423192</v>
      </c>
      <c r="Z42" s="121">
        <f t="shared" si="15"/>
        <v>2945729.748020275</v>
      </c>
    </row>
    <row r="43" spans="1:28" s="223" customFormat="1" x14ac:dyDescent="0.25">
      <c r="A43" s="223" t="s">
        <v>4</v>
      </c>
      <c r="B43" s="116">
        <v>0</v>
      </c>
      <c r="C43" s="120">
        <v>0</v>
      </c>
      <c r="D43" s="120">
        <v>0</v>
      </c>
      <c r="E43" s="120">
        <v>0</v>
      </c>
      <c r="F43" s="143">
        <f>+F36+(F49*F36/SUM(F35:F39))</f>
        <v>30867.47</v>
      </c>
      <c r="G43" s="120">
        <f t="shared" ref="G43:Z43" si="16">+G36+(G49*G36/SUM(G35:G39))</f>
        <v>447208.24</v>
      </c>
      <c r="H43" s="120">
        <f t="shared" si="16"/>
        <v>531350.03</v>
      </c>
      <c r="I43" s="120">
        <f t="shared" si="16"/>
        <v>530492.54</v>
      </c>
      <c r="J43" s="120">
        <f t="shared" si="16"/>
        <v>510350.03</v>
      </c>
      <c r="K43" s="120">
        <f t="shared" si="16"/>
        <v>434079.23</v>
      </c>
      <c r="L43" s="120">
        <f t="shared" si="16"/>
        <v>385472.34</v>
      </c>
      <c r="M43" s="120">
        <f t="shared" si="16"/>
        <v>447361.18</v>
      </c>
      <c r="N43" s="120">
        <f t="shared" si="16"/>
        <v>521889.23</v>
      </c>
      <c r="O43" s="120">
        <f t="shared" si="16"/>
        <v>291041.78999999998</v>
      </c>
      <c r="P43" s="120">
        <f t="shared" si="16"/>
        <v>258475.06</v>
      </c>
      <c r="Q43" s="120">
        <f t="shared" si="16"/>
        <v>240083.15584274652</v>
      </c>
      <c r="R43" s="120">
        <f t="shared" si="16"/>
        <v>238149.15984790772</v>
      </c>
      <c r="S43" s="120">
        <f t="shared" si="16"/>
        <v>283245.20303855278</v>
      </c>
      <c r="T43" s="120">
        <f t="shared" si="16"/>
        <v>327996.44676217379</v>
      </c>
      <c r="U43" s="120">
        <f t="shared" si="16"/>
        <v>331103.46574723173</v>
      </c>
      <c r="V43" s="120">
        <f t="shared" si="16"/>
        <v>296282.23817969492</v>
      </c>
      <c r="W43" s="117">
        <f t="shared" si="16"/>
        <v>280564.22084559378</v>
      </c>
      <c r="X43" s="116">
        <f t="shared" si="16"/>
        <v>248788.79846604471</v>
      </c>
      <c r="Y43" s="120">
        <f t="shared" si="16"/>
        <v>292656.63364710996</v>
      </c>
      <c r="Z43" s="121">
        <f t="shared" si="16"/>
        <v>345645.35228624911</v>
      </c>
    </row>
    <row r="44" spans="1:28" s="223" customFormat="1" x14ac:dyDescent="0.25">
      <c r="A44" s="223" t="s">
        <v>5</v>
      </c>
      <c r="B44" s="116">
        <v>0</v>
      </c>
      <c r="C44" s="120">
        <v>0</v>
      </c>
      <c r="D44" s="120">
        <v>0</v>
      </c>
      <c r="E44" s="120">
        <v>0</v>
      </c>
      <c r="F44" s="120">
        <f t="shared" ref="F44:Z44" si="17">+F37+(F49*F37/SUM(F35:F39))</f>
        <v>64202.879999999997</v>
      </c>
      <c r="G44" s="120">
        <f t="shared" si="17"/>
        <v>1059813.77</v>
      </c>
      <c r="H44" s="120">
        <f t="shared" si="17"/>
        <v>1203922.71</v>
      </c>
      <c r="I44" s="120">
        <f t="shared" si="17"/>
        <v>1206399.46</v>
      </c>
      <c r="J44" s="120">
        <f t="shared" si="17"/>
        <v>1211503.1299999999</v>
      </c>
      <c r="K44" s="120">
        <f t="shared" si="17"/>
        <v>1066102.3899999999</v>
      </c>
      <c r="L44" s="120">
        <f t="shared" si="17"/>
        <v>972108.05</v>
      </c>
      <c r="M44" s="120">
        <f t="shared" si="17"/>
        <v>1010681.81</v>
      </c>
      <c r="N44" s="120">
        <f t="shared" si="17"/>
        <v>1097512.96</v>
      </c>
      <c r="O44" s="120">
        <f t="shared" si="17"/>
        <v>657802.05000000005</v>
      </c>
      <c r="P44" s="120">
        <f t="shared" si="17"/>
        <v>617850.03</v>
      </c>
      <c r="Q44" s="120">
        <f t="shared" si="17"/>
        <v>596231.95185671397</v>
      </c>
      <c r="R44" s="120">
        <f t="shared" si="17"/>
        <v>614165.85333370208</v>
      </c>
      <c r="S44" s="120">
        <f t="shared" si="17"/>
        <v>696860.88468794955</v>
      </c>
      <c r="T44" s="120">
        <f t="shared" si="17"/>
        <v>758069.71397958952</v>
      </c>
      <c r="U44" s="120">
        <f t="shared" si="17"/>
        <v>772131.85339038563</v>
      </c>
      <c r="V44" s="120">
        <f t="shared" si="17"/>
        <v>728203.46848157048</v>
      </c>
      <c r="W44" s="117">
        <f t="shared" si="17"/>
        <v>699406.82147702377</v>
      </c>
      <c r="X44" s="116">
        <f t="shared" si="17"/>
        <v>625470.60194161022</v>
      </c>
      <c r="Y44" s="120">
        <f t="shared" si="17"/>
        <v>671360.40450872341</v>
      </c>
      <c r="Z44" s="121">
        <f t="shared" si="17"/>
        <v>736279.37039246561</v>
      </c>
    </row>
    <row r="45" spans="1:28" s="223" customFormat="1" x14ac:dyDescent="0.25">
      <c r="A45" s="223" t="s">
        <v>6</v>
      </c>
      <c r="B45" s="116">
        <v>0</v>
      </c>
      <c r="C45" s="120">
        <v>0</v>
      </c>
      <c r="D45" s="120">
        <v>0</v>
      </c>
      <c r="E45" s="120">
        <v>0</v>
      </c>
      <c r="F45" s="120">
        <f t="shared" ref="F45:Z45" si="18">+F38+(F49*F38/SUM(F35:F39))</f>
        <v>42324.55</v>
      </c>
      <c r="G45" s="120">
        <f t="shared" si="18"/>
        <v>402228.87</v>
      </c>
      <c r="H45" s="120">
        <f t="shared" si="18"/>
        <v>504543.46</v>
      </c>
      <c r="I45" s="120">
        <f t="shared" si="18"/>
        <v>492134.64</v>
      </c>
      <c r="J45" s="120">
        <f t="shared" si="18"/>
        <v>534160.06000000006</v>
      </c>
      <c r="K45" s="120">
        <f t="shared" si="18"/>
        <v>453189.31</v>
      </c>
      <c r="L45" s="120">
        <f t="shared" si="18"/>
        <v>435008.89</v>
      </c>
      <c r="M45" s="120">
        <f t="shared" si="18"/>
        <v>436137.77</v>
      </c>
      <c r="N45" s="120">
        <f t="shared" si="18"/>
        <v>457765.57</v>
      </c>
      <c r="O45" s="120">
        <f t="shared" si="18"/>
        <v>318136.18</v>
      </c>
      <c r="P45" s="120">
        <f t="shared" si="18"/>
        <v>262787.62</v>
      </c>
      <c r="Q45" s="120">
        <f t="shared" si="18"/>
        <v>277550.94566468237</v>
      </c>
      <c r="R45" s="120">
        <f t="shared" si="18"/>
        <v>281894.56648872508</v>
      </c>
      <c r="S45" s="120">
        <f t="shared" si="18"/>
        <v>324142.6746664003</v>
      </c>
      <c r="T45" s="120">
        <f t="shared" si="18"/>
        <v>317162.4484876045</v>
      </c>
      <c r="U45" s="120">
        <f t="shared" si="18"/>
        <v>334552.33100757014</v>
      </c>
      <c r="V45" s="120">
        <f t="shared" si="18"/>
        <v>322040.25785923278</v>
      </c>
      <c r="W45" s="117">
        <f t="shared" si="18"/>
        <v>315288.55507372593</v>
      </c>
      <c r="X45" s="116">
        <f t="shared" si="18"/>
        <v>280383.39820867759</v>
      </c>
      <c r="Y45" s="120">
        <f t="shared" si="18"/>
        <v>285280.79386077245</v>
      </c>
      <c r="Z45" s="121">
        <f t="shared" si="18"/>
        <v>298439.03028487589</v>
      </c>
    </row>
    <row r="46" spans="1:28" s="223" customFormat="1" x14ac:dyDescent="0.25">
      <c r="A46" s="223" t="s">
        <v>7</v>
      </c>
      <c r="B46" s="116">
        <v>0</v>
      </c>
      <c r="C46" s="120">
        <v>0</v>
      </c>
      <c r="D46" s="120">
        <v>0</v>
      </c>
      <c r="E46" s="120">
        <v>0</v>
      </c>
      <c r="F46" s="120">
        <f t="shared" ref="F46:Z46" si="19">+F39+(F49*F39/SUM(F35:F39))</f>
        <v>0</v>
      </c>
      <c r="G46" s="120">
        <f t="shared" si="19"/>
        <v>131268.19</v>
      </c>
      <c r="H46" s="120">
        <f t="shared" si="19"/>
        <v>256958.42</v>
      </c>
      <c r="I46" s="120">
        <f t="shared" si="19"/>
        <v>259475.03</v>
      </c>
      <c r="J46" s="120">
        <f t="shared" si="19"/>
        <v>285082.46999999997</v>
      </c>
      <c r="K46" s="120">
        <f t="shared" si="19"/>
        <v>250150.11</v>
      </c>
      <c r="L46" s="120">
        <f t="shared" si="19"/>
        <v>230623.71</v>
      </c>
      <c r="M46" s="120">
        <f t="shared" si="19"/>
        <v>216819.48</v>
      </c>
      <c r="N46" s="120">
        <f t="shared" si="19"/>
        <v>214621.26</v>
      </c>
      <c r="O46" s="120">
        <f t="shared" si="19"/>
        <v>172271.18</v>
      </c>
      <c r="P46" s="120">
        <f t="shared" si="19"/>
        <v>122366.39999999999</v>
      </c>
      <c r="Q46" s="120">
        <f t="shared" si="19"/>
        <v>133103.25472005364</v>
      </c>
      <c r="R46" s="120">
        <f t="shared" si="19"/>
        <v>135731.20638073841</v>
      </c>
      <c r="S46" s="120">
        <f t="shared" si="19"/>
        <v>162157.75795058615</v>
      </c>
      <c r="T46" s="120">
        <f t="shared" si="19"/>
        <v>153203.70881900616</v>
      </c>
      <c r="U46" s="120">
        <f t="shared" si="19"/>
        <v>169773.80633548702</v>
      </c>
      <c r="V46" s="120">
        <f t="shared" si="19"/>
        <v>161844.56851345385</v>
      </c>
      <c r="W46" s="117">
        <f t="shared" si="19"/>
        <v>154346.85004205842</v>
      </c>
      <c r="X46" s="116">
        <f t="shared" si="19"/>
        <v>145672.90272213818</v>
      </c>
      <c r="Y46" s="120">
        <f t="shared" si="19"/>
        <v>138690.28866847794</v>
      </c>
      <c r="Z46" s="121">
        <f t="shared" si="19"/>
        <v>143809.93165000383</v>
      </c>
    </row>
    <row r="47" spans="1:28" s="50" customFormat="1" x14ac:dyDescent="0.25">
      <c r="B47" s="298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105"/>
      <c r="Y47" s="104"/>
      <c r="Z47" s="107"/>
    </row>
    <row r="48" spans="1:28" s="223" customFormat="1" x14ac:dyDescent="0.25">
      <c r="A48" s="50" t="s">
        <v>136</v>
      </c>
      <c r="B48" s="297"/>
      <c r="C48" s="288"/>
      <c r="D48" s="108" t="s">
        <v>90</v>
      </c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3"/>
      <c r="Y48" s="104"/>
      <c r="Z48" s="107"/>
      <c r="AA48" s="273"/>
      <c r="AB48" s="50"/>
    </row>
    <row r="49" spans="1:28" s="223" customFormat="1" x14ac:dyDescent="0.25">
      <c r="A49" s="50" t="str">
        <f>A35</f>
        <v>RES</v>
      </c>
      <c r="B49" s="98">
        <v>0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-51439.089999999989</v>
      </c>
      <c r="R49" s="99">
        <v>-43497.94</v>
      </c>
      <c r="S49" s="99">
        <v>-52672.520000000004</v>
      </c>
      <c r="T49" s="99">
        <v>-68515.819999999992</v>
      </c>
      <c r="U49" s="99">
        <v>-70412.339999999982</v>
      </c>
      <c r="V49" s="99">
        <v>-58123.959999999992</v>
      </c>
      <c r="W49" s="109">
        <v>-52279.729999999974</v>
      </c>
      <c r="X49" s="145">
        <f>-(X28*$AA$35*PPC!$B$14)</f>
        <v>-47162.191821402412</v>
      </c>
      <c r="Y49" s="146">
        <f>-(Y28*$AA$35*PPC!$B$14)</f>
        <v>-69390.923765625106</v>
      </c>
      <c r="Z49" s="147">
        <f>-(Z28*$AA$35*PPC!$B$14)</f>
        <v>-90357.40158684738</v>
      </c>
      <c r="AA49" s="290"/>
      <c r="AB49" s="50"/>
    </row>
    <row r="50" spans="1:28" s="223" customFormat="1" x14ac:dyDescent="0.25">
      <c r="A50" s="50"/>
      <c r="B50" s="105"/>
      <c r="C50" s="113"/>
      <c r="D50" s="108" t="s">
        <v>72</v>
      </c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2"/>
      <c r="Y50" s="113"/>
      <c r="Z50" s="107"/>
    </row>
    <row r="51" spans="1:28" ht="15.75" thickBot="1" x14ac:dyDescent="0.3">
      <c r="A51" s="50" t="s">
        <v>106</v>
      </c>
      <c r="B51" s="123">
        <v>0</v>
      </c>
      <c r="C51" s="124">
        <v>0</v>
      </c>
      <c r="D51" s="124">
        <v>298.63</v>
      </c>
      <c r="E51" s="124">
        <v>674.69</v>
      </c>
      <c r="F51" s="124">
        <v>1475.36</v>
      </c>
      <c r="G51" s="124">
        <v>108.97</v>
      </c>
      <c r="H51" s="124">
        <v>-1399.24</v>
      </c>
      <c r="I51" s="124">
        <v>-2443.31</v>
      </c>
      <c r="J51" s="124">
        <v>-4160.29</v>
      </c>
      <c r="K51" s="124">
        <v>-4437.1276130225706</v>
      </c>
      <c r="L51" s="124">
        <v>-4089.8726909078409</v>
      </c>
      <c r="M51" s="124">
        <v>-5732.3796823568009</v>
      </c>
      <c r="N51" s="124">
        <v>-6387.1229241163428</v>
      </c>
      <c r="O51" s="124">
        <v>-3749.9100388094298</v>
      </c>
      <c r="P51" s="124">
        <v>-4794.8657862936871</v>
      </c>
      <c r="Q51" s="124">
        <v>-4983.609733505551</v>
      </c>
      <c r="R51" s="124">
        <v>-3142.1778395001616</v>
      </c>
      <c r="S51" s="124">
        <v>-2033.7917610442216</v>
      </c>
      <c r="T51" s="124">
        <v>-2950.032033167759</v>
      </c>
      <c r="U51" s="124">
        <v>-1520.1017399300081</v>
      </c>
      <c r="V51" s="124">
        <v>-600.37464592803713</v>
      </c>
      <c r="W51" s="125">
        <v>1065.6199999999999</v>
      </c>
      <c r="X51" s="101">
        <v>3975.2434710811608</v>
      </c>
      <c r="Y51" s="102">
        <v>4613.7650394870816</v>
      </c>
      <c r="Z51" s="191">
        <v>3906.601882773783</v>
      </c>
      <c r="AA51" s="50"/>
    </row>
    <row r="52" spans="1:28" x14ac:dyDescent="0.25">
      <c r="B52" s="150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2"/>
      <c r="Y52" s="153"/>
      <c r="Z52" s="154"/>
    </row>
    <row r="53" spans="1:28" x14ac:dyDescent="0.25">
      <c r="A53" s="76" t="s">
        <v>73</v>
      </c>
      <c r="B53" s="105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3"/>
      <c r="Y53" s="104"/>
      <c r="Z53" s="107"/>
    </row>
    <row r="54" spans="1:28" x14ac:dyDescent="0.25">
      <c r="A54" s="76" t="s">
        <v>0</v>
      </c>
      <c r="B54" s="116">
        <f t="shared" ref="B54:Z54" si="20">B21-B42</f>
        <v>0</v>
      </c>
      <c r="C54" s="120">
        <f t="shared" si="20"/>
        <v>0</v>
      </c>
      <c r="D54" s="120">
        <f t="shared" si="20"/>
        <v>109165.05951390543</v>
      </c>
      <c r="E54" s="120">
        <f t="shared" si="20"/>
        <v>480741.41032421798</v>
      </c>
      <c r="F54" s="120">
        <f t="shared" si="20"/>
        <v>1035558.9875673528</v>
      </c>
      <c r="G54" s="120">
        <f t="shared" si="20"/>
        <v>-796014.29677120619</v>
      </c>
      <c r="H54" s="120">
        <f t="shared" si="20"/>
        <v>-960426.68598167389</v>
      </c>
      <c r="I54" s="120">
        <f t="shared" si="20"/>
        <v>119508.3173276647</v>
      </c>
      <c r="J54" s="120">
        <f t="shared" si="20"/>
        <v>-650781.14802932926</v>
      </c>
      <c r="K54" s="120">
        <f t="shared" si="20"/>
        <v>283633.757875429</v>
      </c>
      <c r="L54" s="120">
        <f t="shared" si="20"/>
        <v>758391.50758311059</v>
      </c>
      <c r="M54" s="120">
        <f t="shared" si="20"/>
        <v>-97704.226593116764</v>
      </c>
      <c r="N54" s="120">
        <f t="shared" si="20"/>
        <v>-862665.63054309995</v>
      </c>
      <c r="O54" s="120">
        <f t="shared" si="20"/>
        <v>-119200.60126053984</v>
      </c>
      <c r="P54" s="120">
        <f t="shared" si="20"/>
        <v>-159533.62003397848</v>
      </c>
      <c r="Q54" s="120">
        <f t="shared" si="20"/>
        <v>-864420.67600424855</v>
      </c>
      <c r="R54" s="120">
        <f t="shared" si="20"/>
        <v>844188.85099213431</v>
      </c>
      <c r="S54" s="120">
        <f t="shared" si="20"/>
        <v>520030.96328711743</v>
      </c>
      <c r="T54" s="120">
        <f t="shared" si="20"/>
        <v>-1055149.5793604027</v>
      </c>
      <c r="U54" s="120">
        <f t="shared" si="20"/>
        <v>-67022.342312908731</v>
      </c>
      <c r="V54" s="120">
        <f t="shared" si="20"/>
        <v>-132471.96672626049</v>
      </c>
      <c r="W54" s="117">
        <f t="shared" si="20"/>
        <v>-29300.709057155997</v>
      </c>
      <c r="X54" s="116">
        <f t="shared" si="20"/>
        <v>332958.59547447297</v>
      </c>
      <c r="Y54" s="120">
        <f t="shared" si="20"/>
        <v>-690037.40189741272</v>
      </c>
      <c r="Z54" s="121">
        <f t="shared" si="20"/>
        <v>-1115027.123832392</v>
      </c>
    </row>
    <row r="55" spans="1:28" x14ac:dyDescent="0.25">
      <c r="A55" s="76" t="s">
        <v>4</v>
      </c>
      <c r="B55" s="116">
        <f t="shared" ref="B55:Z55" si="21">B22-B43</f>
        <v>0</v>
      </c>
      <c r="C55" s="120">
        <f t="shared" si="21"/>
        <v>0</v>
      </c>
      <c r="D55" s="120">
        <f t="shared" si="21"/>
        <v>80396.905524086716</v>
      </c>
      <c r="E55" s="120">
        <f t="shared" si="21"/>
        <v>22367.506099326867</v>
      </c>
      <c r="F55" s="120">
        <f t="shared" si="21"/>
        <v>35649.148293223669</v>
      </c>
      <c r="G55" s="120">
        <f t="shared" si="21"/>
        <v>-305595.24885977083</v>
      </c>
      <c r="H55" s="120">
        <f t="shared" si="21"/>
        <v>-408166.96200675756</v>
      </c>
      <c r="I55" s="120">
        <f t="shared" si="21"/>
        <v>-273673.78639455995</v>
      </c>
      <c r="J55" s="120">
        <f t="shared" si="21"/>
        <v>-425864.98574106238</v>
      </c>
      <c r="K55" s="120">
        <f t="shared" si="21"/>
        <v>-133153.04532952601</v>
      </c>
      <c r="L55" s="120">
        <f t="shared" si="21"/>
        <v>-32452.752257377142</v>
      </c>
      <c r="M55" s="120">
        <f t="shared" si="21"/>
        <v>-132305.03521318134</v>
      </c>
      <c r="N55" s="120">
        <f t="shared" si="21"/>
        <v>-110319.16126958677</v>
      </c>
      <c r="O55" s="120">
        <f t="shared" si="21"/>
        <v>211751.84688851453</v>
      </c>
      <c r="P55" s="120">
        <f t="shared" si="21"/>
        <v>35929.320019657316</v>
      </c>
      <c r="Q55" s="120">
        <f t="shared" si="21"/>
        <v>133416.23187539689</v>
      </c>
      <c r="R55" s="120">
        <f t="shared" si="21"/>
        <v>207756.1758795252</v>
      </c>
      <c r="S55" s="120">
        <f t="shared" si="21"/>
        <v>204160.02694802557</v>
      </c>
      <c r="T55" s="120">
        <f t="shared" si="21"/>
        <v>55539.995071532729</v>
      </c>
      <c r="U55" s="120">
        <f t="shared" si="21"/>
        <v>288464.61794483243</v>
      </c>
      <c r="V55" s="120">
        <f t="shared" si="21"/>
        <v>177754.05025938922</v>
      </c>
      <c r="W55" s="117">
        <f t="shared" si="21"/>
        <v>278495.55990872293</v>
      </c>
      <c r="X55" s="116">
        <f t="shared" si="21"/>
        <v>403076.95315871492</v>
      </c>
      <c r="Y55" s="120">
        <f t="shared" si="21"/>
        <v>262331.50636404264</v>
      </c>
      <c r="Z55" s="121">
        <f t="shared" si="21"/>
        <v>123925.98017360695</v>
      </c>
    </row>
    <row r="56" spans="1:28" x14ac:dyDescent="0.25">
      <c r="A56" s="76" t="s">
        <v>5</v>
      </c>
      <c r="B56" s="116">
        <f t="shared" ref="B56:Z56" si="22">B23-B44</f>
        <v>0</v>
      </c>
      <c r="C56" s="120">
        <f t="shared" si="22"/>
        <v>0</v>
      </c>
      <c r="D56" s="120">
        <f t="shared" si="22"/>
        <v>184247.82933918544</v>
      </c>
      <c r="E56" s="120">
        <f t="shared" si="22"/>
        <v>55385.846863700259</v>
      </c>
      <c r="F56" s="120">
        <f t="shared" si="22"/>
        <v>107328.74773943188</v>
      </c>
      <c r="G56" s="120">
        <f t="shared" si="22"/>
        <v>-721309.05281867995</v>
      </c>
      <c r="H56" s="120">
        <f t="shared" si="22"/>
        <v>-924707.02921066992</v>
      </c>
      <c r="I56" s="120">
        <f t="shared" si="22"/>
        <v>-622107.22711593262</v>
      </c>
      <c r="J56" s="120">
        <f t="shared" si="22"/>
        <v>-1010830.4703996622</v>
      </c>
      <c r="K56" s="120">
        <f t="shared" si="22"/>
        <v>-326649.49814118026</v>
      </c>
      <c r="L56" s="120">
        <f t="shared" si="22"/>
        <v>-83293.358918056474</v>
      </c>
      <c r="M56" s="120">
        <f t="shared" si="22"/>
        <v>-298940.94318697951</v>
      </c>
      <c r="N56" s="120">
        <f t="shared" si="22"/>
        <v>-237410.13066418737</v>
      </c>
      <c r="O56" s="120">
        <f t="shared" si="22"/>
        <v>454164.41792280087</v>
      </c>
      <c r="P56" s="120">
        <f t="shared" si="22"/>
        <v>72620.549294193159</v>
      </c>
      <c r="Q56" s="120">
        <f t="shared" si="22"/>
        <v>313888.46612891997</v>
      </c>
      <c r="R56" s="120">
        <f t="shared" si="22"/>
        <v>513993.56122851558</v>
      </c>
      <c r="S56" s="120">
        <f t="shared" si="22"/>
        <v>479962.63902338257</v>
      </c>
      <c r="T56" s="120">
        <f t="shared" si="22"/>
        <v>111975.11007318588</v>
      </c>
      <c r="U56" s="120">
        <f t="shared" si="22"/>
        <v>645962.20875550294</v>
      </c>
      <c r="V56" s="120">
        <f t="shared" si="22"/>
        <v>415247.59182569128</v>
      </c>
      <c r="W56" s="117">
        <f t="shared" si="22"/>
        <v>668310.70842069539</v>
      </c>
      <c r="X56" s="116">
        <f t="shared" si="22"/>
        <v>983011.94676152314</v>
      </c>
      <c r="Y56" s="120">
        <f t="shared" si="22"/>
        <v>578216.99963976233</v>
      </c>
      <c r="Z56" s="121">
        <f t="shared" si="22"/>
        <v>245458.61650039977</v>
      </c>
    </row>
    <row r="57" spans="1:28" x14ac:dyDescent="0.25">
      <c r="A57" s="76" t="s">
        <v>6</v>
      </c>
      <c r="B57" s="116">
        <f t="shared" ref="B57:Z57" si="23">B24-B45</f>
        <v>0</v>
      </c>
      <c r="C57" s="120">
        <f t="shared" si="23"/>
        <v>0</v>
      </c>
      <c r="D57" s="120">
        <f t="shared" si="23"/>
        <v>76446.845496259717</v>
      </c>
      <c r="E57" s="120">
        <f t="shared" si="23"/>
        <v>24925.441552928634</v>
      </c>
      <c r="F57" s="120">
        <f t="shared" si="23"/>
        <v>38048.606654482297</v>
      </c>
      <c r="G57" s="120">
        <f t="shared" si="23"/>
        <v>-258416.37577544444</v>
      </c>
      <c r="H57" s="120">
        <f t="shared" si="23"/>
        <v>-387453.90191009501</v>
      </c>
      <c r="I57" s="120">
        <f t="shared" si="23"/>
        <v>-253978.04832345201</v>
      </c>
      <c r="J57" s="120">
        <f t="shared" si="23"/>
        <v>-445728.66763809219</v>
      </c>
      <c r="K57" s="120">
        <f t="shared" si="23"/>
        <v>-139007.91718968638</v>
      </c>
      <c r="L57" s="120">
        <f t="shared" si="23"/>
        <v>-36890.856533018057</v>
      </c>
      <c r="M57" s="120">
        <f t="shared" si="23"/>
        <v>-129151.0816384597</v>
      </c>
      <c r="N57" s="120">
        <f t="shared" si="23"/>
        <v>-100977.52958177513</v>
      </c>
      <c r="O57" s="120">
        <f t="shared" si="23"/>
        <v>201907.90722166945</v>
      </c>
      <c r="P57" s="120">
        <f t="shared" si="23"/>
        <v>31290.893116822233</v>
      </c>
      <c r="Q57" s="120">
        <f t="shared" si="23"/>
        <v>146609.69208863127</v>
      </c>
      <c r="R57" s="120">
        <f t="shared" si="23"/>
        <v>236697.60336530575</v>
      </c>
      <c r="S57" s="120">
        <f t="shared" si="23"/>
        <v>223996.57620818634</v>
      </c>
      <c r="T57" s="120">
        <f t="shared" si="23"/>
        <v>47327.370643315255</v>
      </c>
      <c r="U57" s="120">
        <f t="shared" si="23"/>
        <v>280702.30776770622</v>
      </c>
      <c r="V57" s="120">
        <f t="shared" si="23"/>
        <v>184307.67623669398</v>
      </c>
      <c r="W57" s="117">
        <f t="shared" si="23"/>
        <v>302095.12968430069</v>
      </c>
      <c r="X57" s="116">
        <f t="shared" si="23"/>
        <v>441998.31093668524</v>
      </c>
      <c r="Y57" s="120">
        <f t="shared" si="23"/>
        <v>246686.54464352451</v>
      </c>
      <c r="Z57" s="121">
        <f t="shared" si="23"/>
        <v>100230.98999658192</v>
      </c>
    </row>
    <row r="58" spans="1:28" x14ac:dyDescent="0.25">
      <c r="A58" s="76" t="s">
        <v>7</v>
      </c>
      <c r="B58" s="116">
        <f t="shared" ref="B58:Z58" si="24">B25-B46</f>
        <v>0</v>
      </c>
      <c r="C58" s="120">
        <f t="shared" si="24"/>
        <v>0</v>
      </c>
      <c r="D58" s="120">
        <f t="shared" si="24"/>
        <v>39321.070126562699</v>
      </c>
      <c r="E58" s="120">
        <f t="shared" si="24"/>
        <v>12619.135159826228</v>
      </c>
      <c r="F58" s="120">
        <f t="shared" si="24"/>
        <v>39310.379745509235</v>
      </c>
      <c r="G58" s="120">
        <f t="shared" si="24"/>
        <v>-53851.695774898544</v>
      </c>
      <c r="H58" s="120">
        <f t="shared" si="24"/>
        <v>-197393.83089080374</v>
      </c>
      <c r="I58" s="120">
        <f t="shared" si="24"/>
        <v>-133908.38549372059</v>
      </c>
      <c r="J58" s="120">
        <f t="shared" si="24"/>
        <v>-237887.45819185395</v>
      </c>
      <c r="K58" s="120">
        <f t="shared" si="24"/>
        <v>-76729.147215036035</v>
      </c>
      <c r="L58" s="120">
        <f t="shared" si="24"/>
        <v>-19558.069874658773</v>
      </c>
      <c r="M58" s="120">
        <f t="shared" si="24"/>
        <v>-64205.543368262704</v>
      </c>
      <c r="N58" s="120">
        <f t="shared" si="24"/>
        <v>-49997.51794135099</v>
      </c>
      <c r="O58" s="120">
        <f t="shared" si="24"/>
        <v>77321.659227554861</v>
      </c>
      <c r="P58" s="120">
        <f t="shared" si="24"/>
        <v>19984.607603305602</v>
      </c>
      <c r="Q58" s="120">
        <f t="shared" si="24"/>
        <v>78350.945911300631</v>
      </c>
      <c r="R58" s="120">
        <f t="shared" si="24"/>
        <v>123841.56853451955</v>
      </c>
      <c r="S58" s="120">
        <f t="shared" si="24"/>
        <v>122899.63453328802</v>
      </c>
      <c r="T58" s="120">
        <f t="shared" si="24"/>
        <v>29822.363572369242</v>
      </c>
      <c r="U58" s="120">
        <f t="shared" si="24"/>
        <v>154791.02784486694</v>
      </c>
      <c r="V58" s="120">
        <f t="shared" si="24"/>
        <v>102686.8684044863</v>
      </c>
      <c r="W58" s="117">
        <f t="shared" si="24"/>
        <v>159837.53104343769</v>
      </c>
      <c r="X58" s="116">
        <f t="shared" si="24"/>
        <v>244478.54667818136</v>
      </c>
      <c r="Y58" s="120">
        <f t="shared" si="24"/>
        <v>130152.56132268024</v>
      </c>
      <c r="Z58" s="121">
        <f t="shared" si="24"/>
        <v>55894.104527933814</v>
      </c>
    </row>
    <row r="59" spans="1:28" x14ac:dyDescent="0.25">
      <c r="B59" s="105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3"/>
      <c r="Y59" s="104"/>
      <c r="Z59" s="107"/>
    </row>
    <row r="60" spans="1:28" x14ac:dyDescent="0.25">
      <c r="A60" s="76" t="s">
        <v>74</v>
      </c>
      <c r="B60" s="105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3"/>
      <c r="Y60" s="104"/>
      <c r="Z60" s="107"/>
    </row>
    <row r="61" spans="1:28" x14ac:dyDescent="0.25">
      <c r="A61" s="76" t="s">
        <v>0</v>
      </c>
      <c r="B61" s="116">
        <f>B54</f>
        <v>0</v>
      </c>
      <c r="C61" s="120">
        <f t="shared" ref="C61:Z61" si="25">B61+C54+B68</f>
        <v>0</v>
      </c>
      <c r="D61" s="120">
        <f t="shared" si="25"/>
        <v>109165.05951390543</v>
      </c>
      <c r="E61" s="120">
        <f t="shared" si="25"/>
        <v>589973.05797724216</v>
      </c>
      <c r="F61" s="120">
        <f t="shared" si="25"/>
        <v>1625898.6002303143</v>
      </c>
      <c r="G61" s="120">
        <f t="shared" si="25"/>
        <v>830908.3404646602</v>
      </c>
      <c r="H61" s="120">
        <f t="shared" si="25"/>
        <v>-129084.66537233327</v>
      </c>
      <c r="I61" s="120">
        <f t="shared" si="25"/>
        <v>-9644.0145489684128</v>
      </c>
      <c r="J61" s="120">
        <f t="shared" si="25"/>
        <v>-660431.30714965402</v>
      </c>
      <c r="K61" s="120">
        <f t="shared" si="25"/>
        <v>-377213.32380364108</v>
      </c>
      <c r="L61" s="120">
        <f t="shared" si="25"/>
        <v>380939.22856917302</v>
      </c>
      <c r="M61" s="120">
        <f t="shared" si="25"/>
        <v>283477.57931506872</v>
      </c>
      <c r="N61" s="120">
        <f>M61+N54+M68</f>
        <v>-578960.74851075851</v>
      </c>
      <c r="O61" s="120">
        <f>N61+O54+N68+N78</f>
        <v>1561544.1582231908</v>
      </c>
      <c r="P61" s="120">
        <f>O61+P54+O68</f>
        <v>1403181.6963078796</v>
      </c>
      <c r="Q61" s="120">
        <f t="shared" si="25"/>
        <v>540105.73609592614</v>
      </c>
      <c r="R61" s="120">
        <f t="shared" si="25"/>
        <v>1384812.1884184859</v>
      </c>
      <c r="S61" s="120">
        <f t="shared" si="25"/>
        <v>1906170.2633861711</v>
      </c>
      <c r="T61" s="120">
        <f t="shared" si="25"/>
        <v>853260.43408524722</v>
      </c>
      <c r="U61" s="120">
        <f t="shared" si="25"/>
        <v>787227.76721832308</v>
      </c>
      <c r="V61" s="120">
        <f t="shared" si="25"/>
        <v>655718.17069293163</v>
      </c>
      <c r="W61" s="117">
        <f t="shared" si="25"/>
        <v>627208.84571025765</v>
      </c>
      <c r="X61" s="116">
        <f>W61+X54+W68</f>
        <v>960925.7523594154</v>
      </c>
      <c r="Y61" s="120">
        <f>X61+Y54+X68+X78</f>
        <v>268854.01447926572</v>
      </c>
      <c r="Z61" s="121">
        <f t="shared" si="25"/>
        <v>-845848.05812827044</v>
      </c>
    </row>
    <row r="62" spans="1:28" x14ac:dyDescent="0.25">
      <c r="A62" s="76" t="s">
        <v>4</v>
      </c>
      <c r="B62" s="116">
        <f>B55</f>
        <v>0</v>
      </c>
      <c r="C62" s="120">
        <f t="shared" ref="C62:J65" si="26">B62+C55+B69</f>
        <v>0</v>
      </c>
      <c r="D62" s="120">
        <f t="shared" si="26"/>
        <v>80396.905524086716</v>
      </c>
      <c r="E62" s="120">
        <f t="shared" si="26"/>
        <v>102813.45185985549</v>
      </c>
      <c r="F62" s="120">
        <f t="shared" si="26"/>
        <v>138526.47892182056</v>
      </c>
      <c r="G62" s="120">
        <f t="shared" si="26"/>
        <v>-166981.5220366084</v>
      </c>
      <c r="H62" s="120">
        <f t="shared" si="26"/>
        <v>-575235.63754407014</v>
      </c>
      <c r="I62" s="120">
        <f t="shared" si="26"/>
        <v>-849210.96389791986</v>
      </c>
      <c r="J62" s="120">
        <f t="shared" si="26"/>
        <v>-1275617.0144971686</v>
      </c>
      <c r="K62" s="120">
        <f t="shared" ref="K62:Z62" si="27">J62+K55+J69</f>
        <v>-1409573.1245181714</v>
      </c>
      <c r="L62" s="120">
        <f t="shared" si="27"/>
        <v>-1442918.8061106028</v>
      </c>
      <c r="M62" s="120">
        <f t="shared" si="27"/>
        <v>-1576142.6739830303</v>
      </c>
      <c r="N62" s="120">
        <f t="shared" si="27"/>
        <v>-1687725.6442405146</v>
      </c>
      <c r="O62" s="120">
        <f>N62+O55+N69+N79</f>
        <v>-1378496.3403545839</v>
      </c>
      <c r="P62" s="120">
        <f t="shared" si="27"/>
        <v>-1343600.8925901926</v>
      </c>
      <c r="Q62" s="120">
        <f t="shared" si="27"/>
        <v>-1211472.2782368613</v>
      </c>
      <c r="R62" s="120">
        <f t="shared" si="27"/>
        <v>-1004877.0966239797</v>
      </c>
      <c r="S62" s="120">
        <f t="shared" si="27"/>
        <v>-801680.07689355221</v>
      </c>
      <c r="T62" s="120">
        <f t="shared" si="27"/>
        <v>-747082.05591236951</v>
      </c>
      <c r="U62" s="120">
        <f t="shared" si="27"/>
        <v>-459483.95976713847</v>
      </c>
      <c r="V62" s="120">
        <f t="shared" si="27"/>
        <v>-282291.6194588854</v>
      </c>
      <c r="W62" s="117">
        <f t="shared" si="27"/>
        <v>-4136.7563647153265</v>
      </c>
      <c r="X62" s="116">
        <f t="shared" si="27"/>
        <v>398935.19535213575</v>
      </c>
      <c r="Y62" s="120">
        <f t="shared" si="27"/>
        <v>661749.02434073889</v>
      </c>
      <c r="Z62" s="121">
        <f t="shared" si="27"/>
        <v>786475.0756284995</v>
      </c>
    </row>
    <row r="63" spans="1:28" x14ac:dyDescent="0.25">
      <c r="A63" s="76" t="s">
        <v>5</v>
      </c>
      <c r="B63" s="116">
        <f>B56</f>
        <v>0</v>
      </c>
      <c r="C63" s="120">
        <f t="shared" si="26"/>
        <v>0</v>
      </c>
      <c r="D63" s="120">
        <f t="shared" si="26"/>
        <v>184247.82933918544</v>
      </c>
      <c r="E63" s="120">
        <f t="shared" si="26"/>
        <v>239746.06307966658</v>
      </c>
      <c r="F63" s="120">
        <f t="shared" si="26"/>
        <v>347223.76684618538</v>
      </c>
      <c r="G63" s="120">
        <f t="shared" si="26"/>
        <v>-373866.59460612811</v>
      </c>
      <c r="H63" s="120">
        <f t="shared" si="26"/>
        <v>-1298768.7578778537</v>
      </c>
      <c r="I63" s="120">
        <f t="shared" si="26"/>
        <v>-1921556.8028235878</v>
      </c>
      <c r="J63" s="120">
        <f t="shared" si="26"/>
        <v>-2933611.5707220067</v>
      </c>
      <c r="K63" s="120">
        <f t="shared" ref="K63:Z63" si="28">J63+K56+J70</f>
        <v>-3262107.9240275351</v>
      </c>
      <c r="L63" s="120">
        <f t="shared" si="28"/>
        <v>-3347467.7467627646</v>
      </c>
      <c r="M63" s="120">
        <f t="shared" si="28"/>
        <v>-3648540.3155675363</v>
      </c>
      <c r="N63" s="120">
        <f t="shared" si="28"/>
        <v>-3888875.9796365574</v>
      </c>
      <c r="O63" s="120">
        <f>N63+O56+N70+N80</f>
        <v>-3083427.7011116901</v>
      </c>
      <c r="P63" s="120">
        <f t="shared" si="28"/>
        <v>-3013119.7225933308</v>
      </c>
      <c r="Q63" s="120">
        <f t="shared" si="28"/>
        <v>-2702118.8295318959</v>
      </c>
      <c r="R63" s="120">
        <f t="shared" si="28"/>
        <v>-2190714.7988483482</v>
      </c>
      <c r="S63" s="120">
        <f t="shared" si="28"/>
        <v>-1712851.5948405284</v>
      </c>
      <c r="T63" s="120">
        <f t="shared" si="28"/>
        <v>-1602889.08539128</v>
      </c>
      <c r="U63" s="120">
        <f t="shared" si="28"/>
        <v>-958786.02761369525</v>
      </c>
      <c r="V63" s="120">
        <f t="shared" si="28"/>
        <v>-544710.53253104119</v>
      </c>
      <c r="W63" s="117">
        <f t="shared" si="28"/>
        <v>122942.76656364427</v>
      </c>
      <c r="X63" s="116">
        <f t="shared" si="28"/>
        <v>1106103.354203512</v>
      </c>
      <c r="Y63" s="120">
        <f t="shared" si="28"/>
        <v>1685657.6604510902</v>
      </c>
      <c r="Z63" s="121">
        <f t="shared" si="28"/>
        <v>1933154.2792044168</v>
      </c>
    </row>
    <row r="64" spans="1:28" x14ac:dyDescent="0.25">
      <c r="A64" s="76" t="s">
        <v>6</v>
      </c>
      <c r="B64" s="116">
        <f>B57</f>
        <v>0</v>
      </c>
      <c r="C64" s="120">
        <f t="shared" si="26"/>
        <v>0</v>
      </c>
      <c r="D64" s="120">
        <f t="shared" si="26"/>
        <v>76446.845496259717</v>
      </c>
      <c r="E64" s="120">
        <f t="shared" si="26"/>
        <v>101418.91784118135</v>
      </c>
      <c r="F64" s="120">
        <f t="shared" si="26"/>
        <v>139530.53682996024</v>
      </c>
      <c r="G64" s="120">
        <f t="shared" si="26"/>
        <v>-118797.95866002348</v>
      </c>
      <c r="H64" s="120">
        <f t="shared" si="26"/>
        <v>-506313.86538267171</v>
      </c>
      <c r="I64" s="120">
        <f t="shared" si="26"/>
        <v>-760557.32470014202</v>
      </c>
      <c r="J64" s="120">
        <f t="shared" si="26"/>
        <v>-1206770.5725644981</v>
      </c>
      <c r="K64" s="120">
        <f t="shared" ref="K64:Z64" si="29">J64+K57+J71</f>
        <v>-1346538.2121681424</v>
      </c>
      <c r="L64" s="120">
        <f t="shared" si="29"/>
        <v>-1384282.0669951139</v>
      </c>
      <c r="M64" s="120">
        <f t="shared" si="29"/>
        <v>-1514314.6421503103</v>
      </c>
      <c r="N64" s="120">
        <f t="shared" si="29"/>
        <v>-1616506.4047370318</v>
      </c>
      <c r="O64" s="120">
        <f>N64+O57+N71+N81</f>
        <v>-1309206.742422244</v>
      </c>
      <c r="P64" s="120">
        <f t="shared" si="29"/>
        <v>-1278897.7543622386</v>
      </c>
      <c r="Q64" s="120">
        <f t="shared" si="29"/>
        <v>-1133513.6726215379</v>
      </c>
      <c r="R64" s="120">
        <f t="shared" si="29"/>
        <v>-897902.35319249448</v>
      </c>
      <c r="S64" s="120">
        <f t="shared" si="29"/>
        <v>-674766.26673945098</v>
      </c>
      <c r="T64" s="120">
        <f t="shared" si="29"/>
        <v>-628231.74645955453</v>
      </c>
      <c r="U64" s="120">
        <f t="shared" si="29"/>
        <v>-348258.10898877308</v>
      </c>
      <c r="V64" s="120">
        <f t="shared" si="29"/>
        <v>-164376.17132515568</v>
      </c>
      <c r="W64" s="117">
        <f t="shared" si="29"/>
        <v>137520.57330589325</v>
      </c>
      <c r="X64" s="116">
        <f t="shared" si="29"/>
        <v>579685.15005371964</v>
      </c>
      <c r="Y64" s="120">
        <f t="shared" si="29"/>
        <v>827072.54853578773</v>
      </c>
      <c r="Z64" s="121">
        <f t="shared" si="29"/>
        <v>928303.48992036318</v>
      </c>
    </row>
    <row r="65" spans="1:26" x14ac:dyDescent="0.25">
      <c r="A65" s="76" t="s">
        <v>7</v>
      </c>
      <c r="B65" s="116">
        <f>B58</f>
        <v>0</v>
      </c>
      <c r="C65" s="120">
        <f t="shared" si="26"/>
        <v>0</v>
      </c>
      <c r="D65" s="120">
        <f t="shared" si="26"/>
        <v>39321.070126562699</v>
      </c>
      <c r="E65" s="120">
        <f t="shared" si="26"/>
        <v>51964.190221674493</v>
      </c>
      <c r="F65" s="120">
        <f t="shared" si="26"/>
        <v>91306.855708299874</v>
      </c>
      <c r="G65" s="120">
        <f t="shared" si="26"/>
        <v>37512.667578153996</v>
      </c>
      <c r="H65" s="120">
        <f t="shared" si="26"/>
        <v>-159861.58413849736</v>
      </c>
      <c r="I65" s="120">
        <f t="shared" si="26"/>
        <v>-293853.76947427733</v>
      </c>
      <c r="J65" s="120">
        <f t="shared" si="26"/>
        <v>-531928.45316705783</v>
      </c>
      <c r="K65" s="120">
        <f t="shared" ref="K65:Z65" si="30">J65+K58+J72</f>
        <v>-608992.47593978513</v>
      </c>
      <c r="L65" s="120">
        <f t="shared" si="30"/>
        <v>-628936.32732313976</v>
      </c>
      <c r="M65" s="120">
        <f t="shared" si="30"/>
        <v>-693542.36948293773</v>
      </c>
      <c r="N65" s="120">
        <f t="shared" si="30"/>
        <v>-744095.99512602703</v>
      </c>
      <c r="O65" s="120">
        <f>N65+O58+N72+N82</f>
        <v>-790294.28382942791</v>
      </c>
      <c r="P65" s="120">
        <f t="shared" si="30"/>
        <v>-770902.39693899441</v>
      </c>
      <c r="Q65" s="120">
        <f t="shared" si="30"/>
        <v>-693290.23249142698</v>
      </c>
      <c r="R65" s="120">
        <f t="shared" si="30"/>
        <v>-570113.06709637842</v>
      </c>
      <c r="S65" s="120">
        <f t="shared" si="30"/>
        <v>-447759.79091905779</v>
      </c>
      <c r="T65" s="120">
        <f t="shared" si="30"/>
        <v>-418463.54510101845</v>
      </c>
      <c r="U65" s="120">
        <f t="shared" si="30"/>
        <v>-264157.88266052556</v>
      </c>
      <c r="V65" s="120">
        <f t="shared" si="30"/>
        <v>-161793.94198443409</v>
      </c>
      <c r="W65" s="117">
        <f t="shared" si="30"/>
        <v>-2151.6795102642736</v>
      </c>
      <c r="X65" s="116">
        <f t="shared" si="30"/>
        <v>242324.26573359719</v>
      </c>
      <c r="Y65" s="120">
        <f t="shared" si="30"/>
        <v>372769.803151656</v>
      </c>
      <c r="Z65" s="121">
        <f t="shared" si="30"/>
        <v>429114.59569084522</v>
      </c>
    </row>
    <row r="66" spans="1:26" x14ac:dyDescent="0.25">
      <c r="B66" s="105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3"/>
      <c r="Y66" s="104"/>
      <c r="Z66" s="107"/>
    </row>
    <row r="67" spans="1:26" x14ac:dyDescent="0.25">
      <c r="A67" s="76" t="s">
        <v>69</v>
      </c>
      <c r="B67" s="129">
        <v>0</v>
      </c>
      <c r="C67" s="130">
        <v>0</v>
      </c>
      <c r="D67" s="130">
        <f>0.731972%/12</f>
        <v>6.0997666666666656E-4</v>
      </c>
      <c r="E67" s="130">
        <f>0.745569%/12</f>
        <v>6.2130750000000004E-4</v>
      </c>
      <c r="F67" s="130">
        <f>0.755794%/12</f>
        <v>6.2982833333333329E-4</v>
      </c>
      <c r="G67" s="130">
        <f>0.626322%/12</f>
        <v>5.2193500000000006E-4</v>
      </c>
      <c r="H67" s="130">
        <f>0.629043%/12</f>
        <v>5.2420250000000004E-4</v>
      </c>
      <c r="I67" s="130">
        <f>0.764566%/12</f>
        <v>6.3713833333333325E-4</v>
      </c>
      <c r="J67" s="130">
        <f>0.75546%/12</f>
        <v>6.2954999999999999E-4</v>
      </c>
      <c r="K67" s="258">
        <f>0.76017%/12</f>
        <v>6.3347499999999999E-4</v>
      </c>
      <c r="L67" s="258">
        <f>0.764145%/12</f>
        <v>6.3678749999999994E-4</v>
      </c>
      <c r="M67" s="258">
        <f>0.962204%/12</f>
        <v>8.0183666666666664E-4</v>
      </c>
      <c r="N67" s="258">
        <f>0.9%/12</f>
        <v>7.5000000000000012E-4</v>
      </c>
      <c r="O67" s="258">
        <f>0.9%/12</f>
        <v>7.5000000000000012E-4</v>
      </c>
      <c r="P67" s="258">
        <f>1.15%/12</f>
        <v>9.5833333333333328E-4</v>
      </c>
      <c r="Q67" s="258">
        <f>1.15%/12</f>
        <v>9.5833333333333328E-4</v>
      </c>
      <c r="R67" s="258">
        <f>1.15%/12</f>
        <v>9.5833333333333328E-4</v>
      </c>
      <c r="S67" s="258">
        <f>1.41%/12</f>
        <v>1.175E-3</v>
      </c>
      <c r="T67" s="258">
        <f>1.39185%/12</f>
        <v>1.1598750000000001E-3</v>
      </c>
      <c r="U67" s="258">
        <f>1.466976%/12</f>
        <v>1.22248E-3</v>
      </c>
      <c r="V67" s="258">
        <f>1.448276%/12</f>
        <v>1.2068966666666666E-3</v>
      </c>
      <c r="W67" s="258">
        <f>1.45083%/12</f>
        <v>1.2090250000000001E-3</v>
      </c>
      <c r="X67" s="129">
        <f>+W67</f>
        <v>1.2090250000000001E-3</v>
      </c>
      <c r="Y67" s="130">
        <f>+X67</f>
        <v>1.2090250000000001E-3</v>
      </c>
      <c r="Z67" s="259">
        <f>+Y67</f>
        <v>1.2090250000000001E-3</v>
      </c>
    </row>
    <row r="68" spans="1:26" x14ac:dyDescent="0.25">
      <c r="A68" s="76" t="s">
        <v>0</v>
      </c>
      <c r="B68" s="116">
        <f t="shared" ref="B68:U68" si="31">B61*B$67</f>
        <v>0</v>
      </c>
      <c r="C68" s="120">
        <f t="shared" si="31"/>
        <v>0</v>
      </c>
      <c r="D68" s="120">
        <f t="shared" si="31"/>
        <v>66.58813911876031</v>
      </c>
      <c r="E68" s="120">
        <f>E61*E$67</f>
        <v>366.55468571919539</v>
      </c>
      <c r="F68" s="120">
        <f t="shared" si="31"/>
        <v>1024.0370055520584</v>
      </c>
      <c r="G68" s="120">
        <f t="shared" si="31"/>
        <v>433.68014468042247</v>
      </c>
      <c r="H68" s="120">
        <f t="shared" si="31"/>
        <v>-67.66650429984054</v>
      </c>
      <c r="I68" s="120">
        <f t="shared" si="31"/>
        <v>-6.1445713563721522</v>
      </c>
      <c r="J68" s="120">
        <f t="shared" si="31"/>
        <v>-415.77452941606469</v>
      </c>
      <c r="K68" s="120">
        <f>K61*K$67</f>
        <v>-238.95521029651152</v>
      </c>
      <c r="L68" s="120">
        <f t="shared" si="31"/>
        <v>242.57733901249225</v>
      </c>
      <c r="M68" s="120">
        <f t="shared" si="31"/>
        <v>227.30271727273032</v>
      </c>
      <c r="N68" s="120">
        <f>N61*N$67</f>
        <v>-434.22056138306897</v>
      </c>
      <c r="O68" s="120">
        <f>O61*O$67</f>
        <v>1171.1581186673934</v>
      </c>
      <c r="P68" s="120">
        <f t="shared" si="31"/>
        <v>1344.7157922950512</v>
      </c>
      <c r="Q68" s="120">
        <f t="shared" si="31"/>
        <v>517.60133042526252</v>
      </c>
      <c r="R68" s="120">
        <f t="shared" si="31"/>
        <v>1327.1116805677157</v>
      </c>
      <c r="S68" s="120">
        <f t="shared" si="31"/>
        <v>2239.7500594787512</v>
      </c>
      <c r="T68" s="120">
        <f t="shared" si="31"/>
        <v>989.67544598462621</v>
      </c>
      <c r="U68" s="120">
        <f t="shared" si="31"/>
        <v>962.37020086905557</v>
      </c>
      <c r="V68" s="120">
        <f t="shared" ref="V68:W72" si="32">V61*V$67</f>
        <v>791.38407448206351</v>
      </c>
      <c r="W68" s="117">
        <f t="shared" si="32"/>
        <v>758.31117468484433</v>
      </c>
      <c r="X68" s="116">
        <f>X61*X$67</f>
        <v>1161.7832577463423</v>
      </c>
      <c r="Y68" s="120">
        <f t="shared" ref="X68:Z72" si="33">Y61*Y$67</f>
        <v>325.05122485579426</v>
      </c>
      <c r="Z68" s="121">
        <f t="shared" si="33"/>
        <v>-1022.6514484785322</v>
      </c>
    </row>
    <row r="69" spans="1:26" x14ac:dyDescent="0.25">
      <c r="A69" s="76" t="s">
        <v>4</v>
      </c>
      <c r="B69" s="116">
        <f t="shared" ref="B69:J72" si="34">B62*B$67</f>
        <v>0</v>
      </c>
      <c r="C69" s="120">
        <f t="shared" si="34"/>
        <v>0</v>
      </c>
      <c r="D69" s="120">
        <f t="shared" si="34"/>
        <v>49.040236441897328</v>
      </c>
      <c r="E69" s="120">
        <f t="shared" si="34"/>
        <v>63.878768741417169</v>
      </c>
      <c r="F69" s="120">
        <f t="shared" si="34"/>
        <v>87.247901341865372</v>
      </c>
      <c r="G69" s="120">
        <f t="shared" si="34"/>
        <v>-87.153500704177219</v>
      </c>
      <c r="H69" s="120">
        <f t="shared" si="34"/>
        <v>-301.53995928969545</v>
      </c>
      <c r="I69" s="120">
        <f t="shared" si="34"/>
        <v>-541.06485818631404</v>
      </c>
      <c r="J69" s="120">
        <f t="shared" si="34"/>
        <v>-803.06469147669247</v>
      </c>
      <c r="K69" s="120">
        <f>K62*K$67</f>
        <v>-892.92933505414862</v>
      </c>
      <c r="L69" s="120">
        <f t="shared" ref="L69:U69" si="35">L62*L$67</f>
        <v>-918.83265924615534</v>
      </c>
      <c r="M69" s="120">
        <f t="shared" si="35"/>
        <v>-1263.8089878976396</v>
      </c>
      <c r="N69" s="120">
        <f t="shared" si="35"/>
        <v>-1265.7942331803861</v>
      </c>
      <c r="O69" s="120">
        <f t="shared" si="35"/>
        <v>-1033.8722552659381</v>
      </c>
      <c r="P69" s="120">
        <f t="shared" si="35"/>
        <v>-1287.6175220656012</v>
      </c>
      <c r="Q69" s="120">
        <f t="shared" si="35"/>
        <v>-1160.9942666436586</v>
      </c>
      <c r="R69" s="120">
        <f t="shared" si="35"/>
        <v>-963.00721759798057</v>
      </c>
      <c r="S69" s="120">
        <f t="shared" si="35"/>
        <v>-941.97409034992393</v>
      </c>
      <c r="T69" s="120">
        <f t="shared" si="35"/>
        <v>-866.5217996013597</v>
      </c>
      <c r="U69" s="120">
        <f t="shared" si="35"/>
        <v>-561.70995113613139</v>
      </c>
      <c r="V69" s="120">
        <f t="shared" si="32"/>
        <v>-340.69681455286388</v>
      </c>
      <c r="W69" s="117">
        <f t="shared" si="32"/>
        <v>-5.0014418638499478</v>
      </c>
      <c r="X69" s="116">
        <f t="shared" si="33"/>
        <v>482.32262456061596</v>
      </c>
      <c r="Y69" s="120">
        <f t="shared" si="33"/>
        <v>800.07111415356189</v>
      </c>
      <c r="Z69" s="121">
        <f t="shared" si="33"/>
        <v>950.86802831174668</v>
      </c>
    </row>
    <row r="70" spans="1:26" x14ac:dyDescent="0.25">
      <c r="A70" s="76" t="s">
        <v>5</v>
      </c>
      <c r="B70" s="116">
        <f t="shared" si="34"/>
        <v>0</v>
      </c>
      <c r="C70" s="120">
        <f t="shared" si="34"/>
        <v>0</v>
      </c>
      <c r="D70" s="120">
        <f t="shared" si="34"/>
        <v>112.38687678088519</v>
      </c>
      <c r="E70" s="120">
        <f t="shared" si="34"/>
        <v>148.95602708686997</v>
      </c>
      <c r="F70" s="120">
        <f t="shared" si="34"/>
        <v>218.69136636645484</v>
      </c>
      <c r="G70" s="120">
        <f t="shared" si="34"/>
        <v>-195.1340610557495</v>
      </c>
      <c r="H70" s="120">
        <f t="shared" si="34"/>
        <v>-680.81782980146568</v>
      </c>
      <c r="I70" s="120">
        <f t="shared" si="34"/>
        <v>-1224.2974987563491</v>
      </c>
      <c r="J70" s="120">
        <f t="shared" si="34"/>
        <v>-1846.8551643480394</v>
      </c>
      <c r="K70" s="120">
        <f>K63*K$67</f>
        <v>-2066.4638171733427</v>
      </c>
      <c r="L70" s="120">
        <f t="shared" ref="L70:U70" si="36">L63*L$67</f>
        <v>-2131.6256177916939</v>
      </c>
      <c r="M70" s="120">
        <f t="shared" si="36"/>
        <v>-2925.5334048336213</v>
      </c>
      <c r="N70" s="120">
        <f t="shared" si="36"/>
        <v>-2916.6569847274186</v>
      </c>
      <c r="O70" s="120">
        <f t="shared" si="36"/>
        <v>-2312.570775833768</v>
      </c>
      <c r="P70" s="120">
        <f t="shared" si="36"/>
        <v>-2887.5730674852753</v>
      </c>
      <c r="Q70" s="120">
        <f t="shared" si="36"/>
        <v>-2589.5305449680668</v>
      </c>
      <c r="R70" s="120">
        <f t="shared" si="36"/>
        <v>-2099.4350155630004</v>
      </c>
      <c r="S70" s="120">
        <f t="shared" si="36"/>
        <v>-2012.6006239376211</v>
      </c>
      <c r="T70" s="120">
        <f t="shared" si="36"/>
        <v>-1859.1509779182111</v>
      </c>
      <c r="U70" s="120">
        <f t="shared" si="36"/>
        <v>-1172.0967430371902</v>
      </c>
      <c r="V70" s="120">
        <f t="shared" si="32"/>
        <v>-657.40932600993847</v>
      </c>
      <c r="W70" s="117">
        <f t="shared" si="32"/>
        <v>148.64087834461003</v>
      </c>
      <c r="X70" s="116">
        <f t="shared" si="33"/>
        <v>1337.3066078159011</v>
      </c>
      <c r="Y70" s="120">
        <f t="shared" si="33"/>
        <v>2038.0022529268795</v>
      </c>
      <c r="Z70" s="121">
        <f t="shared" si="33"/>
        <v>2337.2318524151201</v>
      </c>
    </row>
    <row r="71" spans="1:26" x14ac:dyDescent="0.25">
      <c r="A71" s="76" t="s">
        <v>6</v>
      </c>
      <c r="B71" s="116">
        <f t="shared" si="34"/>
        <v>0</v>
      </c>
      <c r="C71" s="120">
        <f t="shared" si="34"/>
        <v>0</v>
      </c>
      <c r="D71" s="120">
        <f t="shared" si="34"/>
        <v>46.630791992990176</v>
      </c>
      <c r="E71" s="120">
        <f t="shared" si="34"/>
        <v>63.012334296609787</v>
      </c>
      <c r="F71" s="120">
        <f t="shared" si="34"/>
        <v>87.880285460719136</v>
      </c>
      <c r="G71" s="120">
        <f t="shared" si="34"/>
        <v>-62.004812553219359</v>
      </c>
      <c r="H71" s="120">
        <f t="shared" si="34"/>
        <v>-265.41099401826</v>
      </c>
      <c r="I71" s="120">
        <f t="shared" si="34"/>
        <v>-484.58022626390726</v>
      </c>
      <c r="J71" s="120">
        <f t="shared" si="34"/>
        <v>-759.72241395797971</v>
      </c>
      <c r="K71" s="120">
        <f>K64*K$67</f>
        <v>-852.99829395321399</v>
      </c>
      <c r="L71" s="120">
        <f t="shared" ref="L71:U71" si="37">L64*L$67</f>
        <v>-881.49351673665103</v>
      </c>
      <c r="M71" s="120">
        <f t="shared" si="37"/>
        <v>-1214.233004946331</v>
      </c>
      <c r="N71" s="120">
        <f t="shared" si="37"/>
        <v>-1212.3798035527741</v>
      </c>
      <c r="O71" s="120">
        <f t="shared" si="37"/>
        <v>-981.90505681668321</v>
      </c>
      <c r="P71" s="120">
        <f t="shared" si="37"/>
        <v>-1225.6103479304786</v>
      </c>
      <c r="Q71" s="120">
        <f t="shared" si="37"/>
        <v>-1086.2839362623072</v>
      </c>
      <c r="R71" s="120">
        <f t="shared" si="37"/>
        <v>-860.48975514280721</v>
      </c>
      <c r="S71" s="120">
        <f t="shared" si="37"/>
        <v>-792.85036341885495</v>
      </c>
      <c r="T71" s="120">
        <f t="shared" si="37"/>
        <v>-728.67029692477593</v>
      </c>
      <c r="U71" s="120">
        <f t="shared" si="37"/>
        <v>-425.73857307659529</v>
      </c>
      <c r="V71" s="120">
        <f t="shared" si="32"/>
        <v>-198.3850532517593</v>
      </c>
      <c r="W71" s="117">
        <f t="shared" si="32"/>
        <v>166.2658111411576</v>
      </c>
      <c r="X71" s="116">
        <f t="shared" si="33"/>
        <v>700.85383854369843</v>
      </c>
      <c r="Y71" s="120">
        <f t="shared" si="33"/>
        <v>999.95138799348081</v>
      </c>
      <c r="Z71" s="121">
        <f t="shared" si="33"/>
        <v>1122.3421269009671</v>
      </c>
    </row>
    <row r="72" spans="1:26" ht="15.75" thickBot="1" x14ac:dyDescent="0.3">
      <c r="A72" s="76" t="s">
        <v>7</v>
      </c>
      <c r="B72" s="116">
        <f t="shared" si="34"/>
        <v>0</v>
      </c>
      <c r="C72" s="120">
        <f t="shared" si="34"/>
        <v>0</v>
      </c>
      <c r="D72" s="120">
        <f t="shared" si="34"/>
        <v>23.984935285566955</v>
      </c>
      <c r="E72" s="120">
        <f t="shared" si="34"/>
        <v>32.285741116153027</v>
      </c>
      <c r="F72" s="120">
        <f t="shared" si="34"/>
        <v>57.507644752665662</v>
      </c>
      <c r="G72" s="120">
        <f t="shared" si="34"/>
        <v>19.579174152403809</v>
      </c>
      <c r="H72" s="120">
        <f t="shared" si="34"/>
        <v>-83.799842059360671</v>
      </c>
      <c r="I72" s="120">
        <f t="shared" si="34"/>
        <v>-187.22550092655857</v>
      </c>
      <c r="J72" s="120">
        <f t="shared" si="34"/>
        <v>-334.87555769132126</v>
      </c>
      <c r="K72" s="120">
        <f>K65*K$67</f>
        <v>-385.78150869595538</v>
      </c>
      <c r="L72" s="120">
        <f t="shared" ref="L72:U72" si="38">L65*L$67</f>
        <v>-400.49879153528383</v>
      </c>
      <c r="M72" s="120">
        <f t="shared" si="38"/>
        <v>-556.10770173830053</v>
      </c>
      <c r="N72" s="120">
        <f t="shared" si="38"/>
        <v>-558.07199634452036</v>
      </c>
      <c r="O72" s="120">
        <f t="shared" si="38"/>
        <v>-592.72071287207098</v>
      </c>
      <c r="P72" s="120">
        <f t="shared" si="38"/>
        <v>-738.78146373320294</v>
      </c>
      <c r="Q72" s="120">
        <f t="shared" si="38"/>
        <v>-664.4031394709508</v>
      </c>
      <c r="R72" s="120">
        <f t="shared" si="38"/>
        <v>-546.35835596736263</v>
      </c>
      <c r="S72" s="120">
        <f t="shared" si="38"/>
        <v>-526.11775432989293</v>
      </c>
      <c r="T72" s="120">
        <f t="shared" si="38"/>
        <v>-485.36540437404381</v>
      </c>
      <c r="U72" s="120">
        <f t="shared" si="38"/>
        <v>-322.92772839483928</v>
      </c>
      <c r="V72" s="120">
        <f t="shared" si="32"/>
        <v>-195.26856926787354</v>
      </c>
      <c r="W72" s="117">
        <f t="shared" si="32"/>
        <v>-2.6014343198972636</v>
      </c>
      <c r="X72" s="116">
        <f t="shared" si="33"/>
        <v>292.97609537856238</v>
      </c>
      <c r="Y72" s="120">
        <f t="shared" si="33"/>
        <v>450.68801125543092</v>
      </c>
      <c r="Z72" s="121">
        <f t="shared" si="33"/>
        <v>518.81027405512418</v>
      </c>
    </row>
    <row r="73" spans="1:26" ht="16.5" thickTop="1" thickBot="1" x14ac:dyDescent="0.3">
      <c r="A73" s="132" t="s">
        <v>75</v>
      </c>
      <c r="B73" s="136">
        <f>SUM(B68:B72)+SUM(B61:B65)-B76</f>
        <v>0</v>
      </c>
      <c r="C73" s="137">
        <f t="shared" ref="C73:J73" si="39">SUM(C68:C72)+SUM(C61:C65)-C76</f>
        <v>0</v>
      </c>
      <c r="D73" s="137">
        <f t="shared" si="39"/>
        <v>0</v>
      </c>
      <c r="E73" s="137">
        <f t="shared" si="39"/>
        <v>0</v>
      </c>
      <c r="F73" s="137">
        <f t="shared" si="39"/>
        <v>0</v>
      </c>
      <c r="G73" s="137">
        <f t="shared" si="39"/>
        <v>3.7834979593753815E-10</v>
      </c>
      <c r="H73" s="137">
        <f>SUM(H68:H72)+SUM(H61:H65)-H76</f>
        <v>0</v>
      </c>
      <c r="I73" s="137">
        <f t="shared" si="39"/>
        <v>0</v>
      </c>
      <c r="J73" s="137">
        <f t="shared" si="39"/>
        <v>0</v>
      </c>
      <c r="K73" s="137">
        <f>SUM(K68:K72)+SUM(K61:K65)-K76</f>
        <v>0</v>
      </c>
      <c r="L73" s="137">
        <f t="shared" ref="L73:N73" si="40">SUM(L68:L72)+SUM(L61:L65)-L76</f>
        <v>0</v>
      </c>
      <c r="M73" s="137">
        <f t="shared" si="40"/>
        <v>0</v>
      </c>
      <c r="N73" s="137">
        <f t="shared" si="40"/>
        <v>0</v>
      </c>
      <c r="O73" s="137">
        <f>SUM(O68:O72)+SUM(O61:O65)-O76</f>
        <v>1.0244548320770264E-8</v>
      </c>
      <c r="P73" s="137">
        <f t="shared" ref="P73:Z73" si="41">SUM(P68:P72)+SUM(P61:P65)-P76</f>
        <v>1.0244548320770264E-8</v>
      </c>
      <c r="Q73" s="137">
        <f t="shared" si="41"/>
        <v>1.1175870895385742E-8</v>
      </c>
      <c r="R73" s="137">
        <f t="shared" si="41"/>
        <v>1.1175870895385742E-8</v>
      </c>
      <c r="S73" s="137">
        <f t="shared" si="41"/>
        <v>1.1408701539039612E-8</v>
      </c>
      <c r="T73" s="137">
        <f t="shared" si="41"/>
        <v>1.2107193470001221E-8</v>
      </c>
      <c r="U73" s="137">
        <f t="shared" si="41"/>
        <v>1.3504177331924438E-8</v>
      </c>
      <c r="V73" s="137">
        <f t="shared" si="41"/>
        <v>1.2747477740049362E-8</v>
      </c>
      <c r="W73" s="196">
        <f t="shared" si="41"/>
        <v>1.3620592653751373E-8</v>
      </c>
      <c r="X73" s="136">
        <f>SUM(X68:X72)+SUM(X61:X65)-X76+X78</f>
        <v>1.3884800864616409E-8</v>
      </c>
      <c r="Y73" s="137">
        <f>SUM(Y68:Y72)+SUM(Y61:Y65)-Y76</f>
        <v>1.3504177331924438E-8</v>
      </c>
      <c r="Z73" s="138">
        <f t="shared" si="41"/>
        <v>1.3504177331924438E-8</v>
      </c>
    </row>
    <row r="74" spans="1:26" ht="16.5" thickTop="1" thickBot="1" x14ac:dyDescent="0.3">
      <c r="A74" s="132" t="s">
        <v>76</v>
      </c>
      <c r="B74" s="136">
        <f>SUM(B68:B72)-B51</f>
        <v>0</v>
      </c>
      <c r="C74" s="137">
        <f>SUM(C68:C72)-C51</f>
        <v>0</v>
      </c>
      <c r="D74" s="137">
        <f t="shared" ref="D74:J74" si="42">SUM(D68:D72)-D51</f>
        <v>9.7962009999719157E-4</v>
      </c>
      <c r="E74" s="137">
        <f t="shared" si="42"/>
        <v>-2.4430397546666427E-3</v>
      </c>
      <c r="F74" s="137">
        <f t="shared" si="42"/>
        <v>4.2034737632548058E-3</v>
      </c>
      <c r="G74" s="137">
        <f>SUM(G68:G72)-G51</f>
        <v>-3.0554803197588853E-3</v>
      </c>
      <c r="H74" s="137">
        <f t="shared" si="42"/>
        <v>4.8705313777190895E-3</v>
      </c>
      <c r="I74" s="137">
        <f t="shared" si="42"/>
        <v>-2.6554895011940971E-3</v>
      </c>
      <c r="J74" s="137">
        <f t="shared" si="42"/>
        <v>-2.3568900978716556E-3</v>
      </c>
      <c r="K74" s="137">
        <f>SUM(K68:K72)-K51</f>
        <v>-5.5215060183400055E-4</v>
      </c>
      <c r="L74" s="137">
        <f>SUM(L68:L72)-L51</f>
        <v>-5.5538945116495597E-4</v>
      </c>
      <c r="M74" s="137">
        <f t="shared" ref="M74:U74" si="43">SUM(M68:M72)-M51</f>
        <v>-6.9978636111045489E-4</v>
      </c>
      <c r="N74" s="137">
        <f t="shared" si="43"/>
        <v>-6.5507182534929598E-4</v>
      </c>
      <c r="O74" s="137">
        <f>SUM(O68:O72)-O51</f>
        <v>-6.4331163730457774E-4</v>
      </c>
      <c r="P74" s="137">
        <f t="shared" si="43"/>
        <v>-8.2262581963732373E-4</v>
      </c>
      <c r="Q74" s="137">
        <f t="shared" si="43"/>
        <v>-8.234141696448205E-4</v>
      </c>
      <c r="R74" s="137">
        <f t="shared" si="43"/>
        <v>-8.2420327362342505E-4</v>
      </c>
      <c r="S74" s="137">
        <f>SUM(S68:S72)-S51</f>
        <v>-1.0115133200088167E-3</v>
      </c>
      <c r="T74" s="137">
        <f t="shared" si="43"/>
        <v>-9.9966600555490004E-4</v>
      </c>
      <c r="U74" s="137">
        <f t="shared" si="43"/>
        <v>-1.0548456925789651E-3</v>
      </c>
      <c r="V74" s="137">
        <f>SUM(V68:V72)-V51</f>
        <v>-1.0426723345062783E-3</v>
      </c>
      <c r="W74" s="196">
        <f>SUM(W68:W72)-W51</f>
        <v>-5.0120131350013253E-3</v>
      </c>
      <c r="X74" s="136">
        <f>SUM(X68:X72)-X51</f>
        <v>-1.0470360398358025E-3</v>
      </c>
      <c r="Y74" s="137">
        <f>SUM(Y68:Y72)-Y51</f>
        <v>-1.048301934133633E-3</v>
      </c>
      <c r="Z74" s="138">
        <f>SUM(Z68:Z72)-Z51</f>
        <v>-1.0495693572920572E-3</v>
      </c>
    </row>
    <row r="75" spans="1:26" ht="15.75" thickTop="1" x14ac:dyDescent="0.25">
      <c r="B75" s="105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3"/>
      <c r="Y75" s="104"/>
      <c r="Z75" s="107"/>
    </row>
    <row r="76" spans="1:26" x14ac:dyDescent="0.25">
      <c r="A76" s="76" t="s">
        <v>77</v>
      </c>
      <c r="B76" s="116">
        <f>(SUM(B15:B18)-SUM(B35:B39))+SUM(B68:B72)</f>
        <v>0</v>
      </c>
      <c r="C76" s="120">
        <f t="shared" ref="C76:Z76" si="44">(SUM(C15:C18)-SUM(C35:C39))+SUM(C68:C72)+B76</f>
        <v>0</v>
      </c>
      <c r="D76" s="120">
        <f t="shared" si="44"/>
        <v>489876.34097962017</v>
      </c>
      <c r="E76" s="120">
        <f t="shared" si="44"/>
        <v>1086590.3685365804</v>
      </c>
      <c r="F76" s="120">
        <f t="shared" si="44"/>
        <v>2343961.602740054</v>
      </c>
      <c r="G76" s="120">
        <f t="shared" si="44"/>
        <v>208883.89968457352</v>
      </c>
      <c r="H76" s="120">
        <f t="shared" si="44"/>
        <v>-2670663.7454448952</v>
      </c>
      <c r="I76" s="120">
        <f t="shared" si="44"/>
        <v>-3837266.1881003855</v>
      </c>
      <c r="J76" s="120">
        <f t="shared" si="44"/>
        <v>-6612519.2104572756</v>
      </c>
      <c r="K76" s="120">
        <f t="shared" si="44"/>
        <v>-7008862.1886224486</v>
      </c>
      <c r="L76" s="120">
        <f t="shared" si="44"/>
        <v>-6426755.5918687461</v>
      </c>
      <c r="M76" s="120">
        <f t="shared" si="44"/>
        <v>-7154794.8022508901</v>
      </c>
      <c r="N76" s="143">
        <f>(SUM(N15:N18)-SUM(N35:N39))+SUM(N68:N72)+M76</f>
        <v>-8522551.8958300781</v>
      </c>
      <c r="O76" s="143">
        <f>(SUM(O15:O18)-SUM(O35:O39))+SUM(O68:O72)+N76+N77</f>
        <v>-5003630.8201768873</v>
      </c>
      <c r="P76" s="120">
        <f t="shared" si="44"/>
        <v>-5008133.9367858069</v>
      </c>
      <c r="Q76" s="120">
        <f t="shared" si="44"/>
        <v>-5205272.8873427268</v>
      </c>
      <c r="R76" s="120">
        <f t="shared" si="44"/>
        <v>-3281937.3060064297</v>
      </c>
      <c r="S76" s="120">
        <f t="shared" si="44"/>
        <v>-1732921.2587789875</v>
      </c>
      <c r="T76" s="143">
        <f t="shared" si="44"/>
        <v>-2546356.0318118213</v>
      </c>
      <c r="U76" s="120">
        <f t="shared" si="44"/>
        <v>-1244978.3146065986</v>
      </c>
      <c r="V76" s="120">
        <f t="shared" si="44"/>
        <v>-498054.4702951978</v>
      </c>
      <c r="W76" s="117">
        <f t="shared" si="44"/>
        <v>882449.3646927888</v>
      </c>
      <c r="X76" s="116">
        <f>(SUM(X15:X18)-SUM(X35:X39))+SUM(X68:X72)+W76+X78</f>
        <v>3288752.8408859279</v>
      </c>
      <c r="Y76" s="120">
        <f t="shared" si="44"/>
        <v>3820716.8149497099</v>
      </c>
      <c r="Z76" s="121">
        <f t="shared" si="44"/>
        <v>3235105.9831490451</v>
      </c>
    </row>
    <row r="77" spans="1:26" x14ac:dyDescent="0.25">
      <c r="B77" s="281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326" t="s">
        <v>138</v>
      </c>
      <c r="N77" s="300">
        <f>+'PCR (M1 Final)'!AX66</f>
        <v>2696725.7563353125</v>
      </c>
      <c r="O77" s="282"/>
      <c r="P77" s="282"/>
      <c r="Q77" s="282"/>
      <c r="R77" s="282"/>
      <c r="S77" s="282"/>
      <c r="T77" s="282"/>
      <c r="U77" s="282"/>
      <c r="V77" s="282"/>
      <c r="W77" s="282"/>
      <c r="X77" s="281" t="s">
        <v>177</v>
      </c>
      <c r="Y77" s="283"/>
      <c r="Z77" s="284"/>
    </row>
    <row r="78" spans="1:26" s="223" customFormat="1" x14ac:dyDescent="0.25">
      <c r="A78" s="285" t="s">
        <v>0</v>
      </c>
      <c r="B78" s="105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279">
        <f>+'PCR (M1 Final)'!AX51+'PCR (M1 Final)'!AX58</f>
        <v>2260139.7285558721</v>
      </c>
      <c r="O78" s="104"/>
      <c r="P78" s="104"/>
      <c r="Q78" s="104"/>
      <c r="R78" s="104"/>
      <c r="S78" s="104"/>
      <c r="T78" s="104"/>
      <c r="U78" s="104"/>
      <c r="V78" s="104"/>
      <c r="W78" s="104"/>
      <c r="X78" s="325">
        <v>-3196.1192404833541</v>
      </c>
      <c r="Y78" s="106"/>
      <c r="Z78" s="107"/>
    </row>
    <row r="79" spans="1:26" s="223" customFormat="1" x14ac:dyDescent="0.25">
      <c r="A79" s="285" t="s">
        <v>4</v>
      </c>
      <c r="B79" s="105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279">
        <f>+'PCR (M1 Final)'!AX52+'PCR (M1 Final)'!AX59</f>
        <v>98743.25123059655</v>
      </c>
      <c r="O79" s="104"/>
      <c r="P79" s="104"/>
      <c r="Q79" s="104"/>
      <c r="R79" s="104"/>
      <c r="S79" s="104"/>
      <c r="T79" s="104"/>
      <c r="U79" s="104"/>
      <c r="V79" s="104"/>
      <c r="W79" s="104"/>
      <c r="X79" s="105"/>
      <c r="Y79" s="106"/>
      <c r="Z79" s="107"/>
    </row>
    <row r="80" spans="1:26" s="223" customFormat="1" x14ac:dyDescent="0.25">
      <c r="A80" s="285" t="s">
        <v>5</v>
      </c>
      <c r="B80" s="105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279">
        <f>+'PCR (M1 Final)'!AX53+'PCR (M1 Final)'!AX60</f>
        <v>354200.51758679363</v>
      </c>
      <c r="O80" s="104"/>
      <c r="P80" s="104"/>
      <c r="Q80" s="104"/>
      <c r="R80" s="104"/>
      <c r="S80" s="104"/>
      <c r="T80" s="104"/>
      <c r="U80" s="104"/>
      <c r="V80" s="104"/>
      <c r="W80" s="104"/>
      <c r="X80" s="105"/>
      <c r="Y80" s="106"/>
      <c r="Z80" s="107"/>
    </row>
    <row r="81" spans="1:26" s="223" customFormat="1" x14ac:dyDescent="0.25">
      <c r="A81" s="285" t="s">
        <v>6</v>
      </c>
      <c r="B81" s="105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279">
        <f>+'PCR (M1 Final)'!AX54+'PCR (M1 Final)'!AX61</f>
        <v>106604.13489667099</v>
      </c>
      <c r="O81" s="104"/>
      <c r="P81" s="104"/>
      <c r="Q81" s="104"/>
      <c r="R81" s="104"/>
      <c r="S81" s="104"/>
      <c r="T81" s="104"/>
      <c r="U81" s="104"/>
      <c r="V81" s="104"/>
      <c r="W81" s="104"/>
      <c r="X81" s="105"/>
      <c r="Y81" s="106"/>
      <c r="Z81" s="107"/>
    </row>
    <row r="82" spans="1:26" ht="15.75" thickBot="1" x14ac:dyDescent="0.3">
      <c r="A82" s="285" t="s">
        <v>7</v>
      </c>
      <c r="B82" s="157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301">
        <f>+'PCR (M1 Final)'!AX55+'PCR (M1 Final)'!AX62</f>
        <v>-122961.87593461122</v>
      </c>
      <c r="O82" s="140"/>
      <c r="P82" s="140"/>
      <c r="Q82" s="140"/>
      <c r="R82" s="140"/>
      <c r="S82" s="140"/>
      <c r="T82" s="140"/>
      <c r="U82" s="140"/>
      <c r="V82" s="140"/>
      <c r="W82" s="140"/>
      <c r="X82" s="157"/>
      <c r="Y82" s="158"/>
      <c r="Z82" s="141"/>
    </row>
    <row r="83" spans="1:26" x14ac:dyDescent="0.25">
      <c r="D83" s="57"/>
      <c r="E83" s="53"/>
      <c r="F83" s="53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</row>
    <row r="85" spans="1:26" x14ac:dyDescent="0.25"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</row>
  </sheetData>
  <mergeCells count="1">
    <mergeCell ref="X13:Z13"/>
  </mergeCells>
  <pageMargins left="0.7" right="0.7" top="0.75" bottom="0.75" header="0.3" footer="0.3"/>
  <pageSetup scale="7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76"/>
  <sheetViews>
    <sheetView zoomScaleNormal="100" workbookViewId="0">
      <pane xSplit="1" ySplit="14" topLeftCell="B54" activePane="bottomRight" state="frozen"/>
      <selection activeCell="AP76" sqref="AP76"/>
      <selection pane="topRight" activeCell="AP76" sqref="AP76"/>
      <selection pane="bottomLeft" activeCell="AP76" sqref="AP76"/>
      <selection pane="bottomRight" activeCell="D73" sqref="D73"/>
    </sheetView>
  </sheetViews>
  <sheetFormatPr defaultColWidth="9.140625" defaultRowHeight="15" x14ac:dyDescent="0.25"/>
  <cols>
    <col min="1" max="1" width="25.140625" style="76" customWidth="1"/>
    <col min="2" max="2" width="19.7109375" style="76" customWidth="1"/>
    <col min="3" max="3" width="17.5703125" style="76" customWidth="1"/>
    <col min="4" max="4" width="15.140625" style="76" customWidth="1"/>
    <col min="5" max="5" width="16.140625" style="76" customWidth="1"/>
    <col min="6" max="6" width="15" style="76" bestFit="1" customWidth="1"/>
    <col min="7" max="7" width="16" style="76" customWidth="1"/>
    <col min="8" max="8" width="15" style="76" bestFit="1" customWidth="1"/>
    <col min="9" max="11" width="16" style="76" bestFit="1" customWidth="1"/>
    <col min="12" max="12" width="17.28515625" style="76" bestFit="1" customWidth="1"/>
    <col min="13" max="13" width="17.42578125" style="76" customWidth="1"/>
    <col min="14" max="47" width="17.28515625" style="76" customWidth="1"/>
    <col min="48" max="50" width="17.28515625" style="223" customWidth="1"/>
    <col min="51" max="51" width="13.85546875" style="76" bestFit="1" customWidth="1"/>
    <col min="52" max="52" width="10.85546875" style="76" bestFit="1" customWidth="1"/>
    <col min="53" max="53" width="9.140625" style="76"/>
    <col min="54" max="54" width="12.7109375" style="76" bestFit="1" customWidth="1"/>
    <col min="55" max="16384" width="9.140625" style="76"/>
  </cols>
  <sheetData>
    <row r="2" spans="1:57" x14ac:dyDescent="0.25">
      <c r="B2" s="244" t="s">
        <v>129</v>
      </c>
      <c r="I2" s="3" t="s">
        <v>27</v>
      </c>
      <c r="O2" s="3"/>
    </row>
    <row r="3" spans="1:57" x14ac:dyDescent="0.25">
      <c r="B3" s="159" t="s">
        <v>68</v>
      </c>
      <c r="C3" s="159" t="s">
        <v>82</v>
      </c>
      <c r="D3" s="159" t="s">
        <v>126</v>
      </c>
      <c r="E3" s="159" t="s">
        <v>95</v>
      </c>
      <c r="F3" s="159" t="s">
        <v>69</v>
      </c>
      <c r="G3" s="245" t="s">
        <v>107</v>
      </c>
      <c r="I3" s="58" t="s">
        <v>84</v>
      </c>
      <c r="J3" s="50"/>
      <c r="K3" s="50"/>
      <c r="L3" s="50"/>
      <c r="M3" s="50"/>
      <c r="N3" s="50"/>
      <c r="O3" s="3"/>
    </row>
    <row r="4" spans="1:57" x14ac:dyDescent="0.25">
      <c r="A4" s="76" t="s">
        <v>0</v>
      </c>
      <c r="B4" s="24">
        <f>SUM(B35:AX35)</f>
        <v>64756736.099999964</v>
      </c>
      <c r="C4" s="90">
        <f>SUM(B28:AX28)</f>
        <v>54513383734</v>
      </c>
      <c r="D4" s="24">
        <f>SUM(B21:AX21)</f>
        <v>67090457.192696929</v>
      </c>
      <c r="E4" s="24">
        <f>D4-B4</f>
        <v>2333721.0926969647</v>
      </c>
      <c r="F4" s="24">
        <f>SUM(B58:AX58)</f>
        <v>-73581.364141081736</v>
      </c>
      <c r="G4" s="42">
        <f>E4+F4</f>
        <v>2260139.7285558828</v>
      </c>
      <c r="I4" s="58" t="s">
        <v>122</v>
      </c>
      <c r="J4" s="50"/>
      <c r="K4" s="50"/>
      <c r="L4" s="50"/>
      <c r="M4" s="50"/>
      <c r="N4" s="50"/>
      <c r="O4" s="3"/>
    </row>
    <row r="5" spans="1:57" x14ac:dyDescent="0.25">
      <c r="A5" s="76" t="s">
        <v>4</v>
      </c>
      <c r="B5" s="24">
        <f>SUM(B36:AX36)</f>
        <v>13700538.779999997</v>
      </c>
      <c r="C5" s="90">
        <f>SUM(B29:AX29)</f>
        <v>13997951924</v>
      </c>
      <c r="D5" s="24">
        <f>SUM(B22:AX22)</f>
        <v>13817989.881685387</v>
      </c>
      <c r="E5" s="24">
        <f>D5-B5</f>
        <v>117451.10168538988</v>
      </c>
      <c r="F5" s="24">
        <f>SUM(B59:AX59)</f>
        <v>-18707.850454796284</v>
      </c>
      <c r="G5" s="42">
        <f>E5+F5</f>
        <v>98743.251230593596</v>
      </c>
      <c r="I5" s="58" t="s">
        <v>85</v>
      </c>
      <c r="J5" s="50"/>
      <c r="K5" s="50"/>
      <c r="L5" s="50"/>
      <c r="M5" s="50"/>
      <c r="N5" s="50"/>
      <c r="O5" s="3"/>
    </row>
    <row r="6" spans="1:57" x14ac:dyDescent="0.25">
      <c r="A6" s="76" t="s">
        <v>5</v>
      </c>
      <c r="B6" s="24">
        <f>SUM(B37:AX37)</f>
        <v>32032120.610000003</v>
      </c>
      <c r="C6" s="90">
        <f>SUM(B30:AX30)</f>
        <v>32244320447</v>
      </c>
      <c r="D6" s="24">
        <f>SUM(B23:AX23)</f>
        <v>32425576.780522831</v>
      </c>
      <c r="E6" s="24">
        <f>D6-B6</f>
        <v>393456.17052282766</v>
      </c>
      <c r="F6" s="24">
        <f>SUM(B60:AX60)</f>
        <v>-39255.652936041639</v>
      </c>
      <c r="G6" s="42">
        <f>E6+F6</f>
        <v>354200.51758678601</v>
      </c>
      <c r="I6" s="58" t="s">
        <v>86</v>
      </c>
      <c r="J6" s="50"/>
      <c r="K6" s="50"/>
      <c r="L6" s="50"/>
      <c r="M6" s="50"/>
      <c r="N6" s="50"/>
      <c r="O6" s="3"/>
    </row>
    <row r="7" spans="1:57" x14ac:dyDescent="0.25">
      <c r="A7" s="76" t="s">
        <v>6</v>
      </c>
      <c r="B7" s="24">
        <f>SUM(B38:AX38)</f>
        <v>13767098.130000001</v>
      </c>
      <c r="C7" s="90">
        <f>SUM(B31:AX31)</f>
        <v>13748644241</v>
      </c>
      <c r="D7" s="24">
        <f>SUM(B24:AX24)</f>
        <v>13889795.121558897</v>
      </c>
      <c r="E7" s="24">
        <f>D7-B7</f>
        <v>122696.99155889638</v>
      </c>
      <c r="F7" s="24">
        <f>SUM(B61:AX61)</f>
        <v>-16092.856662222755</v>
      </c>
      <c r="G7" s="42">
        <f>E7+F7</f>
        <v>106604.13489667363</v>
      </c>
      <c r="I7" s="58"/>
      <c r="J7" s="50"/>
      <c r="K7" s="50"/>
      <c r="L7" s="50"/>
      <c r="M7" s="50"/>
      <c r="N7" s="50"/>
      <c r="O7" s="3"/>
    </row>
    <row r="8" spans="1:57" ht="15.75" thickBot="1" x14ac:dyDescent="0.3">
      <c r="A8" s="76" t="s">
        <v>7</v>
      </c>
      <c r="B8" s="24">
        <f>SUM(B39:AX39)</f>
        <v>8390049.0999999978</v>
      </c>
      <c r="C8" s="90">
        <f>SUM(B32:AX32)</f>
        <v>8232167433</v>
      </c>
      <c r="D8" s="24">
        <f>SUM(B25:AX25)</f>
        <v>8278395.3635359276</v>
      </c>
      <c r="E8" s="24">
        <f>D8-B8</f>
        <v>-111653.73646407016</v>
      </c>
      <c r="F8" s="24">
        <f>SUM(B62:AX62)</f>
        <v>-11308.13947053952</v>
      </c>
      <c r="G8" s="42">
        <f>E8+F8</f>
        <v>-122961.87593460968</v>
      </c>
      <c r="J8" s="50"/>
      <c r="K8" s="50"/>
      <c r="L8" s="50"/>
      <c r="M8" s="50"/>
      <c r="N8" s="50"/>
      <c r="O8" s="3"/>
    </row>
    <row r="9" spans="1:57" ht="16.5" thickTop="1" thickBot="1" x14ac:dyDescent="0.3">
      <c r="B9" s="91">
        <f t="shared" ref="B9:G9" si="0">SUM(B4:B8)</f>
        <v>132646542.71999995</v>
      </c>
      <c r="C9" s="240">
        <f>SUM(C4:C8)</f>
        <v>122736467779</v>
      </c>
      <c r="D9" s="91">
        <f t="shared" si="0"/>
        <v>135502214.34</v>
      </c>
      <c r="E9" s="91">
        <f>SUM(E4:E8)</f>
        <v>2855671.6200000085</v>
      </c>
      <c r="F9" s="91">
        <f t="shared" si="0"/>
        <v>-158945.86366468194</v>
      </c>
      <c r="G9" s="91">
        <f t="shared" si="0"/>
        <v>2696725.7563353265</v>
      </c>
      <c r="I9" s="58"/>
      <c r="J9" s="50"/>
      <c r="K9" s="50"/>
      <c r="L9" s="50"/>
      <c r="M9" s="50"/>
      <c r="N9" s="50"/>
      <c r="O9" s="3"/>
    </row>
    <row r="10" spans="1:57" ht="16.5" thickTop="1" thickBot="1" x14ac:dyDescent="0.3">
      <c r="E10" s="39" t="s">
        <v>26</v>
      </c>
      <c r="F10" s="21">
        <f>F9-SUM(B41:AX41)</f>
        <v>-0.57941844774177298</v>
      </c>
      <c r="J10" s="50"/>
      <c r="K10" s="50"/>
      <c r="L10" s="50"/>
      <c r="M10" s="50"/>
      <c r="N10" s="50"/>
    </row>
    <row r="11" spans="1:57" ht="15.75" thickTop="1" x14ac:dyDescent="0.25">
      <c r="E11" s="4"/>
      <c r="G11" s="3"/>
    </row>
    <row r="12" spans="1:57" ht="15.75" thickBot="1" x14ac:dyDescent="0.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</row>
    <row r="13" spans="1:57" ht="15.75" thickBot="1" x14ac:dyDescent="0.3">
      <c r="B13" s="19"/>
      <c r="C13" s="126"/>
      <c r="D13" s="144" t="s">
        <v>72</v>
      </c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7"/>
    </row>
    <row r="14" spans="1:57" x14ac:dyDescent="0.25">
      <c r="A14" s="76" t="s">
        <v>87</v>
      </c>
      <c r="B14" s="95">
        <v>41275</v>
      </c>
      <c r="C14" s="96">
        <f t="shared" ref="C14:W14" si="1">EDATE(B14,1)</f>
        <v>41306</v>
      </c>
      <c r="D14" s="96">
        <f t="shared" si="1"/>
        <v>41334</v>
      </c>
      <c r="E14" s="96">
        <f t="shared" si="1"/>
        <v>41365</v>
      </c>
      <c r="F14" s="96">
        <f t="shared" si="1"/>
        <v>41395</v>
      </c>
      <c r="G14" s="96">
        <f t="shared" si="1"/>
        <v>41426</v>
      </c>
      <c r="H14" s="96">
        <f t="shared" si="1"/>
        <v>41456</v>
      </c>
      <c r="I14" s="96">
        <f t="shared" si="1"/>
        <v>41487</v>
      </c>
      <c r="J14" s="96">
        <f t="shared" si="1"/>
        <v>41518</v>
      </c>
      <c r="K14" s="96">
        <f t="shared" si="1"/>
        <v>41548</v>
      </c>
      <c r="L14" s="96">
        <f t="shared" si="1"/>
        <v>41579</v>
      </c>
      <c r="M14" s="96">
        <f t="shared" si="1"/>
        <v>41609</v>
      </c>
      <c r="N14" s="96">
        <f t="shared" si="1"/>
        <v>41640</v>
      </c>
      <c r="O14" s="96">
        <f t="shared" si="1"/>
        <v>41671</v>
      </c>
      <c r="P14" s="96">
        <f t="shared" si="1"/>
        <v>41699</v>
      </c>
      <c r="Q14" s="96">
        <f t="shared" si="1"/>
        <v>41730</v>
      </c>
      <c r="R14" s="96">
        <f t="shared" si="1"/>
        <v>41760</v>
      </c>
      <c r="S14" s="96">
        <f t="shared" si="1"/>
        <v>41791</v>
      </c>
      <c r="T14" s="96">
        <f t="shared" si="1"/>
        <v>41821</v>
      </c>
      <c r="U14" s="96">
        <f t="shared" si="1"/>
        <v>41852</v>
      </c>
      <c r="V14" s="96">
        <f t="shared" si="1"/>
        <v>41883</v>
      </c>
      <c r="W14" s="96">
        <f t="shared" si="1"/>
        <v>41913</v>
      </c>
      <c r="X14" s="96">
        <f>EDATE(W14,1)</f>
        <v>41944</v>
      </c>
      <c r="Y14" s="96">
        <f>EDATE(X14,1)</f>
        <v>41974</v>
      </c>
      <c r="Z14" s="96">
        <f t="shared" ref="Z14:AU14" si="2">EDATE(Y14,1)</f>
        <v>42005</v>
      </c>
      <c r="AA14" s="96">
        <f t="shared" si="2"/>
        <v>42036</v>
      </c>
      <c r="AB14" s="96">
        <f t="shared" si="2"/>
        <v>42064</v>
      </c>
      <c r="AC14" s="96">
        <f t="shared" si="2"/>
        <v>42095</v>
      </c>
      <c r="AD14" s="96">
        <f t="shared" si="2"/>
        <v>42125</v>
      </c>
      <c r="AE14" s="96">
        <f t="shared" si="2"/>
        <v>42156</v>
      </c>
      <c r="AF14" s="96">
        <f t="shared" si="2"/>
        <v>42186</v>
      </c>
      <c r="AG14" s="96">
        <f t="shared" si="2"/>
        <v>42217</v>
      </c>
      <c r="AH14" s="96">
        <f t="shared" si="2"/>
        <v>42248</v>
      </c>
      <c r="AI14" s="96">
        <f t="shared" si="2"/>
        <v>42278</v>
      </c>
      <c r="AJ14" s="96">
        <f t="shared" si="2"/>
        <v>42309</v>
      </c>
      <c r="AK14" s="96">
        <f t="shared" si="2"/>
        <v>42339</v>
      </c>
      <c r="AL14" s="96">
        <f t="shared" si="2"/>
        <v>42370</v>
      </c>
      <c r="AM14" s="96">
        <f t="shared" si="2"/>
        <v>42401</v>
      </c>
      <c r="AN14" s="96">
        <f t="shared" si="2"/>
        <v>42430</v>
      </c>
      <c r="AO14" s="96">
        <f t="shared" si="2"/>
        <v>42461</v>
      </c>
      <c r="AP14" s="96">
        <f t="shared" si="2"/>
        <v>42491</v>
      </c>
      <c r="AQ14" s="96">
        <f t="shared" si="2"/>
        <v>42522</v>
      </c>
      <c r="AR14" s="96">
        <f t="shared" si="2"/>
        <v>42552</v>
      </c>
      <c r="AS14" s="96">
        <f t="shared" si="2"/>
        <v>42583</v>
      </c>
      <c r="AT14" s="96">
        <f t="shared" si="2"/>
        <v>42614</v>
      </c>
      <c r="AU14" s="96">
        <f t="shared" si="2"/>
        <v>42644</v>
      </c>
      <c r="AV14" s="96">
        <f t="shared" ref="AV14" si="3">EDATE(AU14,1)</f>
        <v>42675</v>
      </c>
      <c r="AW14" s="96">
        <f t="shared" ref="AW14" si="4">EDATE(AV14,1)</f>
        <v>42705</v>
      </c>
      <c r="AX14" s="97">
        <f t="shared" ref="AX14" si="5">EDATE(AW14,1)</f>
        <v>42736</v>
      </c>
      <c r="AY14" s="1"/>
      <c r="AZ14" s="1"/>
      <c r="BA14" s="1"/>
      <c r="BB14" s="1"/>
      <c r="BC14" s="1"/>
      <c r="BD14" s="1"/>
      <c r="BE14" s="1"/>
    </row>
    <row r="15" spans="1:57" x14ac:dyDescent="0.25">
      <c r="A15" s="50" t="s">
        <v>0</v>
      </c>
      <c r="B15" s="98">
        <v>640336.91</v>
      </c>
      <c r="C15" s="99">
        <v>605792.67000000004</v>
      </c>
      <c r="D15" s="99">
        <v>725594.4</v>
      </c>
      <c r="E15" s="99">
        <v>1367115.04</v>
      </c>
      <c r="F15" s="99">
        <v>1340454.52</v>
      </c>
      <c r="G15" s="99">
        <v>1257873.68</v>
      </c>
      <c r="H15" s="99">
        <v>1886442.46</v>
      </c>
      <c r="I15" s="99">
        <v>1893239.29</v>
      </c>
      <c r="J15" s="46">
        <v>1662824.19</v>
      </c>
      <c r="K15" s="100">
        <v>1735871.67</v>
      </c>
      <c r="L15" s="100">
        <v>1631684.65</v>
      </c>
      <c r="M15" s="100">
        <v>2380008.86</v>
      </c>
      <c r="N15" s="100">
        <v>1580368.48</v>
      </c>
      <c r="O15" s="100">
        <v>948470.21</v>
      </c>
      <c r="P15" s="100">
        <v>1909458.73</v>
      </c>
      <c r="Q15" s="100">
        <v>1679720.34</v>
      </c>
      <c r="R15" s="100">
        <v>1653932.58</v>
      </c>
      <c r="S15" s="100">
        <v>1750116.82</v>
      </c>
      <c r="T15" s="100">
        <v>2305893.67</v>
      </c>
      <c r="U15" s="100">
        <v>1706083.4</v>
      </c>
      <c r="V15" s="100">
        <v>1874106.46</v>
      </c>
      <c r="W15" s="100">
        <v>1430822.27</v>
      </c>
      <c r="X15" s="100">
        <v>1516273.7</v>
      </c>
      <c r="Y15" s="100">
        <v>1403931.73</v>
      </c>
      <c r="Z15" s="100">
        <v>1494199.3</v>
      </c>
      <c r="AA15" s="100">
        <v>820979.3</v>
      </c>
      <c r="AB15" s="100">
        <v>1130195.58</v>
      </c>
      <c r="AC15" s="100">
        <v>1125021.22</v>
      </c>
      <c r="AD15" s="100">
        <v>1606968.75</v>
      </c>
      <c r="AE15" s="100">
        <v>1600135.89</v>
      </c>
      <c r="AF15" s="100">
        <v>1727761.82</v>
      </c>
      <c r="AG15" s="100">
        <v>1954657.27</v>
      </c>
      <c r="AH15" s="100">
        <v>2166706.5699999998</v>
      </c>
      <c r="AI15" s="100">
        <v>1995474.27</v>
      </c>
      <c r="AJ15" s="100">
        <v>2126773.1800000002</v>
      </c>
      <c r="AK15" s="100">
        <v>3845914.26</v>
      </c>
      <c r="AL15" s="100">
        <v>-138288.45000000001</v>
      </c>
      <c r="AM15" s="100">
        <v>29133.13</v>
      </c>
      <c r="AN15" s="100">
        <v>31950.400000000001</v>
      </c>
      <c r="AO15" s="100">
        <v>-55026.51</v>
      </c>
      <c r="AP15" s="100">
        <v>25566</v>
      </c>
      <c r="AQ15" s="100">
        <v>36834.92</v>
      </c>
      <c r="AR15" s="100">
        <v>0</v>
      </c>
      <c r="AS15" s="100">
        <v>11616</v>
      </c>
      <c r="AT15" s="100">
        <v>0</v>
      </c>
      <c r="AU15" s="100">
        <v>0</v>
      </c>
      <c r="AV15" s="100">
        <v>0</v>
      </c>
      <c r="AW15" s="100">
        <v>0</v>
      </c>
      <c r="AX15" s="268">
        <v>0</v>
      </c>
      <c r="AY15" s="50"/>
    </row>
    <row r="16" spans="1:57" x14ac:dyDescent="0.25">
      <c r="A16" s="50" t="s">
        <v>1</v>
      </c>
      <c r="B16" s="98">
        <v>454317.08</v>
      </c>
      <c r="C16" s="99">
        <v>441494.74</v>
      </c>
      <c r="D16" s="99">
        <v>363891.08</v>
      </c>
      <c r="E16" s="99">
        <v>478379.47</v>
      </c>
      <c r="F16" s="99">
        <v>1014139.54</v>
      </c>
      <c r="G16" s="99">
        <v>880519.27</v>
      </c>
      <c r="H16" s="99">
        <v>685802</v>
      </c>
      <c r="I16" s="99">
        <v>941967.8</v>
      </c>
      <c r="J16" s="46">
        <v>1061098.22</v>
      </c>
      <c r="K16" s="100">
        <v>1064918.6200000001</v>
      </c>
      <c r="L16" s="100">
        <v>1187326.81</v>
      </c>
      <c r="M16" s="100">
        <v>1557118.31</v>
      </c>
      <c r="N16" s="100">
        <v>1285282.6100000001</v>
      </c>
      <c r="O16" s="100">
        <v>704898.97</v>
      </c>
      <c r="P16" s="100">
        <v>1071660.74</v>
      </c>
      <c r="Q16" s="100">
        <v>1231470.79</v>
      </c>
      <c r="R16" s="100">
        <v>1340055.01</v>
      </c>
      <c r="S16" s="100">
        <v>1462923.21</v>
      </c>
      <c r="T16" s="100">
        <v>1457191.33</v>
      </c>
      <c r="U16" s="100">
        <v>962381.44</v>
      </c>
      <c r="V16" s="100">
        <v>1685137.8</v>
      </c>
      <c r="W16" s="100">
        <v>1704041.3</v>
      </c>
      <c r="X16" s="100">
        <v>1249845.8899999999</v>
      </c>
      <c r="Y16" s="100">
        <v>1408910.99</v>
      </c>
      <c r="Z16" s="100">
        <v>499495.6</v>
      </c>
      <c r="AA16" s="100">
        <v>125198.28</v>
      </c>
      <c r="AB16" s="100">
        <v>1548555.72</v>
      </c>
      <c r="AC16" s="100">
        <v>2331289.4900000002</v>
      </c>
      <c r="AD16" s="100">
        <v>2460819.39</v>
      </c>
      <c r="AE16" s="100">
        <v>1093236.6200000001</v>
      </c>
      <c r="AF16" s="100">
        <v>2579809.7599999998</v>
      </c>
      <c r="AG16" s="100">
        <v>3267917.18</v>
      </c>
      <c r="AH16" s="100">
        <v>1771960.78</v>
      </c>
      <c r="AI16" s="100">
        <v>2248123.36</v>
      </c>
      <c r="AJ16" s="100">
        <v>4421199</v>
      </c>
      <c r="AK16" s="100">
        <v>7157523.5599999996</v>
      </c>
      <c r="AL16" s="100">
        <v>3662857.64</v>
      </c>
      <c r="AM16" s="100">
        <v>-2017391.21</v>
      </c>
      <c r="AN16" s="100">
        <v>151863.56</v>
      </c>
      <c r="AO16" s="100">
        <v>189.07</v>
      </c>
      <c r="AP16" s="100">
        <v>10798.8</v>
      </c>
      <c r="AQ16" s="100">
        <v>104824.36</v>
      </c>
      <c r="AR16" s="100">
        <v>0</v>
      </c>
      <c r="AS16" s="100">
        <v>0</v>
      </c>
      <c r="AT16" s="100">
        <v>8530</v>
      </c>
      <c r="AU16" s="100">
        <v>0</v>
      </c>
      <c r="AV16" s="100">
        <v>0</v>
      </c>
      <c r="AW16" s="100">
        <v>0</v>
      </c>
      <c r="AX16" s="268">
        <v>0</v>
      </c>
      <c r="AY16" s="50"/>
    </row>
    <row r="17" spans="1:54" x14ac:dyDescent="0.25">
      <c r="A17" s="50" t="s">
        <v>2</v>
      </c>
      <c r="B17" s="98">
        <v>235758.09</v>
      </c>
      <c r="C17" s="99">
        <v>-28991</v>
      </c>
      <c r="D17" s="99">
        <v>286168.24</v>
      </c>
      <c r="E17" s="99">
        <v>211438.67</v>
      </c>
      <c r="F17" s="99">
        <v>450933.86</v>
      </c>
      <c r="G17" s="99">
        <v>315229.05</v>
      </c>
      <c r="H17" s="99">
        <v>458117.56</v>
      </c>
      <c r="I17" s="99">
        <v>544491.86</v>
      </c>
      <c r="J17" s="46">
        <v>328255.31</v>
      </c>
      <c r="K17" s="100">
        <v>363224.71</v>
      </c>
      <c r="L17" s="100">
        <v>87690.63</v>
      </c>
      <c r="M17" s="100">
        <v>566570.68000000005</v>
      </c>
      <c r="N17" s="100">
        <v>51784.59</v>
      </c>
      <c r="O17" s="100">
        <v>89170.16</v>
      </c>
      <c r="P17" s="100">
        <v>324702.73</v>
      </c>
      <c r="Q17" s="100">
        <v>300887.17</v>
      </c>
      <c r="R17" s="100">
        <v>745939.39</v>
      </c>
      <c r="S17" s="100">
        <v>349645.84</v>
      </c>
      <c r="T17" s="100">
        <v>239961.74</v>
      </c>
      <c r="U17" s="100">
        <v>293319.15000000002</v>
      </c>
      <c r="V17" s="100">
        <v>274898.46999999997</v>
      </c>
      <c r="W17" s="100">
        <v>199271.42</v>
      </c>
      <c r="X17" s="100">
        <v>378119.27</v>
      </c>
      <c r="Y17" s="100">
        <v>291747.94</v>
      </c>
      <c r="Z17" s="100">
        <v>123912.14</v>
      </c>
      <c r="AA17" s="100">
        <v>216855.29</v>
      </c>
      <c r="AB17" s="100">
        <v>251094.53</v>
      </c>
      <c r="AC17" s="100">
        <v>361607.5</v>
      </c>
      <c r="AD17" s="100">
        <v>249977.02</v>
      </c>
      <c r="AE17" s="100">
        <v>277986.64</v>
      </c>
      <c r="AF17" s="100">
        <v>208381.81</v>
      </c>
      <c r="AG17" s="100">
        <v>566874.24</v>
      </c>
      <c r="AH17" s="100">
        <v>137225.85999999999</v>
      </c>
      <c r="AI17" s="100">
        <v>519908.85</v>
      </c>
      <c r="AJ17" s="100">
        <v>172052.68</v>
      </c>
      <c r="AK17" s="100">
        <v>368031.42</v>
      </c>
      <c r="AL17" s="100">
        <v>-342783.04</v>
      </c>
      <c r="AM17" s="100">
        <v>60.34</v>
      </c>
      <c r="AN17" s="100">
        <v>-6.03</v>
      </c>
      <c r="AO17" s="100">
        <v>0</v>
      </c>
      <c r="AP17" s="100">
        <v>0</v>
      </c>
      <c r="AQ17" s="100">
        <v>0</v>
      </c>
      <c r="AR17" s="100">
        <v>0</v>
      </c>
      <c r="AS17" s="100">
        <v>0</v>
      </c>
      <c r="AT17" s="100">
        <v>0</v>
      </c>
      <c r="AU17" s="100">
        <v>16987.98</v>
      </c>
      <c r="AV17" s="100">
        <v>0</v>
      </c>
      <c r="AW17" s="100">
        <v>0</v>
      </c>
      <c r="AX17" s="268">
        <v>0</v>
      </c>
      <c r="AY17" s="50"/>
    </row>
    <row r="18" spans="1:54" x14ac:dyDescent="0.25">
      <c r="A18" s="50" t="s">
        <v>3</v>
      </c>
      <c r="B18" s="98">
        <v>865428.28</v>
      </c>
      <c r="C18" s="99">
        <v>171869.96</v>
      </c>
      <c r="D18" s="99">
        <v>354913.49</v>
      </c>
      <c r="E18" s="99">
        <v>386342.84</v>
      </c>
      <c r="F18" s="99">
        <v>380502.59</v>
      </c>
      <c r="G18" s="99">
        <v>-16107.38</v>
      </c>
      <c r="H18" s="99">
        <v>105209.38</v>
      </c>
      <c r="I18" s="99">
        <v>27748.39</v>
      </c>
      <c r="J18" s="46">
        <v>414401.51</v>
      </c>
      <c r="K18" s="100">
        <v>127275.37</v>
      </c>
      <c r="L18" s="100">
        <v>85742.61</v>
      </c>
      <c r="M18" s="100">
        <v>451975.95</v>
      </c>
      <c r="N18" s="100">
        <v>62184.959999999999</v>
      </c>
      <c r="O18" s="100">
        <v>143949.34</v>
      </c>
      <c r="P18" s="100">
        <v>508860.08</v>
      </c>
      <c r="Q18" s="100">
        <v>268166.68</v>
      </c>
      <c r="R18" s="100">
        <v>251429.09</v>
      </c>
      <c r="S18" s="100">
        <v>666062.1</v>
      </c>
      <c r="T18" s="100">
        <v>138502.54999999999</v>
      </c>
      <c r="U18" s="100">
        <v>93177.83</v>
      </c>
      <c r="V18" s="100">
        <v>216933.59</v>
      </c>
      <c r="W18" s="100">
        <v>149469.74</v>
      </c>
      <c r="X18" s="100">
        <v>206545.07</v>
      </c>
      <c r="Y18" s="100">
        <v>-49617.5</v>
      </c>
      <c r="Z18" s="100">
        <v>173814.38</v>
      </c>
      <c r="AA18" s="100">
        <v>-75961.320000000007</v>
      </c>
      <c r="AB18" s="100">
        <v>132147.6</v>
      </c>
      <c r="AC18" s="100">
        <v>162665.41</v>
      </c>
      <c r="AD18" s="100">
        <v>447141.26</v>
      </c>
      <c r="AE18" s="100">
        <v>468305.88</v>
      </c>
      <c r="AF18" s="100">
        <v>83029.36</v>
      </c>
      <c r="AG18" s="100">
        <v>309109.94</v>
      </c>
      <c r="AH18" s="100">
        <v>243045.93</v>
      </c>
      <c r="AI18" s="100">
        <v>-20337.95</v>
      </c>
      <c r="AJ18" s="100">
        <v>-14744.2</v>
      </c>
      <c r="AK18" s="100">
        <v>1504545.52</v>
      </c>
      <c r="AL18" s="100">
        <v>31089.48</v>
      </c>
      <c r="AM18" s="100">
        <v>10232.77</v>
      </c>
      <c r="AN18" s="100">
        <v>5166.5</v>
      </c>
      <c r="AO18" s="100">
        <v>-524.11</v>
      </c>
      <c r="AP18" s="100">
        <v>0</v>
      </c>
      <c r="AQ18" s="100">
        <v>1455</v>
      </c>
      <c r="AR18" s="100">
        <v>0</v>
      </c>
      <c r="AS18" s="100">
        <v>0</v>
      </c>
      <c r="AT18" s="100">
        <v>0</v>
      </c>
      <c r="AU18" s="100">
        <v>0</v>
      </c>
      <c r="AV18" s="100">
        <v>0</v>
      </c>
      <c r="AW18" s="100">
        <v>0</v>
      </c>
      <c r="AX18" s="268">
        <v>0</v>
      </c>
      <c r="AY18" s="50"/>
    </row>
    <row r="19" spans="1:54" x14ac:dyDescent="0.25">
      <c r="B19" s="105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6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7"/>
    </row>
    <row r="20" spans="1:54" x14ac:dyDescent="0.25">
      <c r="A20" s="76" t="s">
        <v>88</v>
      </c>
      <c r="B20" s="105"/>
      <c r="C20" s="104"/>
      <c r="D20" s="108"/>
      <c r="E20" s="104"/>
      <c r="F20" s="104"/>
      <c r="G20" s="104"/>
      <c r="H20" s="104"/>
      <c r="I20" s="104"/>
      <c r="J20" s="104"/>
      <c r="K20" s="104"/>
      <c r="L20" s="162"/>
      <c r="M20" s="162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7"/>
    </row>
    <row r="21" spans="1:54" x14ac:dyDescent="0.25">
      <c r="A21" s="76" t="s">
        <v>0</v>
      </c>
      <c r="B21" s="165">
        <f>B15+((B28/SUM(B$28:B$32))*B$17)+((B28/SUM(B$28:B$32))*B$18)</f>
        <v>1182830.8068197027</v>
      </c>
      <c r="C21" s="120">
        <f t="shared" ref="C21:J21" si="6">C15+((C28/SUM(C$28:C$32))*C$17)+((C28/SUM(C$28:C$32))*C$18)</f>
        <v>673451.15918707824</v>
      </c>
      <c r="D21" s="120">
        <f t="shared" si="6"/>
        <v>1031884.8972029432</v>
      </c>
      <c r="E21" s="120">
        <f t="shared" si="6"/>
        <v>1626816.2657540797</v>
      </c>
      <c r="F21" s="120">
        <f t="shared" si="6"/>
        <v>1657638.9306104169</v>
      </c>
      <c r="G21" s="120">
        <f t="shared" si="6"/>
        <v>1376174.2199289829</v>
      </c>
      <c r="H21" s="120">
        <f t="shared" si="6"/>
        <v>2138702.9711479857</v>
      </c>
      <c r="I21" s="120">
        <f t="shared" si="6"/>
        <v>2138822.2701681196</v>
      </c>
      <c r="J21" s="120">
        <f t="shared" si="6"/>
        <v>1989535.2165768305</v>
      </c>
      <c r="K21" s="120">
        <f t="shared" ref="K21:X21" si="7">K15+((K28/SUM(K$28:K$32))*K$17)+((K28/SUM(K$28:K$32))*K$18)</f>
        <v>1921928.5570319619</v>
      </c>
      <c r="L21" s="120">
        <f t="shared" si="7"/>
        <v>1699134.7375723612</v>
      </c>
      <c r="M21" s="120">
        <f t="shared" si="7"/>
        <v>2858289.694727309</v>
      </c>
      <c r="N21" s="120">
        <f t="shared" si="7"/>
        <v>1638791.7944975337</v>
      </c>
      <c r="O21" s="120">
        <f t="shared" si="7"/>
        <v>1068297.1374583873</v>
      </c>
      <c r="P21" s="120">
        <f t="shared" si="7"/>
        <v>2314647.3920329078</v>
      </c>
      <c r="Q21" s="120">
        <f t="shared" si="7"/>
        <v>1920182.7605450749</v>
      </c>
      <c r="R21" s="120">
        <f t="shared" si="7"/>
        <v>2038309.4572863849</v>
      </c>
      <c r="S21" s="120">
        <f t="shared" si="7"/>
        <v>2179449.8747106222</v>
      </c>
      <c r="T21" s="120">
        <f t="shared" si="7"/>
        <v>2477266.4369231663</v>
      </c>
      <c r="U21" s="120">
        <f t="shared" si="7"/>
        <v>1876057.8884449312</v>
      </c>
      <c r="V21" s="120">
        <f t="shared" si="7"/>
        <v>2092575.7097152637</v>
      </c>
      <c r="W21" s="117">
        <f t="shared" si="7"/>
        <v>1560145.999993769</v>
      </c>
      <c r="X21" s="163">
        <f t="shared" si="7"/>
        <v>1749220.2137090203</v>
      </c>
      <c r="Y21" s="117">
        <f t="shared" ref="Y21:AH21" si="8">Y15+((Y28/SUM(Y$28:Y$32))*Y$17)+((Y28/SUM(Y$28:Y$32))*Y$18)</f>
        <v>1520683.535891383</v>
      </c>
      <c r="Z21" s="117">
        <f t="shared" si="8"/>
        <v>1644216.6654295195</v>
      </c>
      <c r="AA21" s="117">
        <f t="shared" si="8"/>
        <v>890877.25800171844</v>
      </c>
      <c r="AB21" s="117">
        <f t="shared" si="8"/>
        <v>1318994.1437801148</v>
      </c>
      <c r="AC21" s="117">
        <f t="shared" si="8"/>
        <v>1331649.8069687816</v>
      </c>
      <c r="AD21" s="117">
        <f t="shared" si="8"/>
        <v>1863080.9232790801</v>
      </c>
      <c r="AE21" s="164">
        <f>AE15+((AE28/SUM(AE$28:AE$32))*AE$17)+((AE28/SUM(AE$28:AE$32))*AE$18)</f>
        <v>1910909.5273087244</v>
      </c>
      <c r="AF21" s="117">
        <f t="shared" si="8"/>
        <v>1858094.1790952033</v>
      </c>
      <c r="AG21" s="117">
        <f t="shared" si="8"/>
        <v>2365032.0916007026</v>
      </c>
      <c r="AH21" s="117">
        <f t="shared" si="8"/>
        <v>2330633.901486279</v>
      </c>
      <c r="AI21" s="117">
        <f>AI15+((AI28/SUM(AI$28:AI$32))*AI$17)+((AI28/SUM(AI$28:AI$32))*AI$18)</f>
        <v>2179894.8060098737</v>
      </c>
      <c r="AJ21" s="117">
        <f>AJ15+((AJ28/SUM(AJ$28:AJ$32))*AJ$17)+((AJ28/SUM(AJ$28:AJ$32))*AJ$18)</f>
        <v>2185795.9687176272</v>
      </c>
      <c r="AK21" s="117">
        <f t="shared" ref="AK21:AT21" si="9">AK15+((AK28/SUM(AK$28:AK$32))*AK$17)+((AK28/SUM(AK$28:AK$32))*AK$18)</f>
        <v>4678261.8125718897</v>
      </c>
      <c r="AL21" s="117">
        <f t="shared" si="9"/>
        <v>-292367.00288388634</v>
      </c>
      <c r="AM21" s="117">
        <f t="shared" si="9"/>
        <v>34128.925955293009</v>
      </c>
      <c r="AN21" s="117">
        <f t="shared" si="9"/>
        <v>34255.040491035354</v>
      </c>
      <c r="AO21" s="117">
        <f t="shared" si="9"/>
        <v>-55234.176917206714</v>
      </c>
      <c r="AP21" s="117">
        <f t="shared" si="9"/>
        <v>25566</v>
      </c>
      <c r="AQ21" s="117">
        <f t="shared" si="9"/>
        <v>37460.47136469432</v>
      </c>
      <c r="AR21" s="117">
        <f t="shared" si="9"/>
        <v>0</v>
      </c>
      <c r="AS21" s="117">
        <f t="shared" si="9"/>
        <v>11616</v>
      </c>
      <c r="AT21" s="117">
        <f t="shared" si="9"/>
        <v>0</v>
      </c>
      <c r="AU21" s="164">
        <f>AU15+((AU28/SUM(AU$28:AU$32))*AU$17)+((AU28/SUM(AU$28:AU$32))*AU$18)</f>
        <v>6752.9225012921552</v>
      </c>
      <c r="AV21" s="117">
        <f t="shared" ref="AV21:AX21" si="10">AV15+((AV28/SUM(AV$28:AV$32))*AV$17)+((AV28/SUM(AV$28:AV$32))*AV$18)</f>
        <v>0</v>
      </c>
      <c r="AW21" s="117">
        <f t="shared" si="10"/>
        <v>0</v>
      </c>
      <c r="AX21" s="121">
        <f t="shared" si="10"/>
        <v>0</v>
      </c>
    </row>
    <row r="22" spans="1:54" x14ac:dyDescent="0.25">
      <c r="A22" s="76" t="s">
        <v>4</v>
      </c>
      <c r="B22" s="116">
        <f>((B29/SUM(B$29:B$32))*B$16)+((B29/SUM(B$28:B$32))*B$17)+((B29/SUM(B$28:B$32))*B$18)</f>
        <v>218701.22353031725</v>
      </c>
      <c r="C22" s="120">
        <f t="shared" ref="C22:J25" si="11">((C29/SUM(C$29:C$32))*C$16)+((C29/SUM(C$28:C$32))*C$17)+((C29/SUM(C$28:C$32))*C$18)</f>
        <v>109353.55843061513</v>
      </c>
      <c r="D22" s="120">
        <f t="shared" si="11"/>
        <v>150660.46067254461</v>
      </c>
      <c r="E22" s="120">
        <f t="shared" si="11"/>
        <v>165743.61325093571</v>
      </c>
      <c r="F22" s="120">
        <f t="shared" si="11"/>
        <v>282238.15926398174</v>
      </c>
      <c r="G22" s="120">
        <f t="shared" si="11"/>
        <v>200725.46765268498</v>
      </c>
      <c r="H22" s="120">
        <f t="shared" si="11"/>
        <v>202221.06054023554</v>
      </c>
      <c r="I22" s="120">
        <f t="shared" si="11"/>
        <v>247783.0951496099</v>
      </c>
      <c r="J22" s="120">
        <f t="shared" si="11"/>
        <v>290557.2399642347</v>
      </c>
      <c r="K22" s="120">
        <f t="shared" ref="K22:AU25" si="12">((K29/SUM(K$29:K$32))*K$16)+((K29/SUM(K$28:K$32))*K$17)+((K29/SUM(K$28:K$32))*K$18)</f>
        <v>254816.81965584939</v>
      </c>
      <c r="L22" s="120">
        <f t="shared" si="12"/>
        <v>241890.41455800884</v>
      </c>
      <c r="M22" s="120">
        <f t="shared" si="12"/>
        <v>439538.22192422178</v>
      </c>
      <c r="N22" s="120">
        <f t="shared" si="12"/>
        <v>303499.14185924432</v>
      </c>
      <c r="O22" s="120">
        <f t="shared" si="12"/>
        <v>190370.21693946052</v>
      </c>
      <c r="P22" s="120">
        <f t="shared" si="12"/>
        <v>334294.35269502847</v>
      </c>
      <c r="Q22" s="120">
        <f t="shared" si="12"/>
        <v>317142.33751496958</v>
      </c>
      <c r="R22" s="120">
        <f t="shared" si="12"/>
        <v>379541.28378360759</v>
      </c>
      <c r="S22" s="120">
        <f t="shared" si="12"/>
        <v>407870.425084271</v>
      </c>
      <c r="T22" s="120">
        <f t="shared" si="12"/>
        <v>344585.95632689714</v>
      </c>
      <c r="U22" s="120">
        <f t="shared" si="12"/>
        <v>237847.34431834004</v>
      </c>
      <c r="V22" s="120">
        <f t="shared" si="12"/>
        <v>396665.12996191182</v>
      </c>
      <c r="W22" s="117">
        <f t="shared" si="12"/>
        <v>359445.39580071764</v>
      </c>
      <c r="X22" s="117">
        <f t="shared" si="12"/>
        <v>309163.88866315433</v>
      </c>
      <c r="Y22" s="117">
        <f t="shared" si="12"/>
        <v>338018.03228774131</v>
      </c>
      <c r="Z22" s="117">
        <f t="shared" si="12"/>
        <v>147110.14032137621</v>
      </c>
      <c r="AA22" s="117">
        <f t="shared" si="12"/>
        <v>44714.243270813051</v>
      </c>
      <c r="AB22" s="117">
        <f t="shared" si="12"/>
        <v>397337.76686085749</v>
      </c>
      <c r="AC22" s="117">
        <f t="shared" si="12"/>
        <v>512059.49554576911</v>
      </c>
      <c r="AD22" s="117">
        <f t="shared" si="12"/>
        <v>552724.03471607575</v>
      </c>
      <c r="AE22" s="117">
        <f t="shared" si="12"/>
        <v>299972.36792402063</v>
      </c>
      <c r="AF22" s="117">
        <f t="shared" si="12"/>
        <v>551228.0554666305</v>
      </c>
      <c r="AG22" s="117">
        <f t="shared" si="12"/>
        <v>788563.08125669451</v>
      </c>
      <c r="AH22" s="117">
        <f t="shared" si="12"/>
        <v>398666.97750942805</v>
      </c>
      <c r="AI22" s="117">
        <f t="shared" si="12"/>
        <v>476773.74853741447</v>
      </c>
      <c r="AJ22" s="164">
        <f>((AJ29/SUM(AJ$29:AJ$32))*AJ$16)+((AJ29/SUM(AJ$28:AJ$32))*AJ$17)+((AJ29/SUM(AJ$28:AJ$32))*AJ$18)</f>
        <v>859529.5887772718</v>
      </c>
      <c r="AK22" s="117">
        <f t="shared" si="12"/>
        <v>1674459.9680580976</v>
      </c>
      <c r="AL22" s="117">
        <f t="shared" si="12"/>
        <v>777720.13801573613</v>
      </c>
      <c r="AM22" s="117">
        <f t="shared" si="12"/>
        <v>-445285.93773343891</v>
      </c>
      <c r="AN22" s="117">
        <f t="shared" si="12"/>
        <v>32698.597497223065</v>
      </c>
      <c r="AO22" s="117">
        <f t="shared" si="12"/>
        <v>-24.710055195963236</v>
      </c>
      <c r="AP22" s="117">
        <f t="shared" si="12"/>
        <v>2007.9279865498211</v>
      </c>
      <c r="AQ22" s="117">
        <f t="shared" si="12"/>
        <v>21333.175068883098</v>
      </c>
      <c r="AR22" s="117">
        <f t="shared" si="12"/>
        <v>0</v>
      </c>
      <c r="AS22" s="117">
        <f t="shared" si="12"/>
        <v>0</v>
      </c>
      <c r="AT22" s="117">
        <f t="shared" si="12"/>
        <v>1712.653623977898</v>
      </c>
      <c r="AU22" s="164">
        <f>((AU29/SUM(AU$29:AU$32))*AU$16)+((AU29/SUM(AU$28:AU$32))*AU$17)+((AU29/SUM(AU$28:AU$32))*AU$18)</f>
        <v>2015.7292086242935</v>
      </c>
      <c r="AV22" s="117">
        <f t="shared" ref="AV22:AX22" si="13">((AV29/SUM(AV$29:AV$32))*AV$16)+((AV29/SUM(AV$28:AV$32))*AV$17)+((AV29/SUM(AV$28:AV$32))*AV$18)</f>
        <v>0</v>
      </c>
      <c r="AW22" s="117">
        <f t="shared" si="13"/>
        <v>0</v>
      </c>
      <c r="AX22" s="121">
        <f t="shared" si="13"/>
        <v>0</v>
      </c>
    </row>
    <row r="23" spans="1:54" x14ac:dyDescent="0.25">
      <c r="A23" s="76" t="s">
        <v>5</v>
      </c>
      <c r="B23" s="116">
        <f>((B30/SUM(B$29:B$32))*B$16)+((B30/SUM(B$28:B$32))*B$17)+((B30/SUM(B$28:B$32))*B$18)</f>
        <v>460498.46546721482</v>
      </c>
      <c r="C23" s="120">
        <f t="shared" si="11"/>
        <v>233124.21686089033</v>
      </c>
      <c r="D23" s="120">
        <f t="shared" si="11"/>
        <v>321203.26765085687</v>
      </c>
      <c r="E23" s="120">
        <f t="shared" si="11"/>
        <v>376099.84502405778</v>
      </c>
      <c r="F23" s="120">
        <f t="shared" si="11"/>
        <v>691298.86499693571</v>
      </c>
      <c r="G23" s="120">
        <f t="shared" si="11"/>
        <v>488319.42696941958</v>
      </c>
      <c r="H23" s="120">
        <f t="shared" si="11"/>
        <v>457276.58481639356</v>
      </c>
      <c r="I23" s="120">
        <f t="shared" si="11"/>
        <v>575866.04963054252</v>
      </c>
      <c r="J23" s="120">
        <f t="shared" si="11"/>
        <v>679940.19228483376</v>
      </c>
      <c r="K23" s="120">
        <f t="shared" ref="K23:W23" si="14">((K30/SUM(K$29:K$32))*K$16)+((K30/SUM(K$28:K$32))*K$17)+((K30/SUM(K$28:K$32))*K$18)</f>
        <v>622142.75104189571</v>
      </c>
      <c r="L23" s="120">
        <f t="shared" si="14"/>
        <v>585411.69172217778</v>
      </c>
      <c r="M23" s="120">
        <f t="shared" si="14"/>
        <v>954702.03809950047</v>
      </c>
      <c r="N23" s="120">
        <f t="shared" si="14"/>
        <v>616958.4561296975</v>
      </c>
      <c r="O23" s="120">
        <f t="shared" si="14"/>
        <v>381952.40385901119</v>
      </c>
      <c r="P23" s="120">
        <f t="shared" si="14"/>
        <v>704641.13874529453</v>
      </c>
      <c r="Q23" s="120">
        <f t="shared" si="14"/>
        <v>732396.30283903889</v>
      </c>
      <c r="R23" s="120">
        <f t="shared" si="14"/>
        <v>942035.14878152695</v>
      </c>
      <c r="S23" s="120">
        <f t="shared" si="14"/>
        <v>991529.40961601795</v>
      </c>
      <c r="T23" s="120">
        <f t="shared" si="14"/>
        <v>798082.41324313241</v>
      </c>
      <c r="U23" s="120">
        <f t="shared" si="14"/>
        <v>559363.11049524497</v>
      </c>
      <c r="V23" s="120">
        <f t="shared" si="14"/>
        <v>949457.10874680302</v>
      </c>
      <c r="W23" s="117">
        <f t="shared" si="14"/>
        <v>913116.23279312463</v>
      </c>
      <c r="X23" s="117">
        <f t="shared" si="12"/>
        <v>752709.71735380159</v>
      </c>
      <c r="Y23" s="117">
        <f t="shared" si="12"/>
        <v>731911.73256886075</v>
      </c>
      <c r="Z23" s="117">
        <f t="shared" si="12"/>
        <v>309837.32998355973</v>
      </c>
      <c r="AA23" s="117">
        <f t="shared" si="12"/>
        <v>94173.775968937654</v>
      </c>
      <c r="AB23" s="117">
        <f t="shared" si="12"/>
        <v>832357.96620217804</v>
      </c>
      <c r="AC23" s="117">
        <f t="shared" si="12"/>
        <v>1254764.0169254823</v>
      </c>
      <c r="AD23" s="117">
        <f t="shared" si="12"/>
        <v>1399459.0057450724</v>
      </c>
      <c r="AE23" s="117">
        <f t="shared" si="12"/>
        <v>747170.68944972474</v>
      </c>
      <c r="AF23" s="117">
        <f t="shared" si="12"/>
        <v>1292692.1327143966</v>
      </c>
      <c r="AG23" s="117">
        <f t="shared" si="12"/>
        <v>1817739.9882546561</v>
      </c>
      <c r="AH23" s="117">
        <f t="shared" si="12"/>
        <v>955215.75102348463</v>
      </c>
      <c r="AI23" s="117">
        <f t="shared" si="12"/>
        <v>1221105.2758807812</v>
      </c>
      <c r="AJ23" s="117">
        <f t="shared" si="12"/>
        <v>2179890.7219723281</v>
      </c>
      <c r="AK23" s="117">
        <f t="shared" si="12"/>
        <v>3937355.381599674</v>
      </c>
      <c r="AL23" s="117">
        <f t="shared" si="12"/>
        <v>1674868.1807029371</v>
      </c>
      <c r="AM23" s="117">
        <f t="shared" si="12"/>
        <v>-951158.01452883205</v>
      </c>
      <c r="AN23" s="117">
        <f t="shared" si="12"/>
        <v>74936.287311382941</v>
      </c>
      <c r="AO23" s="117">
        <f t="shared" si="12"/>
        <v>-61.186407058513666</v>
      </c>
      <c r="AP23" s="117">
        <f t="shared" si="12"/>
        <v>5178.0015995121439</v>
      </c>
      <c r="AQ23" s="117">
        <f t="shared" si="12"/>
        <v>50993.770664169126</v>
      </c>
      <c r="AR23" s="117">
        <f t="shared" si="12"/>
        <v>0</v>
      </c>
      <c r="AS23" s="117">
        <f t="shared" si="12"/>
        <v>0</v>
      </c>
      <c r="AT23" s="117">
        <f t="shared" si="12"/>
        <v>4067.9715648186275</v>
      </c>
      <c r="AU23" s="117">
        <f t="shared" si="12"/>
        <v>4953.1641593559571</v>
      </c>
      <c r="AV23" s="117">
        <f t="shared" ref="AV23:AX23" si="15">((AV30/SUM(AV$29:AV$32))*AV$16)+((AV30/SUM(AV$28:AV$32))*AV$17)+((AV30/SUM(AV$28:AV$32))*AV$18)</f>
        <v>0</v>
      </c>
      <c r="AW23" s="117">
        <f t="shared" si="15"/>
        <v>0</v>
      </c>
      <c r="AX23" s="121">
        <f t="shared" si="15"/>
        <v>0</v>
      </c>
    </row>
    <row r="24" spans="1:54" x14ac:dyDescent="0.25">
      <c r="A24" s="76" t="s">
        <v>6</v>
      </c>
      <c r="B24" s="116">
        <f>((B31/SUM(B$29:B$32))*B$16)+((B31/SUM(B$28:B$32))*B$17)+((B31/SUM(B$28:B$32))*B$18)</f>
        <v>184598.19260187683</v>
      </c>
      <c r="C24" s="120">
        <f t="shared" si="11"/>
        <v>99287.232963136747</v>
      </c>
      <c r="D24" s="120">
        <f t="shared" si="11"/>
        <v>136844.13695851929</v>
      </c>
      <c r="E24" s="120">
        <f t="shared" si="11"/>
        <v>156595.44920564248</v>
      </c>
      <c r="F24" s="120">
        <f t="shared" si="11"/>
        <v>303223.12063806644</v>
      </c>
      <c r="G24" s="120">
        <f t="shared" si="11"/>
        <v>207938.15865219798</v>
      </c>
      <c r="H24" s="120">
        <f t="shared" si="11"/>
        <v>190989.65106572097</v>
      </c>
      <c r="I24" s="120">
        <f t="shared" si="11"/>
        <v>241742.8387510782</v>
      </c>
      <c r="J24" s="120">
        <f t="shared" si="11"/>
        <v>287297.98213486333</v>
      </c>
      <c r="K24" s="120">
        <f t="shared" ref="K24:W24" si="16">((K31/SUM(K$29:K$32))*K$16)+((K31/SUM(K$28:K$32))*K$17)+((K31/SUM(K$28:K$32))*K$18)</f>
        <v>271710.80107959319</v>
      </c>
      <c r="L24" s="120">
        <f t="shared" si="16"/>
        <v>254908.72145887165</v>
      </c>
      <c r="M24" s="120">
        <f t="shared" si="16"/>
        <v>397308.52165398211</v>
      </c>
      <c r="N24" s="120">
        <f t="shared" si="16"/>
        <v>240914.93188050282</v>
      </c>
      <c r="O24" s="120">
        <f t="shared" si="16"/>
        <v>157837.41407360605</v>
      </c>
      <c r="P24" s="120">
        <f t="shared" si="16"/>
        <v>303146.57682593592</v>
      </c>
      <c r="Q24" s="120">
        <f t="shared" si="16"/>
        <v>331197.34549752902</v>
      </c>
      <c r="R24" s="120">
        <f t="shared" si="16"/>
        <v>407093.55714498728</v>
      </c>
      <c r="S24" s="120">
        <f t="shared" si="16"/>
        <v>420660.45975022117</v>
      </c>
      <c r="T24" s="120">
        <f t="shared" si="16"/>
        <v>333923.50975154073</v>
      </c>
      <c r="U24" s="120">
        <f t="shared" si="16"/>
        <v>246760.32768483044</v>
      </c>
      <c r="V24" s="120">
        <f t="shared" si="16"/>
        <v>388144.44771520904</v>
      </c>
      <c r="W24" s="117">
        <f t="shared" si="16"/>
        <v>413972.12820370728</v>
      </c>
      <c r="X24" s="117">
        <f t="shared" si="12"/>
        <v>342208.28196861362</v>
      </c>
      <c r="Y24" s="117">
        <f t="shared" si="12"/>
        <v>307207.60267222434</v>
      </c>
      <c r="Z24" s="117">
        <f t="shared" si="12"/>
        <v>124626.06935148942</v>
      </c>
      <c r="AA24" s="117">
        <f t="shared" si="12"/>
        <v>38205.379719658216</v>
      </c>
      <c r="AB24" s="117">
        <f t="shared" si="12"/>
        <v>341995.15316154907</v>
      </c>
      <c r="AC24" s="117">
        <f t="shared" si="12"/>
        <v>584794.51971538516</v>
      </c>
      <c r="AD24" s="117">
        <f t="shared" si="12"/>
        <v>621650.41527716129</v>
      </c>
      <c r="AE24" s="117">
        <f t="shared" si="12"/>
        <v>309363.88816958881</v>
      </c>
      <c r="AF24" s="117">
        <f t="shared" si="12"/>
        <v>581966.24640204338</v>
      </c>
      <c r="AG24" s="117">
        <f t="shared" si="12"/>
        <v>725862.45359269809</v>
      </c>
      <c r="AH24" s="117">
        <f t="shared" si="12"/>
        <v>405922.29119943723</v>
      </c>
      <c r="AI24" s="117">
        <f t="shared" si="12"/>
        <v>529583.83593585482</v>
      </c>
      <c r="AJ24" s="117">
        <f t="shared" si="12"/>
        <v>951582.81320779037</v>
      </c>
      <c r="AK24" s="117">
        <f t="shared" si="12"/>
        <v>1705129.6361458374</v>
      </c>
      <c r="AL24" s="117">
        <f t="shared" si="12"/>
        <v>693318.32631216303</v>
      </c>
      <c r="AM24" s="117">
        <f t="shared" si="12"/>
        <v>-408769.71307388181</v>
      </c>
      <c r="AN24" s="117">
        <f t="shared" si="12"/>
        <v>31092.050303673579</v>
      </c>
      <c r="AO24" s="117">
        <f t="shared" si="12"/>
        <v>-27.535883250531789</v>
      </c>
      <c r="AP24" s="117">
        <f t="shared" si="12"/>
        <v>2426.2133998223544</v>
      </c>
      <c r="AQ24" s="117">
        <f t="shared" si="12"/>
        <v>21664.517440685831</v>
      </c>
      <c r="AR24" s="117">
        <f t="shared" si="12"/>
        <v>0</v>
      </c>
      <c r="AS24" s="117">
        <f t="shared" si="12"/>
        <v>0</v>
      </c>
      <c r="AT24" s="117">
        <f t="shared" si="12"/>
        <v>1792.6527225084671</v>
      </c>
      <c r="AU24" s="117">
        <f t="shared" si="12"/>
        <v>2104.518126222566</v>
      </c>
      <c r="AV24" s="117">
        <f t="shared" ref="AV24:AX24" si="17">((AV31/SUM(AV$29:AV$32))*AV$16)+((AV31/SUM(AV$28:AV$32))*AV$17)+((AV31/SUM(AV$28:AV$32))*AV$18)</f>
        <v>0</v>
      </c>
      <c r="AW24" s="117">
        <f t="shared" si="17"/>
        <v>0</v>
      </c>
      <c r="AX24" s="121">
        <f t="shared" si="17"/>
        <v>0</v>
      </c>
    </row>
    <row r="25" spans="1:54" x14ac:dyDescent="0.25">
      <c r="A25" s="76" t="s">
        <v>7</v>
      </c>
      <c r="B25" s="116">
        <f>((B32/SUM(B$29:B$32))*B$16)+((B32/SUM(B$28:B$32))*B$17)+((B32/SUM(B$28:B$32))*B$18)</f>
        <v>149211.67158088839</v>
      </c>
      <c r="C25" s="120">
        <f t="shared" si="11"/>
        <v>74950.202558279649</v>
      </c>
      <c r="D25" s="120">
        <f t="shared" si="11"/>
        <v>89974.447515136053</v>
      </c>
      <c r="E25" s="120">
        <f t="shared" si="11"/>
        <v>118020.84676528435</v>
      </c>
      <c r="F25" s="120">
        <f t="shared" si="11"/>
        <v>251631.43449059944</v>
      </c>
      <c r="G25" s="120">
        <f t="shared" si="11"/>
        <v>164357.34679671444</v>
      </c>
      <c r="H25" s="120">
        <f t="shared" si="11"/>
        <v>146381.13242966429</v>
      </c>
      <c r="I25" s="120">
        <f t="shared" si="11"/>
        <v>203233.08630065012</v>
      </c>
      <c r="J25" s="120">
        <f t="shared" si="11"/>
        <v>219248.59903923754</v>
      </c>
      <c r="K25" s="120">
        <f t="shared" ref="K25:W25" si="18">((K32/SUM(K$29:K$32))*K$16)+((K32/SUM(K$28:K$32))*K$17)+((K32/SUM(K$28:K$32))*K$18)</f>
        <v>220691.44119069993</v>
      </c>
      <c r="L25" s="120">
        <f t="shared" si="18"/>
        <v>211099.13468858023</v>
      </c>
      <c r="M25" s="120">
        <f t="shared" si="18"/>
        <v>305835.32359498658</v>
      </c>
      <c r="N25" s="120">
        <f t="shared" si="18"/>
        <v>179456.31563302164</v>
      </c>
      <c r="O25" s="120">
        <f t="shared" si="18"/>
        <v>88031.507669534825</v>
      </c>
      <c r="P25" s="120">
        <f t="shared" si="18"/>
        <v>157952.81970083324</v>
      </c>
      <c r="Q25" s="120">
        <f t="shared" si="18"/>
        <v>179326.23360338763</v>
      </c>
      <c r="R25" s="120">
        <f t="shared" si="18"/>
        <v>224376.62300349338</v>
      </c>
      <c r="S25" s="120">
        <f t="shared" si="18"/>
        <v>229237.80083886764</v>
      </c>
      <c r="T25" s="120">
        <f t="shared" si="18"/>
        <v>187690.97375526332</v>
      </c>
      <c r="U25" s="120">
        <f t="shared" si="18"/>
        <v>134933.1490566532</v>
      </c>
      <c r="V25" s="120">
        <f t="shared" si="18"/>
        <v>224233.92386081262</v>
      </c>
      <c r="W25" s="117">
        <f t="shared" si="18"/>
        <v>236924.97320868145</v>
      </c>
      <c r="X25" s="117">
        <f t="shared" si="12"/>
        <v>197481.82830541008</v>
      </c>
      <c r="Y25" s="117">
        <f t="shared" si="12"/>
        <v>157152.25657979064</v>
      </c>
      <c r="Z25" s="117">
        <f t="shared" si="12"/>
        <v>65631.21491405509</v>
      </c>
      <c r="AA25" s="117">
        <f t="shared" si="12"/>
        <v>19100.893038872688</v>
      </c>
      <c r="AB25" s="117">
        <f t="shared" si="12"/>
        <v>171308.39999530069</v>
      </c>
      <c r="AC25" s="117">
        <f t="shared" si="12"/>
        <v>297315.7808445819</v>
      </c>
      <c r="AD25" s="117">
        <f t="shared" si="12"/>
        <v>327992.04098261031</v>
      </c>
      <c r="AE25" s="117">
        <f t="shared" si="12"/>
        <v>172248.55714794161</v>
      </c>
      <c r="AF25" s="117">
        <f t="shared" si="12"/>
        <v>315002.13632172608</v>
      </c>
      <c r="AG25" s="117">
        <f t="shared" si="12"/>
        <v>401361.01529524877</v>
      </c>
      <c r="AH25" s="117">
        <f t="shared" si="12"/>
        <v>228500.21878137105</v>
      </c>
      <c r="AI25" s="117">
        <f t="shared" si="12"/>
        <v>335810.86363607587</v>
      </c>
      <c r="AJ25" s="117">
        <f t="shared" si="12"/>
        <v>528481.56732498272</v>
      </c>
      <c r="AK25" s="117">
        <f t="shared" si="12"/>
        <v>880807.96162450069</v>
      </c>
      <c r="AL25" s="117">
        <f t="shared" si="12"/>
        <v>359335.98785305017</v>
      </c>
      <c r="AM25" s="117">
        <f t="shared" si="12"/>
        <v>-206880.23061914017</v>
      </c>
      <c r="AN25" s="117">
        <f t="shared" si="12"/>
        <v>15992.454396685082</v>
      </c>
      <c r="AO25" s="117">
        <f t="shared" si="12"/>
        <v>-13.940737288275976</v>
      </c>
      <c r="AP25" s="117">
        <f t="shared" si="12"/>
        <v>1186.6570141156801</v>
      </c>
      <c r="AQ25" s="117">
        <f t="shared" si="12"/>
        <v>11662.345461567616</v>
      </c>
      <c r="AR25" s="117">
        <f t="shared" si="12"/>
        <v>0</v>
      </c>
      <c r="AS25" s="117">
        <f t="shared" si="12"/>
        <v>0</v>
      </c>
      <c r="AT25" s="117">
        <f t="shared" si="12"/>
        <v>956.72208869500776</v>
      </c>
      <c r="AU25" s="117">
        <f t="shared" si="12"/>
        <v>1161.6460045050285</v>
      </c>
      <c r="AV25" s="117">
        <f t="shared" ref="AV25:AX25" si="19">((AV32/SUM(AV$29:AV$32))*AV$16)+((AV32/SUM(AV$28:AV$32))*AV$17)+((AV32/SUM(AV$28:AV$32))*AV$18)</f>
        <v>0</v>
      </c>
      <c r="AW25" s="117">
        <f t="shared" si="19"/>
        <v>0</v>
      </c>
      <c r="AX25" s="121">
        <f t="shared" si="19"/>
        <v>0</v>
      </c>
    </row>
    <row r="26" spans="1:54" x14ac:dyDescent="0.25">
      <c r="B26" s="105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7"/>
    </row>
    <row r="27" spans="1:54" x14ac:dyDescent="0.25">
      <c r="A27" s="76" t="s">
        <v>89</v>
      </c>
      <c r="B27" s="105"/>
      <c r="C27" s="104"/>
      <c r="D27" s="108" t="s">
        <v>90</v>
      </c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7"/>
    </row>
    <row r="28" spans="1:54" x14ac:dyDescent="0.25">
      <c r="A28" s="50" t="s">
        <v>0</v>
      </c>
      <c r="B28" s="148">
        <v>1465786917</v>
      </c>
      <c r="C28" s="114">
        <v>1258624559</v>
      </c>
      <c r="D28" s="114">
        <v>1240891627</v>
      </c>
      <c r="E28" s="114">
        <v>1035032782</v>
      </c>
      <c r="F28" s="114">
        <v>807815978</v>
      </c>
      <c r="G28" s="114">
        <v>944347001</v>
      </c>
      <c r="H28" s="114">
        <v>1271891590</v>
      </c>
      <c r="I28" s="114">
        <v>1167342435</v>
      </c>
      <c r="J28" s="114">
        <v>1279101600</v>
      </c>
      <c r="K28" s="115">
        <v>889369457</v>
      </c>
      <c r="L28" s="115">
        <v>847264579</v>
      </c>
      <c r="M28" s="115">
        <v>1279609957</v>
      </c>
      <c r="N28" s="115">
        <v>1638413028</v>
      </c>
      <c r="O28" s="115">
        <v>1541079708</v>
      </c>
      <c r="P28" s="115">
        <v>1287246250</v>
      </c>
      <c r="Q28" s="115">
        <v>925234299</v>
      </c>
      <c r="R28" s="115">
        <v>790501119</v>
      </c>
      <c r="S28" s="115">
        <v>1029996190</v>
      </c>
      <c r="T28" s="115">
        <v>1248568727</v>
      </c>
      <c r="U28" s="115">
        <v>1150716602</v>
      </c>
      <c r="V28" s="115">
        <v>1229322682</v>
      </c>
      <c r="W28" s="115">
        <v>785555738</v>
      </c>
      <c r="X28" s="115">
        <v>849992194</v>
      </c>
      <c r="Y28" s="115">
        <v>1279405271</v>
      </c>
      <c r="Z28" s="115">
        <v>1492543707</v>
      </c>
      <c r="AA28" s="115">
        <v>1325969845</v>
      </c>
      <c r="AB28" s="115">
        <v>1307749393</v>
      </c>
      <c r="AC28" s="115">
        <v>830259747</v>
      </c>
      <c r="AD28" s="115">
        <v>724422041</v>
      </c>
      <c r="AE28" s="115">
        <v>968782648</v>
      </c>
      <c r="AF28" s="115">
        <v>1241052509</v>
      </c>
      <c r="AG28" s="115">
        <v>1339493938</v>
      </c>
      <c r="AH28" s="115">
        <v>1134969747</v>
      </c>
      <c r="AI28" s="115">
        <v>678014949</v>
      </c>
      <c r="AJ28" s="239">
        <v>736835934</v>
      </c>
      <c r="AK28" s="239">
        <v>1032290277</v>
      </c>
      <c r="AL28" s="239">
        <v>1362755627</v>
      </c>
      <c r="AM28" s="239">
        <v>1267377410</v>
      </c>
      <c r="AN28" s="239">
        <v>993663505</v>
      </c>
      <c r="AO28" s="239">
        <v>799965556</v>
      </c>
      <c r="AP28" s="239">
        <v>694371338</v>
      </c>
      <c r="AQ28" s="239">
        <v>1033880199</v>
      </c>
      <c r="AR28" s="239">
        <v>1389519683</v>
      </c>
      <c r="AS28" s="239">
        <v>1393717014</v>
      </c>
      <c r="AT28" s="239">
        <v>1260356462</v>
      </c>
      <c r="AU28" s="239">
        <v>898752689</v>
      </c>
      <c r="AV28" s="239">
        <v>737254549</v>
      </c>
      <c r="AW28" s="239">
        <v>1139687162</v>
      </c>
      <c r="AX28" s="275">
        <v>1486587515</v>
      </c>
      <c r="AY28" s="149"/>
      <c r="AZ28" s="53"/>
      <c r="BB28" s="53"/>
    </row>
    <row r="29" spans="1:54" x14ac:dyDescent="0.25">
      <c r="A29" s="50" t="s">
        <v>4</v>
      </c>
      <c r="B29" s="148">
        <v>325901588</v>
      </c>
      <c r="C29" s="114">
        <v>296136287</v>
      </c>
      <c r="D29" s="114">
        <v>292478502</v>
      </c>
      <c r="E29" s="114">
        <v>273528114</v>
      </c>
      <c r="F29" s="114">
        <v>241856477</v>
      </c>
      <c r="G29" s="114">
        <v>272986921</v>
      </c>
      <c r="H29" s="114">
        <v>318157752</v>
      </c>
      <c r="I29" s="114">
        <v>303270886</v>
      </c>
      <c r="J29" s="114">
        <v>320343747</v>
      </c>
      <c r="K29" s="115">
        <v>270802461</v>
      </c>
      <c r="L29" s="115">
        <v>248994298</v>
      </c>
      <c r="M29" s="115">
        <v>302915000</v>
      </c>
      <c r="N29" s="115">
        <v>352594842</v>
      </c>
      <c r="O29" s="115">
        <v>339012831</v>
      </c>
      <c r="P29" s="115">
        <v>303288040</v>
      </c>
      <c r="Q29" s="115">
        <v>257023625</v>
      </c>
      <c r="R29" s="115">
        <v>244988768</v>
      </c>
      <c r="S29" s="115">
        <v>279984334</v>
      </c>
      <c r="T29" s="115">
        <v>312394516</v>
      </c>
      <c r="U29" s="115">
        <v>295738280</v>
      </c>
      <c r="V29" s="115">
        <v>311541080</v>
      </c>
      <c r="W29" s="115">
        <v>249069162</v>
      </c>
      <c r="X29" s="115">
        <v>247740861</v>
      </c>
      <c r="Y29" s="115">
        <v>302691750</v>
      </c>
      <c r="Z29" s="115">
        <v>334036440</v>
      </c>
      <c r="AA29" s="115">
        <v>306946461</v>
      </c>
      <c r="AB29" s="115">
        <v>307030879</v>
      </c>
      <c r="AC29" s="115">
        <v>246725474</v>
      </c>
      <c r="AD29" s="115">
        <v>237598172</v>
      </c>
      <c r="AE29" s="115">
        <v>266398876</v>
      </c>
      <c r="AF29" s="115">
        <v>308472355</v>
      </c>
      <c r="AG29" s="115">
        <v>320995500</v>
      </c>
      <c r="AH29" s="115">
        <v>300334967</v>
      </c>
      <c r="AI29" s="115">
        <v>215508871</v>
      </c>
      <c r="AJ29" s="239">
        <v>233352942</v>
      </c>
      <c r="AK29" s="239">
        <v>263515516</v>
      </c>
      <c r="AL29" s="239">
        <v>309299073</v>
      </c>
      <c r="AM29" s="239">
        <v>297404631</v>
      </c>
      <c r="AN29" s="239">
        <v>260227273</v>
      </c>
      <c r="AO29" s="239">
        <v>236480663</v>
      </c>
      <c r="AP29" s="239">
        <v>226604577</v>
      </c>
      <c r="AQ29" s="239">
        <v>276800633</v>
      </c>
      <c r="AR29" s="239">
        <v>328433342</v>
      </c>
      <c r="AS29" s="239">
        <v>327996744</v>
      </c>
      <c r="AT29" s="239">
        <v>315410170</v>
      </c>
      <c r="AU29" s="239">
        <v>268275261</v>
      </c>
      <c r="AV29" s="239">
        <v>238400191</v>
      </c>
      <c r="AW29" s="239">
        <v>276639061</v>
      </c>
      <c r="AX29" s="275">
        <v>331623730</v>
      </c>
      <c r="AY29" s="149"/>
      <c r="AZ29" s="53"/>
      <c r="BB29" s="53"/>
    </row>
    <row r="30" spans="1:54" x14ac:dyDescent="0.25">
      <c r="A30" s="50" t="s">
        <v>5</v>
      </c>
      <c r="B30" s="148">
        <v>686220126</v>
      </c>
      <c r="C30" s="114">
        <v>631314984</v>
      </c>
      <c r="D30" s="114">
        <v>623554781</v>
      </c>
      <c r="E30" s="114">
        <v>620680817</v>
      </c>
      <c r="F30" s="114">
        <v>592390159</v>
      </c>
      <c r="G30" s="114">
        <v>664115114</v>
      </c>
      <c r="H30" s="114">
        <v>719440843</v>
      </c>
      <c r="I30" s="114">
        <v>704823737</v>
      </c>
      <c r="J30" s="114">
        <v>749644335</v>
      </c>
      <c r="K30" s="115">
        <v>661172164</v>
      </c>
      <c r="L30" s="115">
        <v>602604173</v>
      </c>
      <c r="M30" s="115">
        <v>657948623</v>
      </c>
      <c r="N30" s="115">
        <v>716761069</v>
      </c>
      <c r="O30" s="115">
        <v>680183948</v>
      </c>
      <c r="P30" s="115">
        <v>639284595</v>
      </c>
      <c r="Q30" s="115">
        <v>593560463</v>
      </c>
      <c r="R30" s="115">
        <v>608070954</v>
      </c>
      <c r="S30" s="115">
        <v>680639449</v>
      </c>
      <c r="T30" s="115">
        <v>723525044</v>
      </c>
      <c r="U30" s="115">
        <v>695509486</v>
      </c>
      <c r="V30" s="115">
        <v>745704300</v>
      </c>
      <c r="W30" s="115">
        <v>632722237</v>
      </c>
      <c r="X30" s="115">
        <v>603165377</v>
      </c>
      <c r="Y30" s="115">
        <v>655419599</v>
      </c>
      <c r="Z30" s="115">
        <v>703533818</v>
      </c>
      <c r="AA30" s="115">
        <v>646467549</v>
      </c>
      <c r="AB30" s="115">
        <v>643179731</v>
      </c>
      <c r="AC30" s="115">
        <v>604582572</v>
      </c>
      <c r="AD30" s="115">
        <v>601582129</v>
      </c>
      <c r="AE30" s="115">
        <v>663545890</v>
      </c>
      <c r="AF30" s="115">
        <v>723402560</v>
      </c>
      <c r="AG30" s="115">
        <v>739936183</v>
      </c>
      <c r="AH30" s="115">
        <v>719609868</v>
      </c>
      <c r="AI30" s="115">
        <v>551957863</v>
      </c>
      <c r="AJ30" s="239">
        <v>591816640</v>
      </c>
      <c r="AK30" s="239">
        <v>619635139</v>
      </c>
      <c r="AL30" s="239">
        <v>666094589</v>
      </c>
      <c r="AM30" s="239">
        <v>635274493</v>
      </c>
      <c r="AN30" s="239">
        <v>596370095</v>
      </c>
      <c r="AO30" s="239">
        <v>585567373</v>
      </c>
      <c r="AP30" s="239">
        <v>584363020</v>
      </c>
      <c r="AQ30" s="239">
        <v>661650596</v>
      </c>
      <c r="AR30" s="239">
        <v>744450846</v>
      </c>
      <c r="AS30" s="239">
        <v>746230356</v>
      </c>
      <c r="AT30" s="239">
        <v>749176357</v>
      </c>
      <c r="AU30" s="239">
        <v>659221190</v>
      </c>
      <c r="AV30" s="239">
        <v>600231827</v>
      </c>
      <c r="AW30" s="239">
        <v>624953134</v>
      </c>
      <c r="AX30" s="275">
        <v>693030252</v>
      </c>
      <c r="AY30" s="149"/>
      <c r="AZ30" s="53"/>
      <c r="BB30" s="53"/>
    </row>
    <row r="31" spans="1:54" x14ac:dyDescent="0.25">
      <c r="A31" s="50" t="s">
        <v>6</v>
      </c>
      <c r="B31" s="148">
        <v>275082339</v>
      </c>
      <c r="C31" s="114">
        <v>268876047</v>
      </c>
      <c r="D31" s="114">
        <v>265656749</v>
      </c>
      <c r="E31" s="114">
        <v>258430820</v>
      </c>
      <c r="F31" s="114">
        <v>259838981</v>
      </c>
      <c r="G31" s="114">
        <v>282796191</v>
      </c>
      <c r="H31" s="114">
        <v>300487189</v>
      </c>
      <c r="I31" s="114">
        <v>295877993</v>
      </c>
      <c r="J31" s="114">
        <v>316750366</v>
      </c>
      <c r="K31" s="115">
        <v>288756267</v>
      </c>
      <c r="L31" s="115">
        <v>262394929</v>
      </c>
      <c r="M31" s="115">
        <v>273811707</v>
      </c>
      <c r="N31" s="115">
        <v>279886664</v>
      </c>
      <c r="O31" s="115">
        <v>281078151</v>
      </c>
      <c r="P31" s="115">
        <v>275029268</v>
      </c>
      <c r="Q31" s="115">
        <v>268414312</v>
      </c>
      <c r="R31" s="115">
        <v>262773388</v>
      </c>
      <c r="S31" s="115">
        <v>288764106</v>
      </c>
      <c r="T31" s="115">
        <v>302728162</v>
      </c>
      <c r="U31" s="115">
        <v>306820642</v>
      </c>
      <c r="V31" s="115">
        <v>304848930</v>
      </c>
      <c r="W31" s="115">
        <v>286852168</v>
      </c>
      <c r="X31" s="115">
        <v>274220171</v>
      </c>
      <c r="Y31" s="115">
        <v>275101320</v>
      </c>
      <c r="Z31" s="115">
        <v>282982862</v>
      </c>
      <c r="AA31" s="115">
        <v>262265561</v>
      </c>
      <c r="AB31" s="115">
        <v>264266529</v>
      </c>
      <c r="AC31" s="115">
        <v>281771369</v>
      </c>
      <c r="AD31" s="115">
        <v>267227392</v>
      </c>
      <c r="AE31" s="115">
        <v>274739279</v>
      </c>
      <c r="AF31" s="115">
        <v>325673733</v>
      </c>
      <c r="AG31" s="115">
        <v>295472343</v>
      </c>
      <c r="AH31" s="115">
        <v>305800743</v>
      </c>
      <c r="AI31" s="115">
        <v>239379821</v>
      </c>
      <c r="AJ31" s="239">
        <v>258344392</v>
      </c>
      <c r="AK31" s="239">
        <v>268342107</v>
      </c>
      <c r="AL31" s="239">
        <v>275732497</v>
      </c>
      <c r="AM31" s="239">
        <v>273015596</v>
      </c>
      <c r="AN31" s="239">
        <v>247441789</v>
      </c>
      <c r="AO31" s="239">
        <v>263524459</v>
      </c>
      <c r="AP31" s="239">
        <v>273810149</v>
      </c>
      <c r="AQ31" s="239">
        <v>281099842</v>
      </c>
      <c r="AR31" s="239">
        <v>312186695</v>
      </c>
      <c r="AS31" s="239">
        <v>304162315</v>
      </c>
      <c r="AT31" s="239">
        <v>330143172</v>
      </c>
      <c r="AU31" s="239">
        <v>280092260</v>
      </c>
      <c r="AV31" s="239">
        <v>268855946</v>
      </c>
      <c r="AW31" s="239">
        <v>269553572</v>
      </c>
      <c r="AX31" s="275">
        <v>287482958</v>
      </c>
      <c r="AY31" s="149"/>
      <c r="AZ31" s="53"/>
      <c r="BB31" s="53"/>
    </row>
    <row r="32" spans="1:54" x14ac:dyDescent="0.25">
      <c r="A32" s="50" t="s">
        <v>7</v>
      </c>
      <c r="B32" s="148">
        <v>222350474</v>
      </c>
      <c r="C32" s="114">
        <v>202969844</v>
      </c>
      <c r="D32" s="114">
        <v>174668201</v>
      </c>
      <c r="E32" s="114">
        <v>194770821</v>
      </c>
      <c r="F32" s="114">
        <v>215628859</v>
      </c>
      <c r="G32" s="114">
        <v>223526225</v>
      </c>
      <c r="H32" s="114">
        <v>230303866</v>
      </c>
      <c r="I32" s="114">
        <v>248744484</v>
      </c>
      <c r="J32" s="114">
        <v>241724893</v>
      </c>
      <c r="K32" s="115">
        <v>234536266</v>
      </c>
      <c r="L32" s="115">
        <v>217298734</v>
      </c>
      <c r="M32" s="115">
        <v>210771447</v>
      </c>
      <c r="N32" s="115">
        <v>208486162</v>
      </c>
      <c r="O32" s="115">
        <v>156767225</v>
      </c>
      <c r="P32" s="115">
        <v>143302454</v>
      </c>
      <c r="Q32" s="115">
        <v>145332468</v>
      </c>
      <c r="R32" s="115">
        <v>144832077</v>
      </c>
      <c r="S32" s="115">
        <v>157361233</v>
      </c>
      <c r="T32" s="115">
        <v>170156763</v>
      </c>
      <c r="U32" s="115">
        <v>167775249</v>
      </c>
      <c r="V32" s="115">
        <v>176113486</v>
      </c>
      <c r="W32" s="115">
        <v>164171541</v>
      </c>
      <c r="X32" s="115">
        <v>158247195</v>
      </c>
      <c r="Y32" s="115">
        <v>140728266</v>
      </c>
      <c r="Z32" s="115">
        <v>149025875</v>
      </c>
      <c r="AA32" s="115">
        <v>131120446</v>
      </c>
      <c r="AB32" s="115">
        <v>132373444</v>
      </c>
      <c r="AC32" s="115">
        <v>143255574</v>
      </c>
      <c r="AD32" s="115">
        <v>140993162</v>
      </c>
      <c r="AE32" s="115">
        <v>152970163</v>
      </c>
      <c r="AF32" s="115">
        <v>176278130</v>
      </c>
      <c r="AG32" s="115">
        <v>163379548</v>
      </c>
      <c r="AH32" s="115">
        <v>172140181</v>
      </c>
      <c r="AI32" s="115">
        <v>151791537</v>
      </c>
      <c r="AJ32" s="239">
        <v>143477002</v>
      </c>
      <c r="AK32" s="239">
        <v>138615774</v>
      </c>
      <c r="AL32" s="239">
        <v>142907818</v>
      </c>
      <c r="AM32" s="239">
        <v>138174448</v>
      </c>
      <c r="AN32" s="239">
        <v>127273740</v>
      </c>
      <c r="AO32" s="239">
        <v>133415922</v>
      </c>
      <c r="AP32" s="239">
        <v>133920097</v>
      </c>
      <c r="AQ32" s="239">
        <v>151320401</v>
      </c>
      <c r="AR32" s="239">
        <v>158812387</v>
      </c>
      <c r="AS32" s="239">
        <v>160367769</v>
      </c>
      <c r="AT32" s="239">
        <v>176194341</v>
      </c>
      <c r="AU32" s="239">
        <v>154604539</v>
      </c>
      <c r="AV32" s="239">
        <v>142536252</v>
      </c>
      <c r="AW32" s="239">
        <v>134004611</v>
      </c>
      <c r="AX32" s="275">
        <v>132646039</v>
      </c>
      <c r="AY32" s="149"/>
      <c r="AZ32" s="53"/>
      <c r="BB32" s="53"/>
    </row>
    <row r="33" spans="1:52" x14ac:dyDescent="0.25">
      <c r="B33" s="105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7"/>
    </row>
    <row r="34" spans="1:52" x14ac:dyDescent="0.25">
      <c r="A34" s="76" t="s">
        <v>91</v>
      </c>
      <c r="B34" s="105"/>
      <c r="C34" s="104"/>
      <c r="D34" s="108" t="s">
        <v>72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6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7"/>
      <c r="AY34" s="50"/>
      <c r="AZ34" s="50"/>
    </row>
    <row r="35" spans="1:52" x14ac:dyDescent="0.25">
      <c r="A35" s="50" t="str">
        <f>A28</f>
        <v>RES</v>
      </c>
      <c r="B35" s="98">
        <v>1107718.26</v>
      </c>
      <c r="C35" s="99">
        <v>2380405.9</v>
      </c>
      <c r="D35" s="99">
        <v>2356565.5</v>
      </c>
      <c r="E35" s="99">
        <v>1966252.23</v>
      </c>
      <c r="F35" s="99">
        <v>1534586.76</v>
      </c>
      <c r="G35" s="99">
        <v>1794220.79</v>
      </c>
      <c r="H35" s="99">
        <v>2416344.7400000002</v>
      </c>
      <c r="I35" s="99">
        <v>2217668.92</v>
      </c>
      <c r="J35" s="99">
        <v>2430216.25</v>
      </c>
      <c r="K35" s="109">
        <v>1689802.53</v>
      </c>
      <c r="L35" s="109">
        <v>1609769.97</v>
      </c>
      <c r="M35" s="109">
        <v>2431206.77</v>
      </c>
      <c r="N35" s="109">
        <v>3044849.46</v>
      </c>
      <c r="O35" s="109">
        <v>2230405.09</v>
      </c>
      <c r="P35" s="109">
        <v>1862851.87</v>
      </c>
      <c r="Q35" s="109">
        <v>1338973.0900000001</v>
      </c>
      <c r="R35" s="109">
        <v>1144195.04</v>
      </c>
      <c r="S35" s="109">
        <v>1490607.79</v>
      </c>
      <c r="T35" s="109">
        <v>1806740.8</v>
      </c>
      <c r="U35" s="109">
        <v>1665154.39</v>
      </c>
      <c r="V35" s="109">
        <v>1778880.4</v>
      </c>
      <c r="W35" s="109">
        <v>1136699.8999999999</v>
      </c>
      <c r="X35" s="109">
        <v>1229932.0900000001</v>
      </c>
      <c r="Y35" s="109">
        <v>1851286.59</v>
      </c>
      <c r="Z35" s="109">
        <v>2263861.69</v>
      </c>
      <c r="AA35" s="109">
        <v>2941083.49</v>
      </c>
      <c r="AB35" s="109">
        <v>2901686.48</v>
      </c>
      <c r="AC35" s="109">
        <v>1842230.14</v>
      </c>
      <c r="AD35" s="109">
        <v>1607800.44</v>
      </c>
      <c r="AE35" s="109">
        <v>2161450.6800000002</v>
      </c>
      <c r="AF35" s="109">
        <v>2768455.86</v>
      </c>
      <c r="AG35" s="109">
        <v>2987357.54</v>
      </c>
      <c r="AH35" s="109">
        <v>2531327.56</v>
      </c>
      <c r="AI35" s="109">
        <v>1839642.53</v>
      </c>
      <c r="AJ35" s="109">
        <v>1633953.99</v>
      </c>
      <c r="AK35" s="109">
        <v>2281173.6</v>
      </c>
      <c r="AL35" s="109">
        <v>2604527.52</v>
      </c>
      <c r="AM35" s="109">
        <v>-977324.57</v>
      </c>
      <c r="AN35" s="109">
        <v>-767973.23</v>
      </c>
      <c r="AO35" s="109">
        <v>-620067.89</v>
      </c>
      <c r="AP35" s="109">
        <v>-541496.81000000006</v>
      </c>
      <c r="AQ35" s="109">
        <v>-810105.56</v>
      </c>
      <c r="AR35" s="109">
        <v>-1089829.97</v>
      </c>
      <c r="AS35" s="109">
        <v>-1093598.68</v>
      </c>
      <c r="AT35" s="109">
        <v>-989161.25</v>
      </c>
      <c r="AU35" s="109">
        <v>-705244.31</v>
      </c>
      <c r="AV35" s="109">
        <v>-577968.67000000004</v>
      </c>
      <c r="AW35" s="109">
        <v>-889205.24</v>
      </c>
      <c r="AX35" s="269">
        <v>-1061174.3700000001</v>
      </c>
      <c r="AY35" s="50"/>
      <c r="AZ35" s="50"/>
    </row>
    <row r="36" spans="1:52" x14ac:dyDescent="0.25">
      <c r="A36" s="50" t="str">
        <f>A29</f>
        <v>SGS</v>
      </c>
      <c r="B36" s="98">
        <v>176763.5</v>
      </c>
      <c r="C36" s="99">
        <v>413162.14</v>
      </c>
      <c r="D36" s="99">
        <v>409279.32</v>
      </c>
      <c r="E36" s="99">
        <v>383011.01</v>
      </c>
      <c r="F36" s="99">
        <v>338501.79</v>
      </c>
      <c r="G36" s="99">
        <v>382263.59</v>
      </c>
      <c r="H36" s="99">
        <v>445771.36</v>
      </c>
      <c r="I36" s="99">
        <v>424587.09</v>
      </c>
      <c r="J36" s="99">
        <v>448775.32</v>
      </c>
      <c r="K36" s="109">
        <v>378895.44</v>
      </c>
      <c r="L36" s="109">
        <v>348301.35</v>
      </c>
      <c r="M36" s="109">
        <v>423743.49</v>
      </c>
      <c r="N36" s="109">
        <v>479839.49</v>
      </c>
      <c r="O36" s="109">
        <v>311953.64</v>
      </c>
      <c r="P36" s="109">
        <v>279047.90999999997</v>
      </c>
      <c r="Q36" s="109">
        <v>236596.04</v>
      </c>
      <c r="R36" s="109">
        <v>225457.33</v>
      </c>
      <c r="S36" s="109">
        <v>257574.43</v>
      </c>
      <c r="T36" s="109">
        <v>287416.02</v>
      </c>
      <c r="U36" s="109">
        <v>272268.46999999997</v>
      </c>
      <c r="V36" s="109">
        <v>286665.2</v>
      </c>
      <c r="W36" s="109">
        <v>229160.71</v>
      </c>
      <c r="X36" s="109">
        <v>227951.17</v>
      </c>
      <c r="Y36" s="109">
        <v>278490.44</v>
      </c>
      <c r="Z36" s="109">
        <v>331838.53000000003</v>
      </c>
      <c r="AA36" s="109">
        <v>563692.72</v>
      </c>
      <c r="AB36" s="109">
        <v>564096.18999999994</v>
      </c>
      <c r="AC36" s="109">
        <v>453395.77</v>
      </c>
      <c r="AD36" s="109">
        <v>429276.49</v>
      </c>
      <c r="AE36" s="109">
        <v>497419.58</v>
      </c>
      <c r="AF36" s="109">
        <v>567374.80000000005</v>
      </c>
      <c r="AG36" s="109">
        <v>589954.59</v>
      </c>
      <c r="AH36" s="109">
        <v>551970.88</v>
      </c>
      <c r="AI36" s="109">
        <v>474949.04</v>
      </c>
      <c r="AJ36" s="109">
        <v>428651.45</v>
      </c>
      <c r="AK36" s="109">
        <v>484212.06</v>
      </c>
      <c r="AL36" s="109">
        <v>514868.47</v>
      </c>
      <c r="AM36" s="109">
        <v>-60999.839999999997</v>
      </c>
      <c r="AN36" s="109">
        <v>-54145.55</v>
      </c>
      <c r="AO36" s="109">
        <v>-48845.13</v>
      </c>
      <c r="AP36" s="109">
        <v>-47122.78</v>
      </c>
      <c r="AQ36" s="109">
        <v>-57306.61</v>
      </c>
      <c r="AR36" s="109">
        <v>-68193.429999999993</v>
      </c>
      <c r="AS36" s="109">
        <v>-68153.98</v>
      </c>
      <c r="AT36" s="109">
        <v>-65531.15</v>
      </c>
      <c r="AU36" s="109">
        <v>-55764.22</v>
      </c>
      <c r="AV36" s="109">
        <v>-49530.729999999996</v>
      </c>
      <c r="AW36" s="109">
        <v>-57486.720000000001</v>
      </c>
      <c r="AX36" s="269">
        <v>-63557.9</v>
      </c>
      <c r="AY36" s="50"/>
      <c r="AZ36" s="50"/>
    </row>
    <row r="37" spans="1:52" x14ac:dyDescent="0.25">
      <c r="A37" s="50" t="str">
        <f>A30</f>
        <v>LGS</v>
      </c>
      <c r="B37" s="98">
        <v>346914.24</v>
      </c>
      <c r="C37" s="99">
        <v>878081.19</v>
      </c>
      <c r="D37" s="99">
        <v>872674.48</v>
      </c>
      <c r="E37" s="99">
        <v>867208.47</v>
      </c>
      <c r="F37" s="99">
        <v>829232.74</v>
      </c>
      <c r="G37" s="99">
        <v>930044.46</v>
      </c>
      <c r="H37" s="99">
        <v>1007202.71</v>
      </c>
      <c r="I37" s="99">
        <v>986634.58</v>
      </c>
      <c r="J37" s="99">
        <v>1049361.68</v>
      </c>
      <c r="K37" s="109">
        <v>925531.64</v>
      </c>
      <c r="L37" s="109">
        <v>840413.16</v>
      </c>
      <c r="M37" s="109">
        <v>921008.11</v>
      </c>
      <c r="N37" s="109">
        <v>980504.73</v>
      </c>
      <c r="O37" s="109">
        <v>638225.65</v>
      </c>
      <c r="P37" s="109">
        <v>596176.12</v>
      </c>
      <c r="Q37" s="109">
        <v>553536.92000000004</v>
      </c>
      <c r="R37" s="109">
        <v>567096.05000000005</v>
      </c>
      <c r="S37" s="109">
        <v>634633.59</v>
      </c>
      <c r="T37" s="109">
        <v>674676.81</v>
      </c>
      <c r="U37" s="109">
        <v>650087.44999999995</v>
      </c>
      <c r="V37" s="109">
        <v>695339.29</v>
      </c>
      <c r="W37" s="109">
        <v>589990.03</v>
      </c>
      <c r="X37" s="109">
        <v>562437.71</v>
      </c>
      <c r="Y37" s="109">
        <v>611174.01</v>
      </c>
      <c r="Z37" s="109">
        <v>696073.5</v>
      </c>
      <c r="AA37" s="109">
        <v>1191333.69</v>
      </c>
      <c r="AB37" s="109">
        <v>1191658.25</v>
      </c>
      <c r="AC37" s="109">
        <v>1119585.45</v>
      </c>
      <c r="AD37" s="109">
        <v>1114044.69</v>
      </c>
      <c r="AE37" s="109">
        <v>1228925.96</v>
      </c>
      <c r="AF37" s="109">
        <v>1339425.54</v>
      </c>
      <c r="AG37" s="109">
        <v>1370295.17</v>
      </c>
      <c r="AH37" s="109">
        <v>1332203.95</v>
      </c>
      <c r="AI37" s="109">
        <v>1199860.52</v>
      </c>
      <c r="AJ37" s="109">
        <v>1096063.26</v>
      </c>
      <c r="AK37" s="109">
        <v>1147503.3899999999</v>
      </c>
      <c r="AL37" s="109">
        <v>1148065.0900000001</v>
      </c>
      <c r="AM37" s="109">
        <v>-98224.1</v>
      </c>
      <c r="AN37" s="109">
        <v>-102770.04</v>
      </c>
      <c r="AO37" s="109">
        <v>-101814.56</v>
      </c>
      <c r="AP37" s="109">
        <v>-101623.07</v>
      </c>
      <c r="AQ37" s="109">
        <v>-115035.65</v>
      </c>
      <c r="AR37" s="109">
        <v>-129472.39</v>
      </c>
      <c r="AS37" s="109">
        <v>-129775.85</v>
      </c>
      <c r="AT37" s="109">
        <v>-130285.18</v>
      </c>
      <c r="AU37" s="109">
        <v>-114649.12</v>
      </c>
      <c r="AV37" s="109">
        <v>-105755.09999999999</v>
      </c>
      <c r="AW37" s="109">
        <v>-108687.92000000001</v>
      </c>
      <c r="AX37" s="269">
        <v>-113010.69</v>
      </c>
      <c r="AY37" s="50"/>
      <c r="AZ37" s="50"/>
    </row>
    <row r="38" spans="1:52" x14ac:dyDescent="0.25">
      <c r="A38" s="50" t="str">
        <f>A31</f>
        <v>SPS</v>
      </c>
      <c r="B38" s="98">
        <v>111929.55</v>
      </c>
      <c r="C38" s="99">
        <v>367450.68</v>
      </c>
      <c r="D38" s="99">
        <v>371919.28</v>
      </c>
      <c r="E38" s="99">
        <v>361803.21</v>
      </c>
      <c r="F38" s="99">
        <v>363774.61</v>
      </c>
      <c r="G38" s="99">
        <v>395914.62</v>
      </c>
      <c r="H38" s="99">
        <v>420682.15</v>
      </c>
      <c r="I38" s="99">
        <v>414229.21</v>
      </c>
      <c r="J38" s="99">
        <v>443450.42</v>
      </c>
      <c r="K38" s="109">
        <v>404258.7</v>
      </c>
      <c r="L38" s="109">
        <v>367352.94</v>
      </c>
      <c r="M38" s="109">
        <v>383336.4</v>
      </c>
      <c r="N38" s="109">
        <v>387055.86</v>
      </c>
      <c r="O38" s="109">
        <v>281373.17</v>
      </c>
      <c r="P38" s="109">
        <v>256969.51</v>
      </c>
      <c r="Q38" s="109">
        <v>251235.75</v>
      </c>
      <c r="R38" s="109">
        <v>245955.65</v>
      </c>
      <c r="S38" s="109">
        <v>270283.28000000003</v>
      </c>
      <c r="T38" s="109">
        <v>283353.57</v>
      </c>
      <c r="U38" s="109">
        <v>286970.59000000003</v>
      </c>
      <c r="V38" s="109">
        <v>285338.65000000002</v>
      </c>
      <c r="W38" s="109">
        <v>268493.68</v>
      </c>
      <c r="X38" s="109">
        <v>256670.07999999999</v>
      </c>
      <c r="Y38" s="109">
        <v>257494.85</v>
      </c>
      <c r="Z38" s="109">
        <v>285843.36</v>
      </c>
      <c r="AA38" s="109">
        <v>453228.32</v>
      </c>
      <c r="AB38" s="109">
        <v>491007.15</v>
      </c>
      <c r="AC38" s="109">
        <v>520746.29</v>
      </c>
      <c r="AD38" s="109">
        <v>490261.1</v>
      </c>
      <c r="AE38" s="109">
        <v>510465.61</v>
      </c>
      <c r="AF38" s="109">
        <v>605101.71</v>
      </c>
      <c r="AG38" s="109">
        <v>548987.65</v>
      </c>
      <c r="AH38" s="109">
        <v>567912.06999999995</v>
      </c>
      <c r="AI38" s="109">
        <v>528878.99</v>
      </c>
      <c r="AJ38" s="109">
        <v>480004.06</v>
      </c>
      <c r="AK38" s="109">
        <v>498579.83</v>
      </c>
      <c r="AL38" s="109">
        <v>487575.12</v>
      </c>
      <c r="AM38" s="109">
        <v>20703.419999999998</v>
      </c>
      <c r="AN38" s="109">
        <v>-36621.35</v>
      </c>
      <c r="AO38" s="109">
        <v>-39001.58</v>
      </c>
      <c r="AP38" s="109">
        <v>-40523.97</v>
      </c>
      <c r="AQ38" s="109">
        <v>-41602.79</v>
      </c>
      <c r="AR38" s="109">
        <v>-46203.77</v>
      </c>
      <c r="AS38" s="109">
        <v>-45015.97</v>
      </c>
      <c r="AT38" s="109">
        <v>-48861.19</v>
      </c>
      <c r="AU38" s="109">
        <v>-41453.629999999997</v>
      </c>
      <c r="AV38" s="109">
        <v>-39790.620000000003</v>
      </c>
      <c r="AW38" s="109">
        <v>-39893.729999999996</v>
      </c>
      <c r="AX38" s="269">
        <v>-40524.36</v>
      </c>
      <c r="AY38" s="50"/>
      <c r="AZ38" s="50"/>
    </row>
    <row r="39" spans="1:52" x14ac:dyDescent="0.25">
      <c r="A39" s="50" t="str">
        <f>A32</f>
        <v>LPS</v>
      </c>
      <c r="B39" s="98">
        <v>41788.94</v>
      </c>
      <c r="C39" s="99">
        <v>285047.94</v>
      </c>
      <c r="D39" s="99">
        <v>253563.47</v>
      </c>
      <c r="E39" s="99">
        <v>281056.7</v>
      </c>
      <c r="F39" s="99">
        <v>312400.05</v>
      </c>
      <c r="G39" s="99">
        <v>321763.07</v>
      </c>
      <c r="H39" s="99">
        <v>331321.96999999997</v>
      </c>
      <c r="I39" s="99">
        <v>358377.12</v>
      </c>
      <c r="J39" s="99">
        <v>273390.28000000003</v>
      </c>
      <c r="K39" s="109">
        <v>328350.77</v>
      </c>
      <c r="L39" s="109">
        <v>304218.23</v>
      </c>
      <c r="M39" s="109">
        <v>298776.55</v>
      </c>
      <c r="N39" s="109">
        <v>283191.44</v>
      </c>
      <c r="O39" s="109">
        <v>156101.65</v>
      </c>
      <c r="P39" s="109">
        <v>115931.68</v>
      </c>
      <c r="Q39" s="109">
        <v>117573.95</v>
      </c>
      <c r="R39" s="109">
        <v>117169.12</v>
      </c>
      <c r="S39" s="109">
        <v>127305.31</v>
      </c>
      <c r="T39" s="109">
        <v>137656.84</v>
      </c>
      <c r="U39" s="109">
        <v>135730.12</v>
      </c>
      <c r="V39" s="109">
        <v>142475.79999999999</v>
      </c>
      <c r="W39" s="109">
        <v>132814.78</v>
      </c>
      <c r="X39" s="109">
        <v>128022</v>
      </c>
      <c r="Y39" s="109">
        <v>113849.14</v>
      </c>
      <c r="Z39" s="109">
        <v>126059.33</v>
      </c>
      <c r="AA39" s="109">
        <v>177939.42</v>
      </c>
      <c r="AB39" s="109">
        <v>241581.54</v>
      </c>
      <c r="AC39" s="109">
        <v>261441.4</v>
      </c>
      <c r="AD39" s="109">
        <v>257312.48</v>
      </c>
      <c r="AE39" s="109">
        <v>279170.5</v>
      </c>
      <c r="AF39" s="109">
        <v>321707.65000000002</v>
      </c>
      <c r="AG39" s="109">
        <v>298167.67999999999</v>
      </c>
      <c r="AH39" s="109">
        <v>308517.84000000003</v>
      </c>
      <c r="AI39" s="109">
        <v>283684.13</v>
      </c>
      <c r="AJ39" s="109">
        <v>261845.51</v>
      </c>
      <c r="AK39" s="109">
        <v>252973.77</v>
      </c>
      <c r="AL39" s="109">
        <v>260806.74</v>
      </c>
      <c r="AM39" s="109">
        <v>103817.55</v>
      </c>
      <c r="AN39" s="109">
        <v>-11327.36</v>
      </c>
      <c r="AO39" s="109">
        <v>-11873.99</v>
      </c>
      <c r="AP39" s="109">
        <v>-11918.89</v>
      </c>
      <c r="AQ39" s="109">
        <v>-13467.46</v>
      </c>
      <c r="AR39" s="109">
        <v>-14134.28</v>
      </c>
      <c r="AS39" s="109">
        <v>-14272.72</v>
      </c>
      <c r="AT39" s="109">
        <v>-15681.3</v>
      </c>
      <c r="AU39" s="109">
        <v>-13759.79</v>
      </c>
      <c r="AV39" s="109">
        <v>-12685.71</v>
      </c>
      <c r="AW39" s="109">
        <v>-11926.39</v>
      </c>
      <c r="AX39" s="269">
        <v>-11805.470000000001</v>
      </c>
      <c r="AY39" s="50"/>
      <c r="AZ39" s="50"/>
    </row>
    <row r="40" spans="1:52" x14ac:dyDescent="0.25">
      <c r="A40" s="50"/>
      <c r="B40" s="105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271"/>
    </row>
    <row r="41" spans="1:52" ht="15.75" thickBot="1" x14ac:dyDescent="0.3">
      <c r="A41" s="50" t="s">
        <v>92</v>
      </c>
      <c r="B41" s="123">
        <v>451.8</v>
      </c>
      <c r="C41" s="124">
        <v>-3539.64</v>
      </c>
      <c r="D41" s="124">
        <v>-2786.78</v>
      </c>
      <c r="E41" s="124">
        <v>-8344.27</v>
      </c>
      <c r="F41" s="124">
        <v>-4809.13</v>
      </c>
      <c r="G41" s="124">
        <v>14362.8</v>
      </c>
      <c r="H41" s="124">
        <v>-575.25</v>
      </c>
      <c r="I41" s="124">
        <v>-4466.7700000000004</v>
      </c>
      <c r="J41" s="124">
        <v>-4966.68</v>
      </c>
      <c r="K41" s="125">
        <v>-3641.2</v>
      </c>
      <c r="L41" s="125">
        <v>-3294</v>
      </c>
      <c r="M41" s="125">
        <v>-4489.34</v>
      </c>
      <c r="N41" s="125">
        <v>-6850.11</v>
      </c>
      <c r="O41" s="125">
        <v>-6269.88</v>
      </c>
      <c r="P41" s="125">
        <v>-4461.57</v>
      </c>
      <c r="Q41" s="125">
        <v>-3933.08</v>
      </c>
      <c r="R41" s="125">
        <v>-3219.69</v>
      </c>
      <c r="S41" s="125">
        <v>-2935.88</v>
      </c>
      <c r="T41" s="125">
        <v>-2619.09</v>
      </c>
      <c r="U41" s="125">
        <v>-2726.19</v>
      </c>
      <c r="V41" s="125">
        <v>-2121.98</v>
      </c>
      <c r="W41" s="125">
        <v>-1929.38</v>
      </c>
      <c r="X41" s="125">
        <v>-2021.16</v>
      </c>
      <c r="Y41" s="125">
        <v>-2572.4699999999998</v>
      </c>
      <c r="Z41" s="125">
        <v>-3701.6</v>
      </c>
      <c r="AA41" s="125">
        <v>-4814.8500000000004</v>
      </c>
      <c r="AB41" s="125">
        <v>-5344.04</v>
      </c>
      <c r="AC41" s="125">
        <v>-3978.35</v>
      </c>
      <c r="AD41" s="125">
        <v>-1065.24</v>
      </c>
      <c r="AE41" s="125">
        <v>-2569.27</v>
      </c>
      <c r="AF41" s="125">
        <v>-6440.12</v>
      </c>
      <c r="AG41" s="125">
        <v>-7617.08</v>
      </c>
      <c r="AH41" s="125">
        <v>-8109.64</v>
      </c>
      <c r="AI41" s="125">
        <v>-7763.87</v>
      </c>
      <c r="AJ41" s="125">
        <v>-6181.58</v>
      </c>
      <c r="AK41" s="125">
        <v>-3604.9</v>
      </c>
      <c r="AL41" s="125">
        <v>-5551.01</v>
      </c>
      <c r="AM41" s="125">
        <v>-6254.46</v>
      </c>
      <c r="AN41" s="125">
        <v>-4947.03</v>
      </c>
      <c r="AO41" s="125">
        <v>-4565.92</v>
      </c>
      <c r="AP41" s="125">
        <v>-4140.75</v>
      </c>
      <c r="AQ41" s="125">
        <v>-2817.36</v>
      </c>
      <c r="AR41" s="125">
        <v>-2124.54</v>
      </c>
      <c r="AS41" s="125">
        <v>-1715.55</v>
      </c>
      <c r="AT41" s="125">
        <v>-904.2</v>
      </c>
      <c r="AU41" s="125">
        <v>-309.95999999999998</v>
      </c>
      <c r="AV41" s="125">
        <v>188.56422196150891</v>
      </c>
      <c r="AW41" s="125">
        <v>1125.3830012218787</v>
      </c>
      <c r="AX41" s="272">
        <v>2021.0285305824352</v>
      </c>
      <c r="AY41" s="50"/>
    </row>
    <row r="42" spans="1:52" x14ac:dyDescent="0.25">
      <c r="B42" s="150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66"/>
    </row>
    <row r="43" spans="1:52" x14ac:dyDescent="0.25">
      <c r="A43" s="76" t="s">
        <v>73</v>
      </c>
      <c r="B43" s="105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62"/>
      <c r="AW43" s="162"/>
      <c r="AX43" s="107"/>
    </row>
    <row r="44" spans="1:52" x14ac:dyDescent="0.25">
      <c r="A44" s="76" t="s">
        <v>0</v>
      </c>
      <c r="B44" s="116">
        <f>B21-B35</f>
        <v>75112.546819702722</v>
      </c>
      <c r="C44" s="120">
        <f>C21-C35</f>
        <v>-1706954.7408129217</v>
      </c>
      <c r="D44" s="120">
        <f t="shared" ref="D44:AF48" si="20">D21-D35</f>
        <v>-1324680.6027970568</v>
      </c>
      <c r="E44" s="120">
        <f t="shared" si="20"/>
        <v>-339435.9642459203</v>
      </c>
      <c r="F44" s="120">
        <f t="shared" si="20"/>
        <v>123052.17061041691</v>
      </c>
      <c r="G44" s="120">
        <f t="shared" si="20"/>
        <v>-418046.57007101714</v>
      </c>
      <c r="H44" s="120">
        <f t="shared" si="20"/>
        <v>-277641.76885201456</v>
      </c>
      <c r="I44" s="120">
        <f t="shared" si="20"/>
        <v>-78846.64983188035</v>
      </c>
      <c r="J44" s="120">
        <f t="shared" si="20"/>
        <v>-440681.03342316952</v>
      </c>
      <c r="K44" s="120">
        <f t="shared" si="20"/>
        <v>232126.02703196183</v>
      </c>
      <c r="L44" s="120">
        <f t="shared" si="20"/>
        <v>89364.767572361277</v>
      </c>
      <c r="M44" s="120">
        <f t="shared" si="20"/>
        <v>427082.92472730903</v>
      </c>
      <c r="N44" s="120">
        <f t="shared" si="20"/>
        <v>-1406057.6655024663</v>
      </c>
      <c r="O44" s="120">
        <f t="shared" si="20"/>
        <v>-1162107.9525416126</v>
      </c>
      <c r="P44" s="120">
        <f t="shared" si="20"/>
        <v>451795.5220329077</v>
      </c>
      <c r="Q44" s="120">
        <f t="shared" si="20"/>
        <v>581209.67054507486</v>
      </c>
      <c r="R44" s="120">
        <f t="shared" si="20"/>
        <v>894114.41728638485</v>
      </c>
      <c r="S44" s="120">
        <f t="shared" si="20"/>
        <v>688842.08471062221</v>
      </c>
      <c r="T44" s="120">
        <f t="shared" si="20"/>
        <v>670525.63692316622</v>
      </c>
      <c r="U44" s="120">
        <f t="shared" si="20"/>
        <v>210903.49844493135</v>
      </c>
      <c r="V44" s="120">
        <f t="shared" si="20"/>
        <v>313695.30971526378</v>
      </c>
      <c r="W44" s="117">
        <f t="shared" si="20"/>
        <v>423446.09999376908</v>
      </c>
      <c r="X44" s="120">
        <f>X21-X35</f>
        <v>519288.1237090202</v>
      </c>
      <c r="Y44" s="120">
        <f t="shared" ref="Y44:AN48" si="21">Y21-Y35</f>
        <v>-330603.05410861713</v>
      </c>
      <c r="Z44" s="120">
        <f t="shared" si="21"/>
        <v>-619645.02457048045</v>
      </c>
      <c r="AA44" s="120">
        <f t="shared" si="21"/>
        <v>-2050206.2319982818</v>
      </c>
      <c r="AB44" s="120">
        <f t="shared" si="21"/>
        <v>-1582692.3362198852</v>
      </c>
      <c r="AC44" s="120">
        <f t="shared" si="21"/>
        <v>-510580.33303121827</v>
      </c>
      <c r="AD44" s="120">
        <f t="shared" si="21"/>
        <v>255280.48327908013</v>
      </c>
      <c r="AE44" s="120">
        <f>AE21-AE35</f>
        <v>-250541.15269127581</v>
      </c>
      <c r="AF44" s="120">
        <f t="shared" si="21"/>
        <v>-910361.68090479658</v>
      </c>
      <c r="AG44" s="120">
        <f t="shared" si="21"/>
        <v>-622325.44839929743</v>
      </c>
      <c r="AH44" s="120">
        <f t="shared" si="21"/>
        <v>-200693.65851372108</v>
      </c>
      <c r="AI44" s="120">
        <f t="shared" si="21"/>
        <v>340252.27600987372</v>
      </c>
      <c r="AJ44" s="120">
        <f>AJ21-AJ35</f>
        <v>551841.97871762724</v>
      </c>
      <c r="AK44" s="120">
        <f t="shared" ref="AK44:AU48" si="22">AK21-AK35</f>
        <v>2397088.2125718896</v>
      </c>
      <c r="AL44" s="120">
        <f t="shared" si="22"/>
        <v>-2896894.5228838865</v>
      </c>
      <c r="AM44" s="120">
        <f t="shared" si="22"/>
        <v>1011453.495955293</v>
      </c>
      <c r="AN44" s="120">
        <f t="shared" si="22"/>
        <v>802228.27049103531</v>
      </c>
      <c r="AO44" s="120">
        <f t="shared" si="22"/>
        <v>564833.71308279329</v>
      </c>
      <c r="AP44" s="120">
        <f t="shared" si="22"/>
        <v>567062.81000000006</v>
      </c>
      <c r="AQ44" s="120">
        <f t="shared" si="22"/>
        <v>847566.03136469435</v>
      </c>
      <c r="AR44" s="120">
        <f t="shared" si="22"/>
        <v>1089829.97</v>
      </c>
      <c r="AS44" s="120">
        <f t="shared" si="22"/>
        <v>1105214.68</v>
      </c>
      <c r="AT44" s="120">
        <f t="shared" si="22"/>
        <v>989161.25</v>
      </c>
      <c r="AU44" s="120">
        <f t="shared" si="22"/>
        <v>711997.23250129225</v>
      </c>
      <c r="AV44" s="120">
        <f t="shared" ref="AV44:AX44" si="23">AV21-AV35</f>
        <v>577968.67000000004</v>
      </c>
      <c r="AW44" s="120">
        <f t="shared" si="23"/>
        <v>889205.24</v>
      </c>
      <c r="AX44" s="121">
        <f t="shared" si="23"/>
        <v>1061174.3700000001</v>
      </c>
    </row>
    <row r="45" spans="1:52" x14ac:dyDescent="0.25">
      <c r="A45" s="76" t="s">
        <v>4</v>
      </c>
      <c r="B45" s="116">
        <f t="shared" ref="B45:J48" si="24">B22-B36</f>
        <v>41937.723530317249</v>
      </c>
      <c r="C45" s="120">
        <f t="shared" si="24"/>
        <v>-303808.5815693849</v>
      </c>
      <c r="D45" s="120">
        <f t="shared" si="24"/>
        <v>-258618.8593274554</v>
      </c>
      <c r="E45" s="120">
        <f t="shared" si="24"/>
        <v>-217267.3967490643</v>
      </c>
      <c r="F45" s="120">
        <f t="shared" si="24"/>
        <v>-56263.63073601824</v>
      </c>
      <c r="G45" s="120">
        <f t="shared" si="24"/>
        <v>-181538.12234731505</v>
      </c>
      <c r="H45" s="120">
        <f t="shared" si="24"/>
        <v>-243550.29945976444</v>
      </c>
      <c r="I45" s="120">
        <f t="shared" si="24"/>
        <v>-176803.99485039013</v>
      </c>
      <c r="J45" s="120">
        <f t="shared" si="24"/>
        <v>-158218.08003576531</v>
      </c>
      <c r="K45" s="120">
        <f t="shared" si="20"/>
        <v>-124078.62034415061</v>
      </c>
      <c r="L45" s="120">
        <f t="shared" si="20"/>
        <v>-106410.93544199114</v>
      </c>
      <c r="M45" s="120">
        <f t="shared" si="20"/>
        <v>15794.731924221793</v>
      </c>
      <c r="N45" s="120">
        <f t="shared" si="20"/>
        <v>-176340.34814075567</v>
      </c>
      <c r="O45" s="120">
        <f t="shared" si="20"/>
        <v>-121583.4230605395</v>
      </c>
      <c r="P45" s="120">
        <f t="shared" si="20"/>
        <v>55246.442695028498</v>
      </c>
      <c r="Q45" s="120">
        <f t="shared" si="20"/>
        <v>80546.29751496957</v>
      </c>
      <c r="R45" s="120">
        <f t="shared" si="20"/>
        <v>154083.95378360761</v>
      </c>
      <c r="S45" s="120">
        <f t="shared" si="20"/>
        <v>150295.99508427101</v>
      </c>
      <c r="T45" s="120">
        <f t="shared" si="20"/>
        <v>57169.936326897121</v>
      </c>
      <c r="U45" s="120">
        <f t="shared" si="20"/>
        <v>-34421.125681659934</v>
      </c>
      <c r="V45" s="120">
        <f t="shared" si="20"/>
        <v>109999.92996191181</v>
      </c>
      <c r="W45" s="117">
        <f t="shared" si="20"/>
        <v>130284.68580071765</v>
      </c>
      <c r="X45" s="120">
        <f t="shared" si="20"/>
        <v>81212.718663154315</v>
      </c>
      <c r="Y45" s="120">
        <f t="shared" si="20"/>
        <v>59527.59228774131</v>
      </c>
      <c r="Z45" s="120">
        <f t="shared" si="20"/>
        <v>-184728.38967862382</v>
      </c>
      <c r="AA45" s="120">
        <f t="shared" si="20"/>
        <v>-518978.47672918695</v>
      </c>
      <c r="AB45" s="120">
        <f t="shared" si="20"/>
        <v>-166758.42313914245</v>
      </c>
      <c r="AC45" s="120">
        <f t="shared" si="20"/>
        <v>58663.725545769092</v>
      </c>
      <c r="AD45" s="120">
        <f t="shared" si="20"/>
        <v>123447.54471607576</v>
      </c>
      <c r="AE45" s="120">
        <f t="shared" si="20"/>
        <v>-197447.21207597939</v>
      </c>
      <c r="AF45" s="120">
        <f t="shared" si="20"/>
        <v>-16146.74453336955</v>
      </c>
      <c r="AG45" s="120">
        <f t="shared" si="21"/>
        <v>198608.49125669454</v>
      </c>
      <c r="AH45" s="120">
        <f t="shared" si="21"/>
        <v>-153303.90249057196</v>
      </c>
      <c r="AI45" s="120">
        <f t="shared" si="21"/>
        <v>1824.7085374144954</v>
      </c>
      <c r="AJ45" s="120">
        <f t="shared" si="21"/>
        <v>430878.13877727179</v>
      </c>
      <c r="AK45" s="120">
        <f t="shared" si="21"/>
        <v>1190247.9080580976</v>
      </c>
      <c r="AL45" s="120">
        <f t="shared" si="21"/>
        <v>262851.66801573616</v>
      </c>
      <c r="AM45" s="120">
        <f t="shared" si="21"/>
        <v>-384286.09773343895</v>
      </c>
      <c r="AN45" s="120">
        <f t="shared" si="21"/>
        <v>86844.147497223064</v>
      </c>
      <c r="AO45" s="120">
        <f t="shared" si="22"/>
        <v>48820.419944804031</v>
      </c>
      <c r="AP45" s="120">
        <f t="shared" si="22"/>
        <v>49130.707986549824</v>
      </c>
      <c r="AQ45" s="120">
        <f t="shared" si="22"/>
        <v>78639.785068883095</v>
      </c>
      <c r="AR45" s="120">
        <f t="shared" si="22"/>
        <v>68193.429999999993</v>
      </c>
      <c r="AS45" s="120">
        <f t="shared" si="22"/>
        <v>68153.98</v>
      </c>
      <c r="AT45" s="120">
        <f t="shared" si="22"/>
        <v>67243.803623977903</v>
      </c>
      <c r="AU45" s="120">
        <f t="shared" si="22"/>
        <v>57779.949208624297</v>
      </c>
      <c r="AV45" s="120">
        <f t="shared" ref="AV45:AX45" si="25">AV22-AV36</f>
        <v>49530.729999999996</v>
      </c>
      <c r="AW45" s="120">
        <f t="shared" si="25"/>
        <v>57486.720000000001</v>
      </c>
      <c r="AX45" s="121">
        <f t="shared" si="25"/>
        <v>63557.9</v>
      </c>
    </row>
    <row r="46" spans="1:52" x14ac:dyDescent="0.25">
      <c r="A46" s="76" t="s">
        <v>5</v>
      </c>
      <c r="B46" s="116">
        <f t="shared" si="24"/>
        <v>113584.22546721483</v>
      </c>
      <c r="C46" s="120">
        <f t="shared" si="24"/>
        <v>-644956.97313910956</v>
      </c>
      <c r="D46" s="120">
        <f t="shared" si="24"/>
        <v>-551471.21234914311</v>
      </c>
      <c r="E46" s="120">
        <f t="shared" si="24"/>
        <v>-491108.62497594219</v>
      </c>
      <c r="F46" s="120">
        <f t="shared" si="24"/>
        <v>-137933.87500306428</v>
      </c>
      <c r="G46" s="120">
        <f t="shared" si="24"/>
        <v>-441725.03303058038</v>
      </c>
      <c r="H46" s="120">
        <f t="shared" si="24"/>
        <v>-549926.1251836064</v>
      </c>
      <c r="I46" s="120">
        <f t="shared" si="24"/>
        <v>-410768.53036945744</v>
      </c>
      <c r="J46" s="120">
        <f t="shared" si="24"/>
        <v>-369421.48771516618</v>
      </c>
      <c r="K46" s="120">
        <f t="shared" si="20"/>
        <v>-303388.8889581043</v>
      </c>
      <c r="L46" s="120">
        <f t="shared" si="20"/>
        <v>-255001.46827782225</v>
      </c>
      <c r="M46" s="120">
        <f t="shared" si="20"/>
        <v>33693.928099500481</v>
      </c>
      <c r="N46" s="120">
        <f t="shared" si="20"/>
        <v>-363546.27387030248</v>
      </c>
      <c r="O46" s="120">
        <f t="shared" si="20"/>
        <v>-256273.24614098883</v>
      </c>
      <c r="P46" s="120">
        <f t="shared" si="20"/>
        <v>108465.01874529454</v>
      </c>
      <c r="Q46" s="120">
        <f t="shared" si="20"/>
        <v>178859.38283903885</v>
      </c>
      <c r="R46" s="120">
        <f t="shared" si="20"/>
        <v>374939.0987815269</v>
      </c>
      <c r="S46" s="120">
        <f t="shared" si="20"/>
        <v>356895.81961601798</v>
      </c>
      <c r="T46" s="120">
        <f t="shared" si="20"/>
        <v>123405.60324313235</v>
      </c>
      <c r="U46" s="120">
        <f t="shared" si="20"/>
        <v>-90724.339504754986</v>
      </c>
      <c r="V46" s="120">
        <f t="shared" si="20"/>
        <v>254117.81874680298</v>
      </c>
      <c r="W46" s="117">
        <f t="shared" si="20"/>
        <v>323126.2027931246</v>
      </c>
      <c r="X46" s="120">
        <f t="shared" si="20"/>
        <v>190272.00735380163</v>
      </c>
      <c r="Y46" s="120">
        <f t="shared" si="20"/>
        <v>120737.72256886074</v>
      </c>
      <c r="Z46" s="120">
        <f t="shared" si="20"/>
        <v>-386236.17001644027</v>
      </c>
      <c r="AA46" s="120">
        <f t="shared" si="20"/>
        <v>-1097159.9140310623</v>
      </c>
      <c r="AB46" s="120">
        <f t="shared" si="20"/>
        <v>-359300.28379782196</v>
      </c>
      <c r="AC46" s="120">
        <f t="shared" si="20"/>
        <v>135178.56692548236</v>
      </c>
      <c r="AD46" s="120">
        <f t="shared" si="20"/>
        <v>285414.31574507244</v>
      </c>
      <c r="AE46" s="120">
        <f t="shared" si="20"/>
        <v>-481755.27055027522</v>
      </c>
      <c r="AF46" s="120">
        <f t="shared" si="20"/>
        <v>-46733.407285603462</v>
      </c>
      <c r="AG46" s="120">
        <f t="shared" si="21"/>
        <v>447444.81825465616</v>
      </c>
      <c r="AH46" s="120">
        <f t="shared" si="21"/>
        <v>-376988.19897651533</v>
      </c>
      <c r="AI46" s="120">
        <f t="shared" si="21"/>
        <v>21244.755880781217</v>
      </c>
      <c r="AJ46" s="120">
        <f t="shared" si="21"/>
        <v>1083827.4619723281</v>
      </c>
      <c r="AK46" s="120">
        <f t="shared" si="21"/>
        <v>2789851.9915996743</v>
      </c>
      <c r="AL46" s="120">
        <f t="shared" si="21"/>
        <v>526803.09070293698</v>
      </c>
      <c r="AM46" s="120">
        <f t="shared" si="21"/>
        <v>-852933.91452883207</v>
      </c>
      <c r="AN46" s="120">
        <f t="shared" si="21"/>
        <v>177706.32731138292</v>
      </c>
      <c r="AO46" s="120">
        <f t="shared" si="22"/>
        <v>101753.37359294148</v>
      </c>
      <c r="AP46" s="120">
        <f t="shared" si="22"/>
        <v>106801.07159951216</v>
      </c>
      <c r="AQ46" s="120">
        <f t="shared" si="22"/>
        <v>166029.42066416913</v>
      </c>
      <c r="AR46" s="120">
        <f t="shared" si="22"/>
        <v>129472.39</v>
      </c>
      <c r="AS46" s="120">
        <f t="shared" si="22"/>
        <v>129775.85</v>
      </c>
      <c r="AT46" s="120">
        <f t="shared" si="22"/>
        <v>134353.15156481863</v>
      </c>
      <c r="AU46" s="120">
        <f t="shared" si="22"/>
        <v>119602.28415935596</v>
      </c>
      <c r="AV46" s="120">
        <f t="shared" ref="AV46:AX46" si="26">AV23-AV37</f>
        <v>105755.09999999999</v>
      </c>
      <c r="AW46" s="120">
        <f t="shared" si="26"/>
        <v>108687.92000000001</v>
      </c>
      <c r="AX46" s="121">
        <f t="shared" si="26"/>
        <v>113010.69</v>
      </c>
    </row>
    <row r="47" spans="1:52" x14ac:dyDescent="0.25">
      <c r="A47" s="76" t="s">
        <v>6</v>
      </c>
      <c r="B47" s="116">
        <f t="shared" si="24"/>
        <v>72668.642601876825</v>
      </c>
      <c r="C47" s="120">
        <f t="shared" si="24"/>
        <v>-268163.44703686325</v>
      </c>
      <c r="D47" s="120">
        <f t="shared" si="24"/>
        <v>-235075.14304148074</v>
      </c>
      <c r="E47" s="120">
        <f t="shared" si="24"/>
        <v>-205207.76079435754</v>
      </c>
      <c r="F47" s="120">
        <f t="shared" si="24"/>
        <v>-60551.489361933549</v>
      </c>
      <c r="G47" s="120">
        <f t="shared" si="24"/>
        <v>-187976.46134780202</v>
      </c>
      <c r="H47" s="120">
        <f t="shared" si="24"/>
        <v>-229692.49893427905</v>
      </c>
      <c r="I47" s="120">
        <f t="shared" si="24"/>
        <v>-172486.37124892182</v>
      </c>
      <c r="J47" s="120">
        <f t="shared" si="24"/>
        <v>-156152.43786513666</v>
      </c>
      <c r="K47" s="120">
        <f t="shared" si="20"/>
        <v>-132547.89892040682</v>
      </c>
      <c r="L47" s="120">
        <f t="shared" si="20"/>
        <v>-112444.21854112836</v>
      </c>
      <c r="M47" s="120">
        <f t="shared" si="20"/>
        <v>13972.121653982089</v>
      </c>
      <c r="N47" s="120">
        <f t="shared" si="20"/>
        <v>-146140.92811949717</v>
      </c>
      <c r="O47" s="120">
        <f t="shared" si="20"/>
        <v>-123535.75592639393</v>
      </c>
      <c r="P47" s="120">
        <f t="shared" si="20"/>
        <v>46177.066825935908</v>
      </c>
      <c r="Q47" s="120">
        <f t="shared" si="20"/>
        <v>79961.595497529022</v>
      </c>
      <c r="R47" s="120">
        <f t="shared" si="20"/>
        <v>161137.90714498729</v>
      </c>
      <c r="S47" s="120">
        <f t="shared" si="20"/>
        <v>150377.17975022114</v>
      </c>
      <c r="T47" s="120">
        <f t="shared" si="20"/>
        <v>50569.939751540718</v>
      </c>
      <c r="U47" s="120">
        <f t="shared" si="20"/>
        <v>-40210.262315169588</v>
      </c>
      <c r="V47" s="120">
        <f t="shared" si="20"/>
        <v>102805.79771520902</v>
      </c>
      <c r="W47" s="117">
        <f t="shared" si="20"/>
        <v>145478.44820370729</v>
      </c>
      <c r="X47" s="120">
        <f t="shared" si="20"/>
        <v>85538.201968613634</v>
      </c>
      <c r="Y47" s="120">
        <f t="shared" si="20"/>
        <v>49712.752672224335</v>
      </c>
      <c r="Z47" s="120">
        <f t="shared" si="20"/>
        <v>-161217.29064851056</v>
      </c>
      <c r="AA47" s="120">
        <f t="shared" si="20"/>
        <v>-415022.94028034178</v>
      </c>
      <c r="AB47" s="120">
        <f t="shared" si="20"/>
        <v>-149011.99683845096</v>
      </c>
      <c r="AC47" s="120">
        <f t="shared" si="20"/>
        <v>64048.229715385183</v>
      </c>
      <c r="AD47" s="120">
        <f t="shared" si="20"/>
        <v>131389.31527716131</v>
      </c>
      <c r="AE47" s="120">
        <f t="shared" si="20"/>
        <v>-201101.72183041117</v>
      </c>
      <c r="AF47" s="120">
        <f t="shared" si="20"/>
        <v>-23135.463597956579</v>
      </c>
      <c r="AG47" s="120">
        <f t="shared" si="21"/>
        <v>176874.80359269807</v>
      </c>
      <c r="AH47" s="120">
        <f t="shared" si="21"/>
        <v>-161989.77880056272</v>
      </c>
      <c r="AI47" s="120">
        <f t="shared" si="21"/>
        <v>704.84593585482799</v>
      </c>
      <c r="AJ47" s="120">
        <f t="shared" si="21"/>
        <v>471578.75320779037</v>
      </c>
      <c r="AK47" s="120">
        <f t="shared" si="21"/>
        <v>1206549.8061458373</v>
      </c>
      <c r="AL47" s="120">
        <f t="shared" si="21"/>
        <v>205743.20631216303</v>
      </c>
      <c r="AM47" s="120">
        <f t="shared" si="21"/>
        <v>-429473.13307388179</v>
      </c>
      <c r="AN47" s="120">
        <f t="shared" si="21"/>
        <v>67713.400303673581</v>
      </c>
      <c r="AO47" s="120">
        <f t="shared" si="22"/>
        <v>38974.044116749472</v>
      </c>
      <c r="AP47" s="120">
        <f t="shared" si="22"/>
        <v>42950.183399822359</v>
      </c>
      <c r="AQ47" s="120">
        <f t="shared" si="22"/>
        <v>63267.307440685836</v>
      </c>
      <c r="AR47" s="120">
        <f t="shared" si="22"/>
        <v>46203.77</v>
      </c>
      <c r="AS47" s="120">
        <f t="shared" si="22"/>
        <v>45015.97</v>
      </c>
      <c r="AT47" s="120">
        <f t="shared" si="22"/>
        <v>50653.842722508467</v>
      </c>
      <c r="AU47" s="120">
        <f t="shared" si="22"/>
        <v>43558.148126222564</v>
      </c>
      <c r="AV47" s="120">
        <f t="shared" ref="AV47:AX47" si="27">AV24-AV38</f>
        <v>39790.620000000003</v>
      </c>
      <c r="AW47" s="120">
        <f t="shared" si="27"/>
        <v>39893.729999999996</v>
      </c>
      <c r="AX47" s="121">
        <f t="shared" si="27"/>
        <v>40524.36</v>
      </c>
    </row>
    <row r="48" spans="1:52" x14ac:dyDescent="0.25">
      <c r="A48" s="76" t="s">
        <v>7</v>
      </c>
      <c r="B48" s="116">
        <f t="shared" si="24"/>
        <v>107422.73158088839</v>
      </c>
      <c r="C48" s="120">
        <f t="shared" si="24"/>
        <v>-210097.73744172035</v>
      </c>
      <c r="D48" s="120">
        <f t="shared" si="24"/>
        <v>-163589.02248486393</v>
      </c>
      <c r="E48" s="120">
        <f t="shared" si="24"/>
        <v>-163035.85323471564</v>
      </c>
      <c r="F48" s="120">
        <f t="shared" si="24"/>
        <v>-60768.615509400552</v>
      </c>
      <c r="G48" s="120">
        <f t="shared" si="24"/>
        <v>-157405.72320328557</v>
      </c>
      <c r="H48" s="120">
        <f t="shared" si="24"/>
        <v>-184940.83757033569</v>
      </c>
      <c r="I48" s="120">
        <f t="shared" si="24"/>
        <v>-155144.03369934988</v>
      </c>
      <c r="J48" s="120">
        <f t="shared" si="24"/>
        <v>-54141.680960762489</v>
      </c>
      <c r="K48" s="120">
        <f t="shared" si="20"/>
        <v>-107659.32880930009</v>
      </c>
      <c r="L48" s="120">
        <f t="shared" si="20"/>
        <v>-93119.095311419747</v>
      </c>
      <c r="M48" s="120">
        <f t="shared" si="20"/>
        <v>7058.7735949865892</v>
      </c>
      <c r="N48" s="120">
        <f t="shared" si="20"/>
        <v>-103735.12436697836</v>
      </c>
      <c r="O48" s="120">
        <f t="shared" si="20"/>
        <v>-68070.142330465169</v>
      </c>
      <c r="P48" s="120">
        <f t="shared" si="20"/>
        <v>42021.139700833242</v>
      </c>
      <c r="Q48" s="120">
        <f t="shared" si="20"/>
        <v>61752.283603387637</v>
      </c>
      <c r="R48" s="120">
        <f t="shared" si="20"/>
        <v>107207.50300349339</v>
      </c>
      <c r="S48" s="120">
        <f t="shared" si="20"/>
        <v>101932.49083886764</v>
      </c>
      <c r="T48" s="120">
        <f t="shared" si="20"/>
        <v>50034.133755263319</v>
      </c>
      <c r="U48" s="120">
        <f t="shared" si="20"/>
        <v>-796.97094334679423</v>
      </c>
      <c r="V48" s="120">
        <f t="shared" si="20"/>
        <v>81758.12386081263</v>
      </c>
      <c r="W48" s="117">
        <f t="shared" si="20"/>
        <v>104110.19320868145</v>
      </c>
      <c r="X48" s="120">
        <f t="shared" si="20"/>
        <v>69459.828305410076</v>
      </c>
      <c r="Y48" s="120">
        <f t="shared" si="20"/>
        <v>43303.116579790643</v>
      </c>
      <c r="Z48" s="120">
        <f t="shared" si="20"/>
        <v>-60428.115085944912</v>
      </c>
      <c r="AA48" s="120">
        <f t="shared" si="20"/>
        <v>-158838.52696112733</v>
      </c>
      <c r="AB48" s="120">
        <f t="shared" si="20"/>
        <v>-70273.140004699322</v>
      </c>
      <c r="AC48" s="120">
        <f t="shared" si="20"/>
        <v>35874.380844581901</v>
      </c>
      <c r="AD48" s="120">
        <f t="shared" si="20"/>
        <v>70679.560982610303</v>
      </c>
      <c r="AE48" s="120">
        <f t="shared" si="20"/>
        <v>-106921.94285205839</v>
      </c>
      <c r="AF48" s="120">
        <f t="shared" si="20"/>
        <v>-6705.5136782739428</v>
      </c>
      <c r="AG48" s="120">
        <f t="shared" si="21"/>
        <v>103193.33529524878</v>
      </c>
      <c r="AH48" s="120">
        <f t="shared" si="21"/>
        <v>-80017.621218628978</v>
      </c>
      <c r="AI48" s="120">
        <f t="shared" si="21"/>
        <v>52126.733636075864</v>
      </c>
      <c r="AJ48" s="120">
        <f t="shared" si="21"/>
        <v>266636.05732498271</v>
      </c>
      <c r="AK48" s="120">
        <f t="shared" si="21"/>
        <v>627834.19162450067</v>
      </c>
      <c r="AL48" s="120">
        <f t="shared" si="21"/>
        <v>98529.247853050183</v>
      </c>
      <c r="AM48" s="120">
        <f t="shared" si="21"/>
        <v>-310697.78061914019</v>
      </c>
      <c r="AN48" s="120">
        <f t="shared" si="21"/>
        <v>27319.814396685084</v>
      </c>
      <c r="AO48" s="120">
        <f t="shared" si="22"/>
        <v>11860.049262711724</v>
      </c>
      <c r="AP48" s="120">
        <f t="shared" si="22"/>
        <v>13105.54701411568</v>
      </c>
      <c r="AQ48" s="120">
        <f t="shared" si="22"/>
        <v>25129.805461567616</v>
      </c>
      <c r="AR48" s="120">
        <f t="shared" si="22"/>
        <v>14134.28</v>
      </c>
      <c r="AS48" s="120">
        <f t="shared" si="22"/>
        <v>14272.72</v>
      </c>
      <c r="AT48" s="120">
        <f t="shared" si="22"/>
        <v>16638.022088695008</v>
      </c>
      <c r="AU48" s="120">
        <f t="shared" si="22"/>
        <v>14921.436004505029</v>
      </c>
      <c r="AV48" s="120">
        <f t="shared" ref="AV48:AX48" si="28">AV25-AV39</f>
        <v>12685.71</v>
      </c>
      <c r="AW48" s="120">
        <f t="shared" si="28"/>
        <v>11926.39</v>
      </c>
      <c r="AX48" s="121">
        <f t="shared" si="28"/>
        <v>11805.470000000001</v>
      </c>
    </row>
    <row r="49" spans="1:50" x14ac:dyDescent="0.25">
      <c r="B49" s="105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276"/>
    </row>
    <row r="50" spans="1:50" x14ac:dyDescent="0.25">
      <c r="A50" s="76" t="s">
        <v>74</v>
      </c>
      <c r="B50" s="105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276"/>
    </row>
    <row r="51" spans="1:50" x14ac:dyDescent="0.25">
      <c r="A51" s="76" t="s">
        <v>0</v>
      </c>
      <c r="B51" s="116">
        <f>B44</f>
        <v>75112.546819702722</v>
      </c>
      <c r="C51" s="120">
        <f t="shared" ref="C51:Z51" si="29">B51+C44+B58</f>
        <v>-1631791.9130910337</v>
      </c>
      <c r="D51" s="120">
        <f t="shared" si="29"/>
        <v>-2956472.5158880902</v>
      </c>
      <c r="E51" s="120">
        <f t="shared" si="29"/>
        <v>-3296130.2155727018</v>
      </c>
      <c r="F51" s="120">
        <f t="shared" si="29"/>
        <v>-3173347.3442944479</v>
      </c>
      <c r="G51" s="120">
        <f t="shared" si="29"/>
        <v>-3591631.9154162868</v>
      </c>
      <c r="H51" s="120">
        <f t="shared" si="29"/>
        <v>-3870790.9661779422</v>
      </c>
      <c r="I51" s="120">
        <f t="shared" si="29"/>
        <v>-3949863.4121495164</v>
      </c>
      <c r="J51" s="120">
        <f t="shared" si="29"/>
        <v>-4392190.221994414</v>
      </c>
      <c r="K51" s="120">
        <f t="shared" si="29"/>
        <v>-4161894.2742216163</v>
      </c>
      <c r="L51" s="120">
        <f t="shared" si="29"/>
        <v>-4073755.5278692907</v>
      </c>
      <c r="M51" s="120">
        <f t="shared" si="29"/>
        <v>-3647717.4976713061</v>
      </c>
      <c r="N51" s="120">
        <f t="shared" si="29"/>
        <v>-5055101.4124606345</v>
      </c>
      <c r="O51" s="120">
        <f t="shared" si="29"/>
        <v>-6219589.6563917473</v>
      </c>
      <c r="P51" s="120">
        <f t="shared" si="29"/>
        <v>-5770188.5571677489</v>
      </c>
      <c r="Q51" s="120">
        <f t="shared" si="29"/>
        <v>-5190630.3386301873</v>
      </c>
      <c r="R51" s="120">
        <f t="shared" si="29"/>
        <v>-4297913.1741480827</v>
      </c>
      <c r="S51" s="120">
        <f t="shared" si="29"/>
        <v>-3610141.860780885</v>
      </c>
      <c r="T51" s="120">
        <f t="shared" si="29"/>
        <v>-2940539.619925966</v>
      </c>
      <c r="U51" s="120">
        <f t="shared" si="29"/>
        <v>-2730367.5488556456</v>
      </c>
      <c r="V51" s="120">
        <f t="shared" si="29"/>
        <v>-2417382.0004600133</v>
      </c>
      <c r="W51" s="117">
        <f t="shared" si="29"/>
        <v>-1994468.7015315706</v>
      </c>
      <c r="X51" s="120">
        <f t="shared" si="29"/>
        <v>-1475633.1144606418</v>
      </c>
      <c r="Y51" s="120">
        <f t="shared" si="29"/>
        <v>-1806630.7024466009</v>
      </c>
      <c r="Z51" s="120">
        <f t="shared" si="29"/>
        <v>-2426885.7253350834</v>
      </c>
      <c r="AA51" s="120">
        <f t="shared" ref="AA51:AU55" si="30">Z51+AA44+Z58</f>
        <v>-4478086.38589375</v>
      </c>
      <c r="AB51" s="120">
        <f t="shared" si="30"/>
        <v>-6062402.6068480136</v>
      </c>
      <c r="AC51" s="120">
        <f t="shared" si="30"/>
        <v>-6575058.3276316542</v>
      </c>
      <c r="AD51" s="120">
        <f t="shared" si="30"/>
        <v>-6321429.9976130649</v>
      </c>
      <c r="AE51" s="120">
        <f t="shared" si="30"/>
        <v>-6572420.962191538</v>
      </c>
      <c r="AF51" s="120">
        <f t="shared" si="30"/>
        <v>-7483824.4156349814</v>
      </c>
      <c r="AG51" s="120">
        <f t="shared" si="30"/>
        <v>-8108949.5814577285</v>
      </c>
      <c r="AH51" s="120">
        <f t="shared" si="30"/>
        <v>-8313294.2810055846</v>
      </c>
      <c r="AI51" s="120">
        <f t="shared" si="30"/>
        <v>-7976808.758634435</v>
      </c>
      <c r="AJ51" s="120">
        <f t="shared" si="30"/>
        <v>-7428507.6986194467</v>
      </c>
      <c r="AK51" s="120">
        <f t="shared" si="30"/>
        <v>-5034544.7644735584</v>
      </c>
      <c r="AL51" s="120">
        <f t="shared" si="30"/>
        <v>-7934236.7489376403</v>
      </c>
      <c r="AM51" s="120">
        <f t="shared" si="30"/>
        <v>-6928093.3202689411</v>
      </c>
      <c r="AN51" s="120">
        <f t="shared" si="30"/>
        <v>-6130541.5762766087</v>
      </c>
      <c r="AO51" s="120">
        <f t="shared" si="30"/>
        <v>-5569447.3505093744</v>
      </c>
      <c r="AP51" s="120">
        <f t="shared" si="30"/>
        <v>-5005844.8799191015</v>
      </c>
      <c r="AQ51" s="120">
        <f t="shared" si="30"/>
        <v>-4161431.6714920518</v>
      </c>
      <c r="AR51" s="120">
        <f t="shared" si="30"/>
        <v>-3073773.6983315116</v>
      </c>
      <c r="AS51" s="120">
        <f t="shared" si="30"/>
        <v>-1970170.2981886112</v>
      </c>
      <c r="AT51" s="120">
        <f t="shared" si="30"/>
        <v>-982264.31920878193</v>
      </c>
      <c r="AU51" s="120">
        <f t="shared" si="30"/>
        <v>-270885.47120964754</v>
      </c>
      <c r="AV51" s="120">
        <f t="shared" ref="AV51:AV55" si="31">AU51+AV44+AU58</f>
        <v>306911.59961647796</v>
      </c>
      <c r="AW51" s="120">
        <f t="shared" ref="AW51:AW55" si="32">AV51+AW44+AV58</f>
        <v>1196312.2770867187</v>
      </c>
      <c r="AX51" s="121">
        <f t="shared" ref="AX51:AX55" si="33">AW51+AX44+AW58</f>
        <v>2258445.8941352707</v>
      </c>
    </row>
    <row r="52" spans="1:50" x14ac:dyDescent="0.25">
      <c r="A52" s="76" t="s">
        <v>4</v>
      </c>
      <c r="B52" s="116">
        <f>B45</f>
        <v>41937.723530317249</v>
      </c>
      <c r="C52" s="120">
        <f t="shared" ref="C52:J55" si="34">B52+C45+B59</f>
        <v>-261842.78461240354</v>
      </c>
      <c r="D52" s="120">
        <f t="shared" si="34"/>
        <v>-520461.64393985894</v>
      </c>
      <c r="E52" s="120">
        <f t="shared" si="34"/>
        <v>-737768.07531221875</v>
      </c>
      <c r="F52" s="120">
        <f t="shared" si="34"/>
        <v>-794091.98292960343</v>
      </c>
      <c r="G52" s="120">
        <f t="shared" si="34"/>
        <v>-975689.66217563825</v>
      </c>
      <c r="H52" s="120">
        <f t="shared" si="34"/>
        <v>-1219652.140920114</v>
      </c>
      <c r="I52" s="120">
        <f t="shared" si="34"/>
        <v>-1396527.2821453912</v>
      </c>
      <c r="J52" s="120">
        <f t="shared" si="34"/>
        <v>-1555327.248548717</v>
      </c>
      <c r="K52" s="120">
        <f t="shared" ref="K52:Z52" si="35">J52+K45+J59</f>
        <v>-1680053.9219130962</v>
      </c>
      <c r="L52" s="120">
        <f t="shared" si="35"/>
        <v>-1786959.7718395393</v>
      </c>
      <c r="M52" s="120">
        <f t="shared" si="35"/>
        <v>-1771623.3846728622</v>
      </c>
      <c r="N52" s="120">
        <f t="shared" si="35"/>
        <v>-1948607.8655492286</v>
      </c>
      <c r="O52" s="120">
        <f t="shared" si="35"/>
        <v>-2071108.8279715793</v>
      </c>
      <c r="P52" s="120">
        <f t="shared" si="35"/>
        <v>-2016659.7224790675</v>
      </c>
      <c r="Q52" s="120">
        <f t="shared" si="35"/>
        <v>-1936690.6013794204</v>
      </c>
      <c r="R52" s="120">
        <f t="shared" si="35"/>
        <v>-1783127.9804970715</v>
      </c>
      <c r="S52" s="120">
        <f t="shared" si="35"/>
        <v>-1633276.2294600415</v>
      </c>
      <c r="T52" s="120">
        <f t="shared" si="35"/>
        <v>-1576524.0498049886</v>
      </c>
      <c r="U52" s="120">
        <f t="shared" si="35"/>
        <v>-1611337.318765027</v>
      </c>
      <c r="V52" s="120">
        <f t="shared" si="35"/>
        <v>-1501756.2572819092</v>
      </c>
      <c r="W52" s="117">
        <f t="shared" si="35"/>
        <v>-1371802.5648176142</v>
      </c>
      <c r="X52" s="120">
        <f t="shared" si="35"/>
        <v>-1290901.1024405728</v>
      </c>
      <c r="Y52" s="120">
        <f t="shared" si="35"/>
        <v>-1231718.6530018363</v>
      </c>
      <c r="Z52" s="120">
        <f t="shared" si="35"/>
        <v>-1416862.9252986207</v>
      </c>
      <c r="AA52" s="120">
        <f t="shared" si="30"/>
        <v>-1936421.9686957635</v>
      </c>
      <c r="AB52" s="120">
        <f t="shared" si="30"/>
        <v>-2103882.594919729</v>
      </c>
      <c r="AC52" s="120">
        <f t="shared" si="30"/>
        <v>-2045939.1072817983</v>
      </c>
      <c r="AD52" s="120">
        <f t="shared" si="30"/>
        <v>-1923005.657619854</v>
      </c>
      <c r="AE52" s="120">
        <f t="shared" si="30"/>
        <v>-2120589.7043684106</v>
      </c>
      <c r="AF52" s="120">
        <f t="shared" si="30"/>
        <v>-2137072.576507187</v>
      </c>
      <c r="AG52" s="120">
        <f t="shared" si="30"/>
        <v>-1939263.5694440452</v>
      </c>
      <c r="AH52" s="120">
        <f t="shared" si="30"/>
        <v>-2093440.6221246533</v>
      </c>
      <c r="AI52" s="120">
        <f t="shared" si="30"/>
        <v>-2092564.4515331236</v>
      </c>
      <c r="AJ52" s="120">
        <f t="shared" si="30"/>
        <v>-1662615.2056034948</v>
      </c>
      <c r="AK52" s="120">
        <f t="shared" si="30"/>
        <v>-473066.78331610997</v>
      </c>
      <c r="AL52" s="120">
        <f t="shared" si="30"/>
        <v>-210477.97643541268</v>
      </c>
      <c r="AM52" s="120">
        <f t="shared" si="30"/>
        <v>-594904.93865936075</v>
      </c>
      <c r="AN52" s="120">
        <f t="shared" si="30"/>
        <v>-508462.35744902806</v>
      </c>
      <c r="AO52" s="120">
        <f t="shared" si="30"/>
        <v>-459952.08767814626</v>
      </c>
      <c r="AP52" s="120">
        <f t="shared" si="30"/>
        <v>-411107.15137331153</v>
      </c>
      <c r="AQ52" s="120">
        <f t="shared" si="30"/>
        <v>-332726.2932363993</v>
      </c>
      <c r="AR52" s="120">
        <f t="shared" si="30"/>
        <v>-264706.52473425964</v>
      </c>
      <c r="AS52" s="120">
        <f t="shared" si="30"/>
        <v>-196691.30455629167</v>
      </c>
      <c r="AT52" s="120">
        <f t="shared" si="30"/>
        <v>-129572.82050227992</v>
      </c>
      <c r="AU52" s="120">
        <f t="shared" si="30"/>
        <v>-71874.443862802829</v>
      </c>
      <c r="AV52" s="120">
        <f t="shared" si="31"/>
        <v>-22389.244526128823</v>
      </c>
      <c r="AW52" s="120">
        <f t="shared" si="32"/>
        <v>35083.218282822498</v>
      </c>
      <c r="AX52" s="121">
        <f t="shared" si="33"/>
        <v>98669.24929362633</v>
      </c>
    </row>
    <row r="53" spans="1:50" x14ac:dyDescent="0.25">
      <c r="A53" s="76" t="s">
        <v>5</v>
      </c>
      <c r="B53" s="116">
        <f>B46</f>
        <v>113584.22546721483</v>
      </c>
      <c r="C53" s="120">
        <f t="shared" si="34"/>
        <v>-531296.71353948524</v>
      </c>
      <c r="D53" s="120">
        <f t="shared" si="34"/>
        <v>-1082767.9258886282</v>
      </c>
      <c r="E53" s="120">
        <f t="shared" si="34"/>
        <v>-1573957.758459012</v>
      </c>
      <c r="F53" s="120">
        <f t="shared" si="34"/>
        <v>-1712020.2284342053</v>
      </c>
      <c r="G53" s="120">
        <f t="shared" si="34"/>
        <v>-2153873.6629819185</v>
      </c>
      <c r="H53" s="120">
        <f t="shared" si="34"/>
        <v>-2704709.6902995571</v>
      </c>
      <c r="I53" s="120">
        <f t="shared" si="34"/>
        <v>-3115635.9954009484</v>
      </c>
      <c r="J53" s="120">
        <f t="shared" si="34"/>
        <v>-3486355.664780865</v>
      </c>
      <c r="K53" s="120">
        <f t="shared" ref="K53:Z53" si="36">J53+K46+J60</f>
        <v>-3791197.2019326282</v>
      </c>
      <c r="L53" s="120">
        <f t="shared" si="36"/>
        <v>-4047315.4905601889</v>
      </c>
      <c r="M53" s="120">
        <f t="shared" si="36"/>
        <v>-4014659.6752746766</v>
      </c>
      <c r="N53" s="120">
        <f t="shared" si="36"/>
        <v>-4379665.6124919141</v>
      </c>
      <c r="O53" s="120">
        <f t="shared" si="36"/>
        <v>-4638001.1081301356</v>
      </c>
      <c r="P53" s="120">
        <f t="shared" si="36"/>
        <v>-4531321.6309164492</v>
      </c>
      <c r="Q53" s="120">
        <f t="shared" si="36"/>
        <v>-4353759.1312086852</v>
      </c>
      <c r="R53" s="120">
        <f t="shared" si="36"/>
        <v>-3979992.0099632903</v>
      </c>
      <c r="S53" s="120">
        <f t="shared" si="36"/>
        <v>-3624087.7556066546</v>
      </c>
      <c r="T53" s="120">
        <f t="shared" si="36"/>
        <v>-3501609.1154895048</v>
      </c>
      <c r="U53" s="120">
        <f t="shared" si="36"/>
        <v>-3593204.4423276391</v>
      </c>
      <c r="V53" s="120">
        <f t="shared" si="36"/>
        <v>-3340020.6800699565</v>
      </c>
      <c r="W53" s="117">
        <f t="shared" si="36"/>
        <v>-3017630.6317514721</v>
      </c>
      <c r="X53" s="120">
        <f t="shared" si="36"/>
        <v>-2828043.3122145538</v>
      </c>
      <c r="Y53" s="120">
        <f t="shared" si="36"/>
        <v>-2708061.711802566</v>
      </c>
      <c r="Z53" s="120">
        <f t="shared" si="36"/>
        <v>-3095212.2430589697</v>
      </c>
      <c r="AA53" s="120">
        <f t="shared" si="30"/>
        <v>-4193640.4357826868</v>
      </c>
      <c r="AB53" s="120">
        <f t="shared" si="30"/>
        <v>-4554461.4559170362</v>
      </c>
      <c r="AC53" s="120">
        <f t="shared" si="30"/>
        <v>-4420842.0519402185</v>
      </c>
      <c r="AD53" s="120">
        <f t="shared" si="30"/>
        <v>-4136538.5869657826</v>
      </c>
      <c r="AE53" s="120">
        <f t="shared" si="30"/>
        <v>-4618588.1998134442</v>
      </c>
      <c r="AF53" s="120">
        <f t="shared" si="30"/>
        <v>-4666053.6841193065</v>
      </c>
      <c r="AG53" s="120">
        <f t="shared" si="30"/>
        <v>-4220354.4482130138</v>
      </c>
      <c r="AH53" s="120">
        <f t="shared" si="30"/>
        <v>-4599242.8547459133</v>
      </c>
      <c r="AI53" s="120">
        <f t="shared" si="30"/>
        <v>-4580082.0158026172</v>
      </c>
      <c r="AJ53" s="120">
        <f t="shared" si="30"/>
        <v>-3498287.6598705743</v>
      </c>
      <c r="AK53" s="120">
        <f t="shared" si="30"/>
        <v>-709907.44744848262</v>
      </c>
      <c r="AL53" s="120">
        <f t="shared" si="30"/>
        <v>-183498.81918507855</v>
      </c>
      <c r="AM53" s="120">
        <f t="shared" si="30"/>
        <v>-1036555.5421336385</v>
      </c>
      <c r="AN53" s="120">
        <f t="shared" si="30"/>
        <v>-859548.89931495488</v>
      </c>
      <c r="AO53" s="120">
        <f t="shared" si="30"/>
        <v>-758319.8304944546</v>
      </c>
      <c r="AP53" s="120">
        <f t="shared" si="30"/>
        <v>-651989.90869302745</v>
      </c>
      <c r="AQ53" s="120">
        <f t="shared" si="30"/>
        <v>-486371.12974640058</v>
      </c>
      <c r="AR53" s="120">
        <f t="shared" si="30"/>
        <v>-357152.59386200475</v>
      </c>
      <c r="AS53" s="120">
        <f t="shared" si="30"/>
        <v>-227563.96414458868</v>
      </c>
      <c r="AT53" s="120">
        <f t="shared" si="30"/>
        <v>-93355.802304611861</v>
      </c>
      <c r="AU53" s="120">
        <f t="shared" si="30"/>
        <v>26187.709709403229</v>
      </c>
      <c r="AV53" s="120">
        <f t="shared" si="31"/>
        <v>131959.39896881138</v>
      </c>
      <c r="AW53" s="120">
        <f t="shared" si="32"/>
        <v>240731.34906458223</v>
      </c>
      <c r="AX53" s="121">
        <f t="shared" si="33"/>
        <v>353935.06628707831</v>
      </c>
    </row>
    <row r="54" spans="1:50" x14ac:dyDescent="0.25">
      <c r="A54" s="76" t="s">
        <v>6</v>
      </c>
      <c r="B54" s="116">
        <f>B47</f>
        <v>72668.642601876825</v>
      </c>
      <c r="C54" s="120">
        <f t="shared" si="34"/>
        <v>-195446.15950061393</v>
      </c>
      <c r="D54" s="120">
        <f t="shared" si="34"/>
        <v>-430521.30254209467</v>
      </c>
      <c r="E54" s="120">
        <f t="shared" si="34"/>
        <v>-635761.35243414284</v>
      </c>
      <c r="F54" s="120">
        <f t="shared" si="34"/>
        <v>-696364.78455817257</v>
      </c>
      <c r="G54" s="120">
        <f t="shared" si="34"/>
        <v>-884393.47326481657</v>
      </c>
      <c r="H54" s="120">
        <f t="shared" si="34"/>
        <v>-1114459.5834848818</v>
      </c>
      <c r="I54" s="120">
        <f t="shared" si="34"/>
        <v>-1287010.9648761735</v>
      </c>
      <c r="J54" s="120">
        <f t="shared" si="34"/>
        <v>-1443699.6573100085</v>
      </c>
      <c r="K54" s="120">
        <f t="shared" ref="K54:Z54" si="37">J54+K47+J61</f>
        <v>-1576849.0977542945</v>
      </c>
      <c r="L54" s="120">
        <f t="shared" si="37"/>
        <v>-1689757.8284447622</v>
      </c>
      <c r="M54" s="120">
        <f t="shared" si="37"/>
        <v>-1676219.1198168555</v>
      </c>
      <c r="N54" s="120">
        <f t="shared" si="37"/>
        <v>-1822969.4932713327</v>
      </c>
      <c r="O54" s="120">
        <f t="shared" si="37"/>
        <v>-1947363.6293238821</v>
      </c>
      <c r="P54" s="120">
        <f t="shared" si="37"/>
        <v>-1901936.2601707664</v>
      </c>
      <c r="Q54" s="120">
        <f t="shared" si="37"/>
        <v>-1822519.0067556326</v>
      </c>
      <c r="R54" s="120">
        <f t="shared" si="37"/>
        <v>-1661871.6989457763</v>
      </c>
      <c r="S54" s="120">
        <f t="shared" si="37"/>
        <v>-1511908.5537559513</v>
      </c>
      <c r="T54" s="120">
        <f t="shared" si="37"/>
        <v>-1461725.3274544426</v>
      </c>
      <c r="U54" s="120">
        <f t="shared" si="37"/>
        <v>-1502299.1781094589</v>
      </c>
      <c r="V54" s="120">
        <f t="shared" si="37"/>
        <v>-1399883.9043175154</v>
      </c>
      <c r="W54" s="117">
        <f t="shared" si="37"/>
        <v>-1254713.9963591693</v>
      </c>
      <c r="X54" s="120">
        <f t="shared" si="37"/>
        <v>-1169460.4837683546</v>
      </c>
      <c r="Y54" s="120">
        <f t="shared" si="37"/>
        <v>-1120060.4048729234</v>
      </c>
      <c r="Z54" s="120">
        <f t="shared" si="37"/>
        <v>-1281655.8773834535</v>
      </c>
      <c r="AA54" s="120">
        <f t="shared" si="30"/>
        <v>-1697203.9825678326</v>
      </c>
      <c r="AB54" s="120">
        <f t="shared" si="30"/>
        <v>-1846831.4350721454</v>
      </c>
      <c r="AC54" s="120">
        <f t="shared" si="30"/>
        <v>-1783415.4450131643</v>
      </c>
      <c r="AD54" s="120">
        <f t="shared" si="30"/>
        <v>-1652474.2589381281</v>
      </c>
      <c r="AE54" s="120">
        <f t="shared" si="30"/>
        <v>-1853693.5653285577</v>
      </c>
      <c r="AF54" s="120">
        <f t="shared" si="30"/>
        <v>-1877122.8517145759</v>
      </c>
      <c r="AG54" s="120">
        <f t="shared" si="30"/>
        <v>-1700950.2844735114</v>
      </c>
      <c r="AH54" s="120">
        <f t="shared" si="30"/>
        <v>-1863705.9133047413</v>
      </c>
      <c r="AI54" s="120">
        <f t="shared" si="30"/>
        <v>-1863845.5125182047</v>
      </c>
      <c r="AJ54" s="120">
        <f t="shared" si="30"/>
        <v>-1393094.1234398303</v>
      </c>
      <c r="AK54" s="120">
        <f t="shared" si="30"/>
        <v>-187130.41172722419</v>
      </c>
      <c r="AL54" s="120">
        <f t="shared" si="30"/>
        <v>18508.814947894578</v>
      </c>
      <c r="AM54" s="120">
        <f t="shared" si="30"/>
        <v>-410951.93091649516</v>
      </c>
      <c r="AN54" s="120">
        <f t="shared" si="30"/>
        <v>-343515.92693324958</v>
      </c>
      <c r="AO54" s="120">
        <f t="shared" si="30"/>
        <v>-304751.41951655777</v>
      </c>
      <c r="AP54" s="120">
        <f t="shared" si="30"/>
        <v>-261990.5804593167</v>
      </c>
      <c r="AQ54" s="120">
        <f t="shared" si="30"/>
        <v>-198888.2821092706</v>
      </c>
      <c r="AR54" s="120">
        <f t="shared" si="30"/>
        <v>-152788.31886479331</v>
      </c>
      <c r="AS54" s="120">
        <f t="shared" si="30"/>
        <v>-107852.44088351303</v>
      </c>
      <c r="AT54" s="120">
        <f t="shared" si="30"/>
        <v>-57267.315085435017</v>
      </c>
      <c r="AU54" s="120">
        <f t="shared" si="30"/>
        <v>-13745.219597424488</v>
      </c>
      <c r="AV54" s="120">
        <f t="shared" si="31"/>
        <v>26036.693149591036</v>
      </c>
      <c r="AW54" s="120">
        <f t="shared" si="32"/>
        <v>65947.002990330031</v>
      </c>
      <c r="AX54" s="121">
        <f t="shared" si="33"/>
        <v>106524.24171538446</v>
      </c>
    </row>
    <row r="55" spans="1:50" x14ac:dyDescent="0.25">
      <c r="A55" s="76" t="s">
        <v>7</v>
      </c>
      <c r="B55" s="116">
        <f>B48</f>
        <v>107422.73158088839</v>
      </c>
      <c r="C55" s="120">
        <f t="shared" si="34"/>
        <v>-102603.09627864123</v>
      </c>
      <c r="D55" s="120">
        <f t="shared" si="34"/>
        <v>-266192.11876350513</v>
      </c>
      <c r="E55" s="120">
        <f t="shared" si="34"/>
        <v>-429247.93640712806</v>
      </c>
      <c r="F55" s="120">
        <f t="shared" si="34"/>
        <v>-490051.62218834629</v>
      </c>
      <c r="G55" s="120">
        <f t="shared" si="34"/>
        <v>-647494.099263296</v>
      </c>
      <c r="H55" s="120">
        <f t="shared" si="34"/>
        <v>-832708.47017628711</v>
      </c>
      <c r="I55" s="120">
        <f t="shared" si="34"/>
        <v>-987901.0785363972</v>
      </c>
      <c r="J55" s="120">
        <f t="shared" si="34"/>
        <v>-1042454.3849465498</v>
      </c>
      <c r="K55" s="120">
        <f t="shared" ref="K55:Z55" si="38">J55+K48+J62</f>
        <v>-1150548.0697495774</v>
      </c>
      <c r="L55" s="120">
        <f t="shared" si="38"/>
        <v>-1244006.0963877542</v>
      </c>
      <c r="M55" s="120">
        <f t="shared" si="38"/>
        <v>-1237266.4030997888</v>
      </c>
      <c r="N55" s="120">
        <f t="shared" si="38"/>
        <v>-1341451.3769098276</v>
      </c>
      <c r="O55" s="120">
        <f t="shared" si="38"/>
        <v>-1410153.167332262</v>
      </c>
      <c r="P55" s="120">
        <f t="shared" si="38"/>
        <v>-1368674.9095729161</v>
      </c>
      <c r="Q55" s="120">
        <f t="shared" si="38"/>
        <v>-1307314.3464314602</v>
      </c>
      <c r="R55" s="120">
        <f t="shared" si="38"/>
        <v>-1200458.7561085969</v>
      </c>
      <c r="S55" s="120">
        <f t="shared" si="38"/>
        <v>-1098825.3445630793</v>
      </c>
      <c r="T55" s="120">
        <f t="shared" si="38"/>
        <v>-1049072.2665230727</v>
      </c>
      <c r="U55" s="120">
        <f t="shared" si="38"/>
        <v>-1050130.1828277677</v>
      </c>
      <c r="V55" s="120">
        <f t="shared" si="38"/>
        <v>-968645.0411830896</v>
      </c>
      <c r="W55" s="117">
        <f t="shared" si="38"/>
        <v>-864748.34137750592</v>
      </c>
      <c r="X55" s="120">
        <f t="shared" si="38"/>
        <v>-795484.72086763626</v>
      </c>
      <c r="Y55" s="120">
        <f t="shared" si="38"/>
        <v>-752394.28972314438</v>
      </c>
      <c r="Z55" s="120">
        <f t="shared" si="38"/>
        <v>-813076.44635204761</v>
      </c>
      <c r="AA55" s="120">
        <f t="shared" si="30"/>
        <v>-972248.1354524499</v>
      </c>
      <c r="AB55" s="120">
        <f t="shared" si="30"/>
        <v>-1042873.8409883016</v>
      </c>
      <c r="AC55" s="120">
        <f t="shared" si="30"/>
        <v>-1007356.474967259</v>
      </c>
      <c r="AD55" s="120">
        <f t="shared" si="30"/>
        <v>-936930.03832235979</v>
      </c>
      <c r="AE55" s="120">
        <f t="shared" si="30"/>
        <v>-1043918.6499928451</v>
      </c>
      <c r="AF55" s="120">
        <f t="shared" si="30"/>
        <v>-1050789.6317366008</v>
      </c>
      <c r="AG55" s="120">
        <f t="shared" si="30"/>
        <v>-947989.39946955873</v>
      </c>
      <c r="AH55" s="120">
        <f t="shared" si="30"/>
        <v>-1028433.8513353165</v>
      </c>
      <c r="AI55" s="120">
        <f t="shared" si="30"/>
        <v>-976773.10107728071</v>
      </c>
      <c r="AJ55" s="120">
        <f t="shared" si="30"/>
        <v>-710570.63495982136</v>
      </c>
      <c r="AK55" s="120">
        <f t="shared" si="30"/>
        <v>-83035.390467865611</v>
      </c>
      <c r="AL55" s="120">
        <f t="shared" si="30"/>
        <v>15447.718493686467</v>
      </c>
      <c r="AM55" s="120">
        <f t="shared" si="30"/>
        <v>-295239.72358537465</v>
      </c>
      <c r="AN55" s="120">
        <f t="shared" si="30"/>
        <v>-268119.19870847382</v>
      </c>
      <c r="AO55" s="120">
        <f t="shared" si="30"/>
        <v>-256422.69590085963</v>
      </c>
      <c r="AP55" s="120">
        <f t="shared" si="30"/>
        <v>-243476.46623087738</v>
      </c>
      <c r="AQ55" s="120">
        <f t="shared" si="30"/>
        <v>-218500.00914624185</v>
      </c>
      <c r="AR55" s="120">
        <f t="shared" si="30"/>
        <v>-204479.77194851558</v>
      </c>
      <c r="AS55" s="120">
        <f t="shared" si="30"/>
        <v>-190314.24075617042</v>
      </c>
      <c r="AT55" s="120">
        <f t="shared" si="30"/>
        <v>-173797.47516564041</v>
      </c>
      <c r="AU55" s="120">
        <f t="shared" si="30"/>
        <v>-158985.4533616259</v>
      </c>
      <c r="AV55" s="120">
        <f t="shared" si="31"/>
        <v>-146400.45667169418</v>
      </c>
      <c r="AW55" s="120">
        <f t="shared" si="32"/>
        <v>-134567.29265249698</v>
      </c>
      <c r="AX55" s="121">
        <f t="shared" si="33"/>
        <v>-122869.72364187981</v>
      </c>
    </row>
    <row r="56" spans="1:50" x14ac:dyDescent="0.25">
      <c r="B56" s="105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276"/>
    </row>
    <row r="57" spans="1:50" x14ac:dyDescent="0.25">
      <c r="A57" s="76" t="s">
        <v>69</v>
      </c>
      <c r="B57" s="168">
        <f>0.803289%/12</f>
        <v>6.6940750000000007E-4</v>
      </c>
      <c r="C57" s="130">
        <f>0%/12</f>
        <v>0</v>
      </c>
      <c r="D57" s="130">
        <f>0.09%/12</f>
        <v>7.4999999999999993E-5</v>
      </c>
      <c r="E57" s="130">
        <f>0.098042%/12</f>
        <v>8.1701666666666678E-5</v>
      </c>
      <c r="F57" s="130">
        <f>0.09%/12</f>
        <v>7.4999999999999993E-5</v>
      </c>
      <c r="G57" s="130">
        <f>0.506939%/12</f>
        <v>4.2244916666666667E-4</v>
      </c>
      <c r="H57" s="130">
        <f>0.07%/12</f>
        <v>5.833333333333334E-5</v>
      </c>
      <c r="I57" s="130">
        <f>0.5%/12</f>
        <v>4.1666666666666669E-4</v>
      </c>
      <c r="J57" s="130">
        <f>0.5%/12</f>
        <v>4.1666666666666669E-4</v>
      </c>
      <c r="K57" s="130">
        <f>0.353499%/12</f>
        <v>2.945825E-4</v>
      </c>
      <c r="L57" s="130">
        <f>0.307793%/12</f>
        <v>2.5649416666666665E-4</v>
      </c>
      <c r="M57" s="156">
        <f>0.4363%/12</f>
        <v>3.6358333333333338E-4</v>
      </c>
      <c r="N57" s="156">
        <f>0.565043%/12</f>
        <v>4.7086916666666664E-4</v>
      </c>
      <c r="O57" s="156">
        <f>0.461977%/12</f>
        <v>3.8498083333333337E-4</v>
      </c>
      <c r="P57" s="156">
        <f>0.343445%/12</f>
        <v>2.8620416666666666E-4</v>
      </c>
      <c r="Q57" s="156">
        <f>0.323025%/12</f>
        <v>2.691875E-4</v>
      </c>
      <c r="R57" s="156">
        <f>0.298965%/12</f>
        <v>2.4913749999999998E-4</v>
      </c>
      <c r="S57" s="156">
        <f>0.306934%/12</f>
        <v>2.5577833333333334E-4</v>
      </c>
      <c r="T57" s="156">
        <f>0.298487%/12</f>
        <v>2.4873916666666668E-4</v>
      </c>
      <c r="U57" s="156">
        <f>0.311941%/12</f>
        <v>2.5995083333333339E-4</v>
      </c>
      <c r="V57" s="156">
        <f>0.264485%/12</f>
        <v>2.2040416666666669E-4</v>
      </c>
      <c r="W57" s="156">
        <f>0.272275%/12</f>
        <v>2.2689583333333332E-4</v>
      </c>
      <c r="X57" s="169">
        <f>0.320839%/12</f>
        <v>2.6736583333333331E-4</v>
      </c>
      <c r="Y57" s="169">
        <f>0.405173%/12</f>
        <v>3.3764416666666664E-4</v>
      </c>
      <c r="Z57" s="169">
        <f>0.491706%/12</f>
        <v>4.0975499999999998E-4</v>
      </c>
      <c r="AA57" s="169">
        <f>0.435155%/12</f>
        <v>3.6262916666666669E-4</v>
      </c>
      <c r="AB57" s="169">
        <f>0.410805%/12</f>
        <v>3.4233749999999997E-4</v>
      </c>
      <c r="AC57" s="169">
        <f>0.301531%/12</f>
        <v>2.512758333333333E-4</v>
      </c>
      <c r="AD57" s="169">
        <f>0.085388%/12</f>
        <v>7.1156666666666662E-5</v>
      </c>
      <c r="AE57" s="169">
        <f>0.190208%/12</f>
        <v>1.5850666666666666E-4</v>
      </c>
      <c r="AF57" s="169">
        <f>0.448923%/12</f>
        <v>3.7410250000000003E-4</v>
      </c>
      <c r="AG57" s="169">
        <f>0.540298%/12</f>
        <v>4.5024833333333326E-4</v>
      </c>
      <c r="AH57" s="169">
        <f>0.54372%/12</f>
        <v>4.5309999999999995E-4</v>
      </c>
      <c r="AI57" s="169">
        <f>0.532682%/12</f>
        <v>4.439016666666666E-4</v>
      </c>
      <c r="AJ57" s="169">
        <f>0.504857%/12</f>
        <v>4.2071416666666662E-4</v>
      </c>
      <c r="AK57" s="169">
        <f>0.666784%/12</f>
        <v>5.556533333333334E-4</v>
      </c>
      <c r="AL57" s="169">
        <f>0.803112%/12</f>
        <v>6.6926000000000008E-4</v>
      </c>
      <c r="AM57" s="169">
        <f>0.810011%/12</f>
        <v>6.7500916666666676E-4</v>
      </c>
      <c r="AN57" s="169">
        <f>0.731972%/12</f>
        <v>6.0997666666666656E-4</v>
      </c>
      <c r="AO57" s="169">
        <f>0.745569%/12</f>
        <v>6.2130750000000004E-4</v>
      </c>
      <c r="AP57" s="169">
        <f>0.755794%/12</f>
        <v>6.2982833333333329E-4</v>
      </c>
      <c r="AQ57" s="169">
        <f>0.626322%/12</f>
        <v>5.2193500000000006E-4</v>
      </c>
      <c r="AR57" s="169">
        <f>0.629043%/12</f>
        <v>5.2420250000000004E-4</v>
      </c>
      <c r="AS57" s="169">
        <f>0.764566%/12</f>
        <v>6.3713833333333325E-4</v>
      </c>
      <c r="AT57" s="169">
        <f>0.75546%/12</f>
        <v>6.2954999999999999E-4</v>
      </c>
      <c r="AU57" s="257">
        <f>0.76017%/12</f>
        <v>6.3347499999999999E-4</v>
      </c>
      <c r="AV57" s="257">
        <f>0.764145%/12</f>
        <v>6.3678749999999994E-4</v>
      </c>
      <c r="AW57" s="257">
        <f>0.962204%/12</f>
        <v>8.0183666666666664E-4</v>
      </c>
      <c r="AX57" s="277">
        <f>0.9%/12</f>
        <v>7.5000000000000012E-4</v>
      </c>
    </row>
    <row r="58" spans="1:50" x14ac:dyDescent="0.25">
      <c r="A58" s="76" t="s">
        <v>0</v>
      </c>
      <c r="B58" s="116">
        <f>B51*B$57</f>
        <v>50.280902185210152</v>
      </c>
      <c r="C58" s="120">
        <f t="shared" ref="C58:AU62" si="39">C51*C$57</f>
        <v>0</v>
      </c>
      <c r="D58" s="120">
        <f t="shared" si="39"/>
        <v>-221.73543869160676</v>
      </c>
      <c r="E58" s="120">
        <f t="shared" si="39"/>
        <v>-269.29933216264908</v>
      </c>
      <c r="F58" s="120">
        <f t="shared" si="39"/>
        <v>-238.00105082208358</v>
      </c>
      <c r="G58" s="120">
        <f t="shared" si="39"/>
        <v>-1517.2819096410142</v>
      </c>
      <c r="H58" s="120">
        <f t="shared" si="39"/>
        <v>-225.79613969371331</v>
      </c>
      <c r="I58" s="120">
        <f t="shared" si="39"/>
        <v>-1645.7764217289653</v>
      </c>
      <c r="J58" s="120">
        <f t="shared" si="39"/>
        <v>-1830.0792591643392</v>
      </c>
      <c r="K58" s="120">
        <f t="shared" si="39"/>
        <v>-1226.0212200358892</v>
      </c>
      <c r="L58" s="143">
        <f t="shared" si="39"/>
        <v>-1044.8945293245604</v>
      </c>
      <c r="M58" s="143">
        <f t="shared" si="39"/>
        <v>-1326.2492868616591</v>
      </c>
      <c r="N58" s="143">
        <f t="shared" si="39"/>
        <v>-2380.2913895008282</v>
      </c>
      <c r="O58" s="143">
        <f t="shared" si="39"/>
        <v>-2394.4228089090752</v>
      </c>
      <c r="P58" s="143">
        <f t="shared" si="39"/>
        <v>-1651.4520075137311</v>
      </c>
      <c r="Q58" s="143">
        <f t="shared" si="39"/>
        <v>-1397.2528042800136</v>
      </c>
      <c r="R58" s="143">
        <f t="shared" si="39"/>
        <v>-1070.7713434243178</v>
      </c>
      <c r="S58" s="143">
        <f t="shared" si="39"/>
        <v>-923.3960682474335</v>
      </c>
      <c r="T58" s="143">
        <f t="shared" si="39"/>
        <v>-731.42737461070158</v>
      </c>
      <c r="U58" s="143">
        <f t="shared" si="39"/>
        <v>-709.76131963131593</v>
      </c>
      <c r="V58" s="143">
        <f t="shared" si="39"/>
        <v>-532.80106532638888</v>
      </c>
      <c r="W58" s="164">
        <f t="shared" si="39"/>
        <v>-452.53663809125698</v>
      </c>
      <c r="X58" s="143">
        <f t="shared" si="39"/>
        <v>-394.53387734203153</v>
      </c>
      <c r="Y58" s="143">
        <f t="shared" si="39"/>
        <v>-609.99831800199718</v>
      </c>
      <c r="Z58" s="143">
        <f>Z51*Z$57</f>
        <v>-994.4285603846771</v>
      </c>
      <c r="AA58" s="143">
        <f t="shared" si="39"/>
        <v>-1623.8847343779958</v>
      </c>
      <c r="AB58" s="143">
        <f t="shared" si="39"/>
        <v>-2075.3877524218315</v>
      </c>
      <c r="AC58" s="143">
        <f t="shared" si="39"/>
        <v>-1652.1532604909166</v>
      </c>
      <c r="AD58" s="143">
        <f t="shared" si="39"/>
        <v>-449.81188719682029</v>
      </c>
      <c r="AE58" s="143">
        <f t="shared" si="39"/>
        <v>-1041.7725386471066</v>
      </c>
      <c r="AF58" s="143">
        <f t="shared" si="39"/>
        <v>-2799.7174234500858</v>
      </c>
      <c r="AG58" s="143">
        <f t="shared" si="39"/>
        <v>-3651.0410341353727</v>
      </c>
      <c r="AH58" s="143">
        <f t="shared" si="39"/>
        <v>-3766.75363872363</v>
      </c>
      <c r="AI58" s="143">
        <f t="shared" si="39"/>
        <v>-3540.9187026390896</v>
      </c>
      <c r="AJ58" s="143">
        <f t="shared" si="39"/>
        <v>-3125.2784260015978</v>
      </c>
      <c r="AK58" s="143">
        <f t="shared" si="39"/>
        <v>-2797.4615801956147</v>
      </c>
      <c r="AL58" s="143">
        <f t="shared" si="39"/>
        <v>-5310.067286594006</v>
      </c>
      <c r="AM58" s="143">
        <f t="shared" si="39"/>
        <v>-4676.526498703638</v>
      </c>
      <c r="AN58" s="143">
        <f t="shared" si="39"/>
        <v>-3739.4873155586174</v>
      </c>
      <c r="AO58" s="143">
        <f t="shared" si="39"/>
        <v>-3460.3394097266032</v>
      </c>
      <c r="AP58" s="143">
        <f t="shared" si="39"/>
        <v>-3152.8229376446475</v>
      </c>
      <c r="AQ58" s="143">
        <f t="shared" si="39"/>
        <v>-2171.9968394602042</v>
      </c>
      <c r="AR58" s="143">
        <f t="shared" si="39"/>
        <v>-1611.2798570996242</v>
      </c>
      <c r="AS58" s="143">
        <f t="shared" si="39"/>
        <v>-1255.271020170728</v>
      </c>
      <c r="AT58" s="143">
        <f t="shared" si="39"/>
        <v>-618.38450215788862</v>
      </c>
      <c r="AU58" s="143">
        <f t="shared" si="39"/>
        <v>-171.59917387453146</v>
      </c>
      <c r="AV58" s="143">
        <f t="shared" ref="AV58:AX58" si="40">AV51*AV$57</f>
        <v>195.43747024077794</v>
      </c>
      <c r="AW58" s="143">
        <f t="shared" si="40"/>
        <v>959.24704855162418</v>
      </c>
      <c r="AX58" s="155">
        <f t="shared" si="40"/>
        <v>1693.8344206014533</v>
      </c>
    </row>
    <row r="59" spans="1:50" x14ac:dyDescent="0.25">
      <c r="A59" s="76" t="s">
        <v>4</v>
      </c>
      <c r="B59" s="116">
        <f t="shared" ref="B59:J62" si="41">B52*B$57</f>
        <v>28.073426664120849</v>
      </c>
      <c r="C59" s="120">
        <f t="shared" si="41"/>
        <v>0</v>
      </c>
      <c r="D59" s="120">
        <f t="shared" si="41"/>
        <v>-39.034623295489418</v>
      </c>
      <c r="E59" s="120">
        <f t="shared" si="41"/>
        <v>-60.27688136646713</v>
      </c>
      <c r="F59" s="120">
        <f t="shared" si="41"/>
        <v>-59.556898719720252</v>
      </c>
      <c r="G59" s="120">
        <f t="shared" si="41"/>
        <v>-412.17928471137992</v>
      </c>
      <c r="H59" s="120">
        <f t="shared" si="41"/>
        <v>-71.146374887006658</v>
      </c>
      <c r="I59" s="120">
        <f t="shared" si="41"/>
        <v>-581.88636756057974</v>
      </c>
      <c r="J59" s="120">
        <f t="shared" si="41"/>
        <v>-648.05302022863214</v>
      </c>
      <c r="K59" s="120">
        <f t="shared" si="39"/>
        <v>-494.91448445196465</v>
      </c>
      <c r="L59" s="143">
        <f t="shared" si="39"/>
        <v>-458.34475754483941</v>
      </c>
      <c r="M59" s="143">
        <f t="shared" si="39"/>
        <v>-644.13273561064159</v>
      </c>
      <c r="N59" s="143">
        <f t="shared" si="39"/>
        <v>-917.53936181127722</v>
      </c>
      <c r="O59" s="143">
        <f t="shared" si="39"/>
        <v>-797.33720251652198</v>
      </c>
      <c r="P59" s="143">
        <f t="shared" si="39"/>
        <v>-577.1764153223528</v>
      </c>
      <c r="Q59" s="143">
        <f t="shared" si="39"/>
        <v>-521.33290125882274</v>
      </c>
      <c r="R59" s="143">
        <f t="shared" si="39"/>
        <v>-444.24404724108911</v>
      </c>
      <c r="S59" s="143">
        <f t="shared" si="39"/>
        <v>-417.75667184424032</v>
      </c>
      <c r="T59" s="143">
        <f t="shared" si="39"/>
        <v>-392.14327837845138</v>
      </c>
      <c r="U59" s="143">
        <f t="shared" si="39"/>
        <v>-418.86847879406781</v>
      </c>
      <c r="V59" s="143">
        <f t="shared" si="39"/>
        <v>-330.99333642267152</v>
      </c>
      <c r="W59" s="164">
        <f t="shared" si="39"/>
        <v>-311.25628611309656</v>
      </c>
      <c r="X59" s="143">
        <f t="shared" si="39"/>
        <v>-345.14284900494243</v>
      </c>
      <c r="Y59" s="143">
        <f t="shared" si="39"/>
        <v>-415.88261816059412</v>
      </c>
      <c r="Z59" s="143">
        <f t="shared" si="39"/>
        <v>-580.56666795573631</v>
      </c>
      <c r="AA59" s="143">
        <f t="shared" si="39"/>
        <v>-702.2030848231708</v>
      </c>
      <c r="AB59" s="143">
        <f t="shared" si="39"/>
        <v>-720.23790783833272</v>
      </c>
      <c r="AC59" s="143">
        <f t="shared" si="39"/>
        <v>-514.09505413148986</v>
      </c>
      <c r="AD59" s="143">
        <f t="shared" si="39"/>
        <v>-136.83467257737007</v>
      </c>
      <c r="AE59" s="143">
        <f t="shared" si="39"/>
        <v>-336.12760540708888</v>
      </c>
      <c r="AF59" s="143">
        <f t="shared" si="39"/>
        <v>-799.48419355277997</v>
      </c>
      <c r="AG59" s="143">
        <f t="shared" si="39"/>
        <v>-873.15019003623217</v>
      </c>
      <c r="AH59" s="143">
        <f t="shared" si="39"/>
        <v>-948.53794588468031</v>
      </c>
      <c r="AI59" s="143">
        <f t="shared" si="39"/>
        <v>-928.8928476429727</v>
      </c>
      <c r="AJ59" s="143">
        <f t="shared" si="39"/>
        <v>-699.48577071280283</v>
      </c>
      <c r="AK59" s="143">
        <f t="shared" si="39"/>
        <v>-262.86113503887424</v>
      </c>
      <c r="AL59" s="143">
        <f t="shared" si="39"/>
        <v>-140.86449050916431</v>
      </c>
      <c r="AM59" s="143">
        <f t="shared" si="39"/>
        <v>-401.5662868903396</v>
      </c>
      <c r="AN59" s="143">
        <f t="shared" si="39"/>
        <v>-310.15017392223325</v>
      </c>
      <c r="AO59" s="143">
        <f t="shared" si="39"/>
        <v>-285.77168171508987</v>
      </c>
      <c r="AP59" s="143">
        <f t="shared" si="39"/>
        <v>-258.92693197086714</v>
      </c>
      <c r="AQ59" s="143">
        <f t="shared" si="39"/>
        <v>-173.66149786034009</v>
      </c>
      <c r="AR59" s="143">
        <f t="shared" si="39"/>
        <v>-138.75982203201076</v>
      </c>
      <c r="AS59" s="143">
        <f t="shared" si="39"/>
        <v>-125.31956996615473</v>
      </c>
      <c r="AT59" s="143">
        <f t="shared" si="39"/>
        <v>-81.572569147210331</v>
      </c>
      <c r="AU59" s="143">
        <f t="shared" si="39"/>
        <v>-45.530663325989025</v>
      </c>
      <c r="AV59" s="143">
        <f t="shared" ref="AV59:AX59" si="42">AV52*AV$57</f>
        <v>-14.257191048682257</v>
      </c>
      <c r="AW59" s="143">
        <f t="shared" si="42"/>
        <v>28.131010803837448</v>
      </c>
      <c r="AX59" s="155">
        <f t="shared" si="42"/>
        <v>74.001936970219759</v>
      </c>
    </row>
    <row r="60" spans="1:50" x14ac:dyDescent="0.25">
      <c r="A60" s="76" t="s">
        <v>5</v>
      </c>
      <c r="B60" s="116">
        <f t="shared" si="41"/>
        <v>76.034132409444624</v>
      </c>
      <c r="C60" s="120">
        <f t="shared" si="41"/>
        <v>0</v>
      </c>
      <c r="D60" s="120">
        <f t="shared" si="41"/>
        <v>-81.207594441647117</v>
      </c>
      <c r="E60" s="120">
        <f t="shared" si="41"/>
        <v>-128.59497212903207</v>
      </c>
      <c r="F60" s="120">
        <f t="shared" si="41"/>
        <v>-128.40151713256537</v>
      </c>
      <c r="G60" s="120">
        <f t="shared" si="41"/>
        <v>-909.90213403199232</v>
      </c>
      <c r="H60" s="120">
        <f t="shared" si="41"/>
        <v>-157.77473193414085</v>
      </c>
      <c r="I60" s="120">
        <f t="shared" si="41"/>
        <v>-1298.1816647503952</v>
      </c>
      <c r="J60" s="120">
        <f t="shared" si="41"/>
        <v>-1452.6481936586938</v>
      </c>
      <c r="K60" s="120">
        <f t="shared" si="39"/>
        <v>-1116.8203497383183</v>
      </c>
      <c r="L60" s="143">
        <f t="shared" si="39"/>
        <v>-1038.1128139883267</v>
      </c>
      <c r="M60" s="143">
        <f t="shared" si="39"/>
        <v>-1459.6633469352846</v>
      </c>
      <c r="N60" s="143">
        <f>N53*N$57</f>
        <v>-2062.2494972327236</v>
      </c>
      <c r="O60" s="143">
        <f>O53*O$57</f>
        <v>-1785.5415316088631</v>
      </c>
      <c r="P60" s="143">
        <f t="shared" si="39"/>
        <v>-1296.8831312750833</v>
      </c>
      <c r="Q60" s="143">
        <f t="shared" si="39"/>
        <v>-1171.9775361322379</v>
      </c>
      <c r="R60" s="143">
        <f t="shared" si="39"/>
        <v>-991.5652593822291</v>
      </c>
      <c r="S60" s="143">
        <f t="shared" si="39"/>
        <v>-926.96312598281077</v>
      </c>
      <c r="T60" s="143">
        <f t="shared" si="39"/>
        <v>-870.98733337926319</v>
      </c>
      <c r="U60" s="143">
        <f t="shared" si="39"/>
        <v>-934.0564891201052</v>
      </c>
      <c r="V60" s="143">
        <f t="shared" si="39"/>
        <v>-736.15447464025215</v>
      </c>
      <c r="W60" s="164">
        <f t="shared" si="39"/>
        <v>-684.68781688344336</v>
      </c>
      <c r="X60" s="143">
        <f t="shared" si="39"/>
        <v>-756.12215687300431</v>
      </c>
      <c r="Y60" s="143">
        <f t="shared" si="39"/>
        <v>-914.36123996348419</v>
      </c>
      <c r="Z60" s="143">
        <f t="shared" si="39"/>
        <v>-1268.278692654628</v>
      </c>
      <c r="AA60" s="143">
        <f t="shared" si="39"/>
        <v>-1520.7363365275125</v>
      </c>
      <c r="AB60" s="143">
        <f t="shared" si="39"/>
        <v>-1559.1629486649981</v>
      </c>
      <c r="AC60" s="143">
        <f t="shared" si="39"/>
        <v>-1110.8507706363216</v>
      </c>
      <c r="AD60" s="143">
        <f t="shared" si="39"/>
        <v>-294.34229738652851</v>
      </c>
      <c r="AE60" s="143">
        <f t="shared" si="39"/>
        <v>-732.07702025842957</v>
      </c>
      <c r="AF60" s="143">
        <f t="shared" si="39"/>
        <v>-1745.582348363243</v>
      </c>
      <c r="AG60" s="143">
        <f t="shared" si="39"/>
        <v>-1900.2075563838289</v>
      </c>
      <c r="AH60" s="143">
        <f t="shared" si="39"/>
        <v>-2083.9169374853732</v>
      </c>
      <c r="AI60" s="143">
        <f t="shared" si="39"/>
        <v>-2033.1060402848079</v>
      </c>
      <c r="AJ60" s="143">
        <f t="shared" si="39"/>
        <v>-1471.779177582732</v>
      </c>
      <c r="AK60" s="143">
        <f t="shared" si="39"/>
        <v>-394.46243953290758</v>
      </c>
      <c r="AL60" s="143">
        <f t="shared" si="39"/>
        <v>-122.80841972780568</v>
      </c>
      <c r="AM60" s="143">
        <f t="shared" si="39"/>
        <v>-699.68449269934229</v>
      </c>
      <c r="AN60" s="143">
        <f t="shared" si="39"/>
        <v>-524.30477244113843</v>
      </c>
      <c r="AO60" s="143">
        <f t="shared" si="39"/>
        <v>-471.14979808493337</v>
      </c>
      <c r="AP60" s="143">
        <f t="shared" si="39"/>
        <v>-410.64171754228164</v>
      </c>
      <c r="AQ60" s="143">
        <f t="shared" si="39"/>
        <v>-253.85411560418763</v>
      </c>
      <c r="AR60" s="143">
        <f t="shared" si="39"/>
        <v>-187.22028258394755</v>
      </c>
      <c r="AS60" s="143">
        <f t="shared" si="39"/>
        <v>-144.98972484180965</v>
      </c>
      <c r="AT60" s="143">
        <f t="shared" si="39"/>
        <v>-58.772145340868398</v>
      </c>
      <c r="AU60" s="143">
        <f t="shared" si="39"/>
        <v>16.58925940816421</v>
      </c>
      <c r="AV60" s="143">
        <f t="shared" ref="AV60:AX60" si="43">AV53*AV$57</f>
        <v>84.030095770851972</v>
      </c>
      <c r="AW60" s="143">
        <f t="shared" si="43"/>
        <v>193.0272224961144</v>
      </c>
      <c r="AX60" s="155">
        <f t="shared" si="43"/>
        <v>265.45129971530878</v>
      </c>
    </row>
    <row r="61" spans="1:50" x14ac:dyDescent="0.25">
      <c r="A61" s="76" t="s">
        <v>6</v>
      </c>
      <c r="B61" s="116">
        <f t="shared" si="41"/>
        <v>48.644934372515863</v>
      </c>
      <c r="C61" s="120">
        <f t="shared" si="41"/>
        <v>0</v>
      </c>
      <c r="D61" s="120">
        <f t="shared" si="41"/>
        <v>-32.289097690657094</v>
      </c>
      <c r="E61" s="120">
        <f t="shared" si="41"/>
        <v>-51.942762096123531</v>
      </c>
      <c r="F61" s="120">
        <f t="shared" si="41"/>
        <v>-52.227358841862937</v>
      </c>
      <c r="G61" s="120">
        <f t="shared" si="41"/>
        <v>-373.61128578616069</v>
      </c>
      <c r="H61" s="120">
        <f t="shared" si="41"/>
        <v>-65.010142369951438</v>
      </c>
      <c r="I61" s="120">
        <f t="shared" si="41"/>
        <v>-536.25456869840571</v>
      </c>
      <c r="J61" s="120">
        <f t="shared" si="41"/>
        <v>-601.54152387917031</v>
      </c>
      <c r="K61" s="120">
        <f t="shared" si="39"/>
        <v>-464.51214933920448</v>
      </c>
      <c r="L61" s="143">
        <f t="shared" si="39"/>
        <v>-433.41302607541553</v>
      </c>
      <c r="M61" s="143">
        <f t="shared" si="39"/>
        <v>-609.44533498007843</v>
      </c>
      <c r="N61" s="143">
        <f t="shared" si="39"/>
        <v>-858.380126155428</v>
      </c>
      <c r="O61" s="143">
        <f t="shared" si="39"/>
        <v>-749.69767282013265</v>
      </c>
      <c r="P61" s="143">
        <f t="shared" si="39"/>
        <v>-544.34208239529073</v>
      </c>
      <c r="Q61" s="143">
        <f t="shared" si="39"/>
        <v>-490.59933513103186</v>
      </c>
      <c r="R61" s="143">
        <f t="shared" si="39"/>
        <v>-414.0345603961033</v>
      </c>
      <c r="S61" s="143">
        <f t="shared" si="39"/>
        <v>-386.71345003210763</v>
      </c>
      <c r="T61" s="143">
        <f t="shared" si="39"/>
        <v>-363.58833984657855</v>
      </c>
      <c r="U61" s="143">
        <f t="shared" si="39"/>
        <v>-390.5239232655357</v>
      </c>
      <c r="V61" s="143">
        <f t="shared" si="39"/>
        <v>-308.54024536118175</v>
      </c>
      <c r="W61" s="164">
        <f t="shared" si="39"/>
        <v>-284.68937779891064</v>
      </c>
      <c r="X61" s="143">
        <f t="shared" si="39"/>
        <v>-312.67377679312926</v>
      </c>
      <c r="Y61" s="143">
        <f t="shared" si="39"/>
        <v>-378.18186201964744</v>
      </c>
      <c r="Z61" s="143">
        <f t="shared" si="39"/>
        <v>-525.16490403725697</v>
      </c>
      <c r="AA61" s="143">
        <f t="shared" si="39"/>
        <v>-615.45566586192103</v>
      </c>
      <c r="AB61" s="143">
        <f t="shared" si="39"/>
        <v>-632.23965640401047</v>
      </c>
      <c r="AC61" s="143">
        <f t="shared" si="39"/>
        <v>-448.12920212522033</v>
      </c>
      <c r="AD61" s="143">
        <f t="shared" si="39"/>
        <v>-117.5845600185074</v>
      </c>
      <c r="AE61" s="143">
        <f t="shared" si="39"/>
        <v>-293.82278806167858</v>
      </c>
      <c r="AF61" s="143">
        <f t="shared" si="39"/>
        <v>-702.2363516335522</v>
      </c>
      <c r="AG61" s="143">
        <f t="shared" si="39"/>
        <v>-765.85003066705758</v>
      </c>
      <c r="AH61" s="143">
        <f t="shared" si="39"/>
        <v>-844.44514931837818</v>
      </c>
      <c r="AI61" s="143">
        <f t="shared" si="39"/>
        <v>-827.3641294160185</v>
      </c>
      <c r="AJ61" s="143">
        <f t="shared" si="39"/>
        <v>-586.09443323121855</v>
      </c>
      <c r="AK61" s="143">
        <f t="shared" si="39"/>
        <v>-103.97963704427123</v>
      </c>
      <c r="AL61" s="143">
        <f t="shared" si="39"/>
        <v>12.387209492027926</v>
      </c>
      <c r="AM61" s="143">
        <f t="shared" si="39"/>
        <v>-277.39632042800099</v>
      </c>
      <c r="AN61" s="143">
        <f t="shared" si="39"/>
        <v>-209.53670005765377</v>
      </c>
      <c r="AO61" s="143">
        <f t="shared" si="39"/>
        <v>-189.34434258128374</v>
      </c>
      <c r="AP61" s="143">
        <f t="shared" si="39"/>
        <v>-165.00909063972401</v>
      </c>
      <c r="AQ61" s="143">
        <f t="shared" si="39"/>
        <v>-103.80675552270216</v>
      </c>
      <c r="AR61" s="143">
        <f t="shared" si="39"/>
        <v>-80.092018719721821</v>
      </c>
      <c r="AS61" s="143">
        <f t="shared" si="39"/>
        <v>-68.716924430453346</v>
      </c>
      <c r="AT61" s="143">
        <f t="shared" si="39"/>
        <v>-36.052638212035617</v>
      </c>
      <c r="AU61" s="143">
        <f t="shared" si="39"/>
        <v>-8.7072529844784778</v>
      </c>
      <c r="AV61" s="143">
        <f t="shared" ref="AV61:AX61" si="44">AV54*AV$57</f>
        <v>16.579840738995202</v>
      </c>
      <c r="AW61" s="143">
        <f t="shared" si="44"/>
        <v>52.878725054422929</v>
      </c>
      <c r="AX61" s="155">
        <f t="shared" si="44"/>
        <v>79.893181286538351</v>
      </c>
    </row>
    <row r="62" spans="1:50" ht="15.75" thickBot="1" x14ac:dyDescent="0.3">
      <c r="A62" s="76" t="s">
        <v>7</v>
      </c>
      <c r="B62" s="116">
        <f t="shared" si="41"/>
        <v>71.909582190733545</v>
      </c>
      <c r="C62" s="120">
        <f t="shared" si="41"/>
        <v>0</v>
      </c>
      <c r="D62" s="120">
        <f t="shared" si="41"/>
        <v>-19.964408907262882</v>
      </c>
      <c r="E62" s="120">
        <f t="shared" si="41"/>
        <v>-35.070271817689715</v>
      </c>
      <c r="F62" s="120">
        <f t="shared" si="41"/>
        <v>-36.753871664125967</v>
      </c>
      <c r="G62" s="120">
        <f t="shared" si="41"/>
        <v>-273.53334265536336</v>
      </c>
      <c r="H62" s="120">
        <f t="shared" si="41"/>
        <v>-48.574660760283422</v>
      </c>
      <c r="I62" s="120">
        <f t="shared" si="41"/>
        <v>-411.6254493901655</v>
      </c>
      <c r="J62" s="120">
        <f t="shared" si="41"/>
        <v>-434.35599372772913</v>
      </c>
      <c r="K62" s="120">
        <f t="shared" si="39"/>
        <v>-338.93132675700491</v>
      </c>
      <c r="L62" s="143">
        <f t="shared" si="39"/>
        <v>-319.08030702123</v>
      </c>
      <c r="M62" s="143">
        <f t="shared" si="39"/>
        <v>-449.84944306036493</v>
      </c>
      <c r="N62" s="143">
        <f t="shared" si="39"/>
        <v>-631.64809196938302</v>
      </c>
      <c r="O62" s="143">
        <f t="shared" si="39"/>
        <v>-542.88194148721368</v>
      </c>
      <c r="P62" s="143">
        <f t="shared" si="39"/>
        <v>-391.7204619318918</v>
      </c>
      <c r="Q62" s="143">
        <f t="shared" si="39"/>
        <v>-351.91268063001871</v>
      </c>
      <c r="R62" s="143">
        <f t="shared" si="39"/>
        <v>-299.07929335000551</v>
      </c>
      <c r="S62" s="143">
        <f t="shared" si="39"/>
        <v>-281.05571525677016</v>
      </c>
      <c r="T62" s="143">
        <f t="shared" si="39"/>
        <v>-260.94536134806037</v>
      </c>
      <c r="U62" s="143">
        <f t="shared" si="39"/>
        <v>-272.98221613456394</v>
      </c>
      <c r="V62" s="143">
        <f t="shared" si="39"/>
        <v>-213.49340309775789</v>
      </c>
      <c r="W62" s="164">
        <f t="shared" si="39"/>
        <v>-196.207795540467</v>
      </c>
      <c r="X62" s="143">
        <f t="shared" si="39"/>
        <v>-212.68543529870962</v>
      </c>
      <c r="Y62" s="143">
        <f t="shared" si="39"/>
        <v>-254.04154295832964</v>
      </c>
      <c r="Z62" s="143">
        <f t="shared" si="39"/>
        <v>-333.16213927498325</v>
      </c>
      <c r="AA62" s="143">
        <f t="shared" si="39"/>
        <v>-352.56553115234237</v>
      </c>
      <c r="AB62" s="143">
        <f t="shared" si="39"/>
        <v>-357.01482353933267</v>
      </c>
      <c r="AC62" s="143">
        <f t="shared" si="39"/>
        <v>-253.12433771112711</v>
      </c>
      <c r="AD62" s="143">
        <f t="shared" si="39"/>
        <v>-66.668818426891377</v>
      </c>
      <c r="AE62" s="143">
        <f t="shared" si="39"/>
        <v>-165.46806548153256</v>
      </c>
      <c r="AF62" s="143">
        <f t="shared" si="39"/>
        <v>-393.10302820674173</v>
      </c>
      <c r="AG62" s="143">
        <f t="shared" si="39"/>
        <v>-426.83064712883629</v>
      </c>
      <c r="AH62" s="143">
        <f t="shared" si="39"/>
        <v>-465.98337804003188</v>
      </c>
      <c r="AI62" s="143">
        <f t="shared" si="39"/>
        <v>-433.59120752337333</v>
      </c>
      <c r="AJ62" s="143">
        <f t="shared" si="39"/>
        <v>-298.94713254492541</v>
      </c>
      <c r="AK62" s="143">
        <f t="shared" si="39"/>
        <v>-46.138891498104428</v>
      </c>
      <c r="AL62" s="143">
        <f t="shared" si="39"/>
        <v>10.338540079084606</v>
      </c>
      <c r="AM62" s="143">
        <f t="shared" si="39"/>
        <v>-199.28951978426079</v>
      </c>
      <c r="AN62" s="143">
        <f t="shared" si="39"/>
        <v>-163.54645509753246</v>
      </c>
      <c r="AO62" s="143">
        <f t="shared" si="39"/>
        <v>-159.31734413342335</v>
      </c>
      <c r="AP62" s="143">
        <f t="shared" si="39"/>
        <v>-153.34837693208311</v>
      </c>
      <c r="AQ62" s="143">
        <f t="shared" si="39"/>
        <v>-114.04280227374376</v>
      </c>
      <c r="AR62" s="143">
        <f t="shared" si="39"/>
        <v>-107.18880765484175</v>
      </c>
      <c r="AS62" s="143">
        <f t="shared" si="39"/>
        <v>-121.25649816498515</v>
      </c>
      <c r="AT62" s="143">
        <f t="shared" si="39"/>
        <v>-109.41420049052891</v>
      </c>
      <c r="AU62" s="143">
        <f t="shared" si="39"/>
        <v>-100.71331006825596</v>
      </c>
      <c r="AV62" s="143">
        <f t="shared" ref="AV62:AX62" si="45">AV55*AV$57</f>
        <v>-93.225980802826442</v>
      </c>
      <c r="AW62" s="143">
        <f t="shared" si="45"/>
        <v>-107.900989382836</v>
      </c>
      <c r="AX62" s="155">
        <f t="shared" si="45"/>
        <v>-92.152292731409872</v>
      </c>
    </row>
    <row r="63" spans="1:50" ht="16.5" thickTop="1" thickBot="1" x14ac:dyDescent="0.3">
      <c r="A63" s="132" t="s">
        <v>75</v>
      </c>
      <c r="B63" s="136">
        <f>SUM(B58:B62)+SUM(B51:B55)-B66</f>
        <v>0</v>
      </c>
      <c r="C63" s="137">
        <f t="shared" ref="C63:J63" si="46">SUM(C58:C62)+SUM(C51:C55)-C66</f>
        <v>0</v>
      </c>
      <c r="D63" s="137">
        <f t="shared" si="46"/>
        <v>0</v>
      </c>
      <c r="E63" s="137">
        <f t="shared" si="46"/>
        <v>0</v>
      </c>
      <c r="F63" s="137">
        <f t="shared" si="46"/>
        <v>0</v>
      </c>
      <c r="G63" s="137">
        <f t="shared" si="46"/>
        <v>0</v>
      </c>
      <c r="H63" s="137">
        <f>SUM(H58:H62)+SUM(H51:H55)-H66</f>
        <v>0</v>
      </c>
      <c r="I63" s="137">
        <f t="shared" si="46"/>
        <v>0</v>
      </c>
      <c r="J63" s="137">
        <f t="shared" si="46"/>
        <v>0</v>
      </c>
      <c r="K63" s="137">
        <f t="shared" ref="K63:S63" si="47">SUM(K58:K62)+SUM(K51:K55)-K66</f>
        <v>0</v>
      </c>
      <c r="L63" s="134">
        <f t="shared" si="47"/>
        <v>0</v>
      </c>
      <c r="M63" s="134">
        <f t="shared" si="47"/>
        <v>0</v>
      </c>
      <c r="N63" s="134">
        <f t="shared" si="47"/>
        <v>0</v>
      </c>
      <c r="O63" s="134">
        <f t="shared" si="47"/>
        <v>0</v>
      </c>
      <c r="P63" s="134">
        <f t="shared" si="47"/>
        <v>0</v>
      </c>
      <c r="Q63" s="134">
        <f t="shared" si="47"/>
        <v>0</v>
      </c>
      <c r="R63" s="134">
        <f t="shared" si="47"/>
        <v>0</v>
      </c>
      <c r="S63" s="134">
        <f t="shared" si="47"/>
        <v>0</v>
      </c>
      <c r="T63" s="134">
        <f t="shared" ref="T63:AH63" si="48">SUM(T58:T62)+SUM(T51:T55)-T66</f>
        <v>0</v>
      </c>
      <c r="U63" s="134">
        <f t="shared" si="48"/>
        <v>0</v>
      </c>
      <c r="V63" s="134">
        <f t="shared" si="48"/>
        <v>0</v>
      </c>
      <c r="W63" s="170">
        <f t="shared" si="48"/>
        <v>0</v>
      </c>
      <c r="X63" s="170">
        <f t="shared" si="48"/>
        <v>0</v>
      </c>
      <c r="Y63" s="170">
        <f t="shared" si="48"/>
        <v>0</v>
      </c>
      <c r="Z63" s="170">
        <f t="shared" si="48"/>
        <v>0</v>
      </c>
      <c r="AA63" s="170">
        <f t="shared" si="48"/>
        <v>0</v>
      </c>
      <c r="AB63" s="170">
        <f t="shared" si="48"/>
        <v>0</v>
      </c>
      <c r="AC63" s="170">
        <f t="shared" si="48"/>
        <v>0</v>
      </c>
      <c r="AD63" s="170">
        <f t="shared" si="48"/>
        <v>0</v>
      </c>
      <c r="AE63" s="170">
        <f t="shared" si="48"/>
        <v>0</v>
      </c>
      <c r="AF63" s="170">
        <f t="shared" si="48"/>
        <v>0</v>
      </c>
      <c r="AG63" s="170">
        <f t="shared" si="48"/>
        <v>0</v>
      </c>
      <c r="AH63" s="170">
        <f t="shared" si="48"/>
        <v>0</v>
      </c>
      <c r="AI63" s="170">
        <f>SUM(AI58:AI62)+SUM(AI51:AI55)-AI66</f>
        <v>0</v>
      </c>
      <c r="AJ63" s="170">
        <f t="shared" ref="AJ63:AU63" si="49">SUM(AJ58:AJ62)+SUM(AJ51:AJ55)-AJ66</f>
        <v>0</v>
      </c>
      <c r="AK63" s="170">
        <f t="shared" si="49"/>
        <v>7.4505805969238281E-9</v>
      </c>
      <c r="AL63" s="170">
        <f t="shared" si="49"/>
        <v>8.3819031715393066E-9</v>
      </c>
      <c r="AM63" s="170">
        <f t="shared" si="49"/>
        <v>0</v>
      </c>
      <c r="AN63" s="170">
        <f t="shared" si="49"/>
        <v>9.3132257461547852E-9</v>
      </c>
      <c r="AO63" s="170">
        <f t="shared" si="49"/>
        <v>9.3132257461547852E-9</v>
      </c>
      <c r="AP63" s="170">
        <f t="shared" si="49"/>
        <v>7.4505805969238281E-9</v>
      </c>
      <c r="AQ63" s="170">
        <f t="shared" si="49"/>
        <v>8.3819031715393066E-9</v>
      </c>
      <c r="AR63" s="170">
        <f t="shared" si="49"/>
        <v>8.8475644588470459E-9</v>
      </c>
      <c r="AS63" s="170">
        <f t="shared" si="49"/>
        <v>8.3819031715393066E-9</v>
      </c>
      <c r="AT63" s="170">
        <f t="shared" si="49"/>
        <v>8.8475644588470459E-9</v>
      </c>
      <c r="AU63" s="170">
        <f t="shared" si="49"/>
        <v>9.0221874415874481E-9</v>
      </c>
      <c r="AV63" s="170">
        <f t="shared" ref="AV63:AW63" si="50">SUM(AV58:AV62)+SUM(AV51:AV55)-AV66</f>
        <v>9.0803951025009155E-9</v>
      </c>
      <c r="AW63" s="170">
        <f t="shared" si="50"/>
        <v>9.3132257461547852E-9</v>
      </c>
      <c r="AX63" s="135">
        <f>SUM(AX58:AX62)+SUM(AX51:AX55)-AX66</f>
        <v>9.7788870334625244E-9</v>
      </c>
    </row>
    <row r="64" spans="1:50" ht="16.5" thickTop="1" thickBot="1" x14ac:dyDescent="0.3">
      <c r="A64" s="132" t="s">
        <v>76</v>
      </c>
      <c r="B64" s="136">
        <f>SUM(B58:B62)-B41</f>
        <v>-176.85702217797495</v>
      </c>
      <c r="C64" s="137">
        <f>SUM(C58:C62)-C41</f>
        <v>3539.64</v>
      </c>
      <c r="D64" s="137">
        <f t="shared" ref="D64:J64" si="51">SUM(D58:D62)-D41</f>
        <v>2392.5488369733366</v>
      </c>
      <c r="E64" s="137">
        <f t="shared" si="51"/>
        <v>7799.0857804280386</v>
      </c>
      <c r="F64" s="137">
        <f t="shared" si="51"/>
        <v>4294.1893028196419</v>
      </c>
      <c r="G64" s="137">
        <f>SUM(G58:G62)-G41</f>
        <v>-17849.307956825909</v>
      </c>
      <c r="H64" s="137">
        <f t="shared" si="51"/>
        <v>6.9479503549043784</v>
      </c>
      <c r="I64" s="137">
        <f t="shared" si="51"/>
        <v>-6.9544721285110427</v>
      </c>
      <c r="J64" s="137">
        <f t="shared" si="51"/>
        <v>2.0093414350412786E-3</v>
      </c>
      <c r="K64" s="137">
        <f t="shared" ref="K64:AF64" si="52">SUM(K58:K62)-K41</f>
        <v>4.6967761818450526E-4</v>
      </c>
      <c r="L64" s="137">
        <f t="shared" si="52"/>
        <v>0.15456604562814391</v>
      </c>
      <c r="M64" s="134">
        <f t="shared" si="52"/>
        <v>-1.4744802865607198E-4</v>
      </c>
      <c r="N64" s="134">
        <f t="shared" si="52"/>
        <v>1.5333303590523428E-3</v>
      </c>
      <c r="O64" s="134">
        <f t="shared" si="52"/>
        <v>-1.1573418059924734E-3</v>
      </c>
      <c r="P64" s="134">
        <f t="shared" si="52"/>
        <v>-4.0984383504110156E-3</v>
      </c>
      <c r="Q64" s="134">
        <f>SUM(Q58:Q62)-Q41</f>
        <v>4.7425678753825196E-3</v>
      </c>
      <c r="R64" s="134">
        <f t="shared" si="52"/>
        <v>-4.5037937447887089E-3</v>
      </c>
      <c r="S64" s="134">
        <f t="shared" si="52"/>
        <v>-5.0313633623773057E-3</v>
      </c>
      <c r="T64" s="134">
        <f t="shared" si="52"/>
        <v>-1.6875630549293419E-3</v>
      </c>
      <c r="U64" s="134">
        <f t="shared" si="52"/>
        <v>-2.4269455884677882E-3</v>
      </c>
      <c r="V64" s="134">
        <f t="shared" si="52"/>
        <v>-2.5248482520510152E-3</v>
      </c>
      <c r="W64" s="170">
        <f t="shared" si="52"/>
        <v>2.0855728253081907E-3</v>
      </c>
      <c r="X64" s="170">
        <f t="shared" si="52"/>
        <v>1.9046881830036E-3</v>
      </c>
      <c r="Y64" s="170">
        <f t="shared" si="52"/>
        <v>4.418895947310375E-3</v>
      </c>
      <c r="Z64" s="170">
        <f t="shared" si="52"/>
        <v>-9.6430728126506438E-4</v>
      </c>
      <c r="AA64" s="170">
        <f t="shared" si="52"/>
        <v>4.6472570575133432E-3</v>
      </c>
      <c r="AB64" s="170">
        <f t="shared" si="52"/>
        <v>-3.0888685050740605E-3</v>
      </c>
      <c r="AC64" s="170">
        <f t="shared" si="52"/>
        <v>-2.6250950759276748E-3</v>
      </c>
      <c r="AD64" s="170">
        <f t="shared" si="52"/>
        <v>-2.2356061176651565E-3</v>
      </c>
      <c r="AE64" s="170">
        <f t="shared" si="52"/>
        <v>1.9821441637759563E-3</v>
      </c>
      <c r="AF64" s="170">
        <f t="shared" si="52"/>
        <v>-3.3452064017183147E-3</v>
      </c>
      <c r="AG64" s="170">
        <f>SUM(AG58:AG62)-AG41</f>
        <v>5.4164867287909146E-4</v>
      </c>
      <c r="AH64" s="170">
        <f>SUM(AH58:AH62)-AH41</f>
        <v>2.9505479060389916E-3</v>
      </c>
      <c r="AI64" s="170">
        <f>SUM(AI58:AI62)-AI41</f>
        <v>-2.9275062624947168E-3</v>
      </c>
      <c r="AJ64" s="170">
        <f t="shared" ref="AJ64:AT64" si="53">SUM(AJ58:AJ62)-AJ41</f>
        <v>-4.9400732768845046E-3</v>
      </c>
      <c r="AK64" s="170">
        <f t="shared" si="53"/>
        <v>-3.6833097719863872E-3</v>
      </c>
      <c r="AL64" s="170">
        <f t="shared" si="53"/>
        <v>-4.4472598628999549E-3</v>
      </c>
      <c r="AM64" s="170">
        <f t="shared" si="53"/>
        <v>-3.1185055813693907E-3</v>
      </c>
      <c r="AN64" s="170">
        <f t="shared" si="53"/>
        <v>4.5829228256479837E-3</v>
      </c>
      <c r="AO64" s="170">
        <f t="shared" si="53"/>
        <v>-2.5762413333723089E-3</v>
      </c>
      <c r="AP64" s="170">
        <f t="shared" si="53"/>
        <v>9.4527039709646488E-4</v>
      </c>
      <c r="AQ64" s="170">
        <f t="shared" si="53"/>
        <v>-2.0107211776121403E-3</v>
      </c>
      <c r="AR64" s="170">
        <f t="shared" si="53"/>
        <v>-7.8809014621583628E-4</v>
      </c>
      <c r="AS64" s="170">
        <f t="shared" si="53"/>
        <v>-3.7375741310370358E-3</v>
      </c>
      <c r="AT64" s="170">
        <f t="shared" si="53"/>
        <v>3.9446514681458211E-3</v>
      </c>
      <c r="AU64" s="170">
        <f>SUM(AU58:AU62)-AU41</f>
        <v>-1.1408450907310907E-3</v>
      </c>
      <c r="AV64" s="170">
        <f t="shared" ref="AV64:AW64" si="54">SUM(AV58:AV62)-AV41</f>
        <v>1.2937607493768155E-5</v>
      </c>
      <c r="AW64" s="170">
        <f t="shared" si="54"/>
        <v>1.6301284176734043E-5</v>
      </c>
      <c r="AX64" s="135">
        <f>SUM(AX58:AX62)-AX41</f>
        <v>1.5259675137713202E-5</v>
      </c>
    </row>
    <row r="65" spans="1:50" ht="15.75" thickTop="1" x14ac:dyDescent="0.25">
      <c r="B65" s="105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276"/>
    </row>
    <row r="66" spans="1:50" x14ac:dyDescent="0.25">
      <c r="A66" s="76" t="s">
        <v>77</v>
      </c>
      <c r="B66" s="116">
        <f>(SUM(B15:B18)-SUM(B35:B39))+SUM(B58:B62)+A68</f>
        <v>411000.81297782238</v>
      </c>
      <c r="C66" s="120">
        <f t="shared" ref="C66:Y66" si="55">(SUM(C15:C18)-SUM(C35:C39))+SUM(C58:C62)+B66</f>
        <v>-2722980.6670221779</v>
      </c>
      <c r="D66" s="120">
        <f t="shared" si="55"/>
        <v>-5256809.7381852046</v>
      </c>
      <c r="E66" s="120">
        <f t="shared" si="55"/>
        <v>-6673410.5224047769</v>
      </c>
      <c r="F66" s="120">
        <f t="shared" si="55"/>
        <v>-6866390.9031019574</v>
      </c>
      <c r="G66" s="120">
        <f t="shared" si="55"/>
        <v>-8256569.3210587827</v>
      </c>
      <c r="H66" s="120">
        <f t="shared" si="55"/>
        <v>-9742889.1531084273</v>
      </c>
      <c r="I66" s="120">
        <f t="shared" si="55"/>
        <v>-10741412.457580555</v>
      </c>
      <c r="J66" s="120">
        <f t="shared" si="55"/>
        <v>-11924993.855571214</v>
      </c>
      <c r="K66" s="120">
        <f t="shared" si="55"/>
        <v>-12364183.765101537</v>
      </c>
      <c r="L66" s="120">
        <f t="shared" si="55"/>
        <v>-12845088.560535492</v>
      </c>
      <c r="M66" s="120">
        <f t="shared" si="55"/>
        <v>-12351975.420682941</v>
      </c>
      <c r="N66" s="120">
        <f t="shared" si="55"/>
        <v>-14554645.86914961</v>
      </c>
      <c r="O66" s="120">
        <f t="shared" si="55"/>
        <v>-16292486.270306952</v>
      </c>
      <c r="P66" s="120">
        <f t="shared" si="55"/>
        <v>-15593242.654405391</v>
      </c>
      <c r="Q66" s="120">
        <f t="shared" si="55"/>
        <v>-14614846.499662824</v>
      </c>
      <c r="R66" s="120">
        <f t="shared" si="55"/>
        <v>-12926583.314166619</v>
      </c>
      <c r="S66" s="120">
        <f t="shared" si="55"/>
        <v>-11481175.629197981</v>
      </c>
      <c r="T66" s="120">
        <f t="shared" si="55"/>
        <v>-10532089.470885543</v>
      </c>
      <c r="U66" s="120">
        <f t="shared" si="55"/>
        <v>-10490064.863312488</v>
      </c>
      <c r="V66" s="120">
        <f t="shared" si="55"/>
        <v>-9629809.8658373374</v>
      </c>
      <c r="W66" s="117">
        <f t="shared" si="55"/>
        <v>-8505293.6137517635</v>
      </c>
      <c r="X66" s="120">
        <f t="shared" si="55"/>
        <v>-7561543.8918470759</v>
      </c>
      <c r="Y66" s="120">
        <f t="shared" si="55"/>
        <v>-7621438.2274281802</v>
      </c>
      <c r="Z66" s="120">
        <f t="shared" ref="Z66:AH66" si="56">(SUM(Z15:Z18)-SUM(Z35:Z39))+SUM(Z58:Z62)+Y66</f>
        <v>-9037394.8183924872</v>
      </c>
      <c r="AA66" s="120">
        <f t="shared" si="56"/>
        <v>-13282415.753745232</v>
      </c>
      <c r="AB66" s="120">
        <f t="shared" si="56"/>
        <v>-15615795.976834102</v>
      </c>
      <c r="AC66" s="120">
        <f t="shared" si="56"/>
        <v>-15836589.759459198</v>
      </c>
      <c r="AD66" s="120">
        <f t="shared" si="56"/>
        <v>-14971443.781694803</v>
      </c>
      <c r="AE66" s="120">
        <f t="shared" si="56"/>
        <v>-16211780.349712659</v>
      </c>
      <c r="AF66" s="120">
        <f t="shared" si="56"/>
        <v>-17221303.283057865</v>
      </c>
      <c r="AG66" s="120">
        <f t="shared" si="56"/>
        <v>-16925124.362516217</v>
      </c>
      <c r="AH66" s="120">
        <f t="shared" si="56"/>
        <v>-17906227.159565669</v>
      </c>
      <c r="AI66" s="120">
        <f>(SUM(AI15:AI18)-SUM(AI35:AI39))+SUM(AI58:AI62)+AH66</f>
        <v>-17497837.712493174</v>
      </c>
      <c r="AJ66" s="120">
        <f t="shared" ref="AJ66:AT66" si="57">(SUM(AJ15:AJ18)-SUM(AJ35:AJ39))+SUM(AJ58:AJ62)+AI66</f>
        <v>-14699256.907433249</v>
      </c>
      <c r="AK66" s="120">
        <f t="shared" si="57"/>
        <v>-6491289.7011165582</v>
      </c>
      <c r="AL66" s="120">
        <f t="shared" si="57"/>
        <v>-8299808.0255638184</v>
      </c>
      <c r="AM66" s="120">
        <f t="shared" si="57"/>
        <v>-9271999.9186823238</v>
      </c>
      <c r="AN66" s="120">
        <f t="shared" si="57"/>
        <v>-8115134.9840994012</v>
      </c>
      <c r="AO66" s="120">
        <f t="shared" si="57"/>
        <v>-7353459.3066756427</v>
      </c>
      <c r="AP66" s="120">
        <f t="shared" si="57"/>
        <v>-6578549.7357303724</v>
      </c>
      <c r="AQ66" s="120">
        <f t="shared" si="57"/>
        <v>-5400734.7477410939</v>
      </c>
      <c r="AR66" s="120">
        <f t="shared" si="57"/>
        <v>-4055025.4485291839</v>
      </c>
      <c r="AS66" s="120">
        <f t="shared" si="57"/>
        <v>-2694307.8022667579</v>
      </c>
      <c r="AT66" s="120">
        <f t="shared" si="57"/>
        <v>-1437161.9283221066</v>
      </c>
      <c r="AU66" s="120">
        <f>(SUM(AU15:AU18)-SUM(AU35:AU39))+SUM(AU58:AU62)+AT66</f>
        <v>-489612.83946295164</v>
      </c>
      <c r="AV66" s="120">
        <f t="shared" ref="AV66:AW66" si="58">(SUM(AV15:AV18)-SUM(AV35:AV39))+SUM(AV58:AV62)+AU66</f>
        <v>296306.55477194744</v>
      </c>
      <c r="AW66" s="120">
        <f t="shared" si="58"/>
        <v>1404631.9377894704</v>
      </c>
      <c r="AX66" s="121">
        <f>(SUM(AX15:AX18)-SUM(AX35:AX39))+SUM(AX58:AX62)+AW66</f>
        <v>2696725.7563353125</v>
      </c>
    </row>
    <row r="67" spans="1:50" x14ac:dyDescent="0.25">
      <c r="A67" s="76" t="s">
        <v>78</v>
      </c>
      <c r="B67" s="105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7"/>
    </row>
    <row r="68" spans="1:50" ht="15.75" thickBot="1" x14ac:dyDescent="0.3">
      <c r="A68" s="109">
        <v>0</v>
      </c>
      <c r="B68" s="157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278"/>
    </row>
    <row r="69" spans="1:50" x14ac:dyDescent="0.25">
      <c r="B69" s="49"/>
    </row>
    <row r="70" spans="1:50" s="50" customFormat="1" x14ac:dyDescent="0.25">
      <c r="B70" s="171"/>
      <c r="C70" s="172"/>
      <c r="D70" s="172"/>
      <c r="E70" s="172"/>
      <c r="F70" s="172"/>
      <c r="G70" s="172"/>
      <c r="H70" s="172"/>
      <c r="I70" s="172"/>
      <c r="J70" s="172"/>
      <c r="K70" s="172"/>
      <c r="AO70" s="199"/>
      <c r="AP70" s="199"/>
      <c r="AQ70" s="200"/>
      <c r="AR70" s="200"/>
      <c r="AS70" s="200"/>
      <c r="AT70" s="200"/>
    </row>
    <row r="71" spans="1:50" s="50" customFormat="1" x14ac:dyDescent="0.25"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172"/>
      <c r="AM71" s="172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</row>
    <row r="72" spans="1:50" s="50" customFormat="1" x14ac:dyDescent="0.25">
      <c r="C72" s="174"/>
      <c r="D72" s="174"/>
      <c r="E72" s="174"/>
      <c r="F72" s="174"/>
      <c r="G72" s="174"/>
      <c r="H72" s="174"/>
    </row>
    <row r="73" spans="1:50" s="50" customFormat="1" x14ac:dyDescent="0.25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</row>
    <row r="76" spans="1:50" x14ac:dyDescent="0.25">
      <c r="C76" s="56"/>
      <c r="D76" s="56"/>
      <c r="E76" s="56"/>
      <c r="F76" s="56"/>
      <c r="G76" s="56"/>
      <c r="H76" s="5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56"/>
  <sheetViews>
    <sheetView workbookViewId="0">
      <selection activeCell="B8" sqref="B8"/>
    </sheetView>
  </sheetViews>
  <sheetFormatPr defaultRowHeight="15" x14ac:dyDescent="0.25"/>
  <cols>
    <col min="1" max="1" width="17.5703125" customWidth="1"/>
    <col min="2" max="2" width="23.7109375" customWidth="1"/>
    <col min="3" max="3" width="15.140625" customWidth="1"/>
    <col min="4" max="4" width="16.140625" customWidth="1"/>
    <col min="5" max="5" width="13.85546875" bestFit="1" customWidth="1"/>
  </cols>
  <sheetData>
    <row r="1" spans="1:10" x14ac:dyDescent="0.25">
      <c r="A1" s="8" t="s">
        <v>139</v>
      </c>
      <c r="D1" s="50"/>
    </row>
    <row r="2" spans="1:10" x14ac:dyDescent="0.25">
      <c r="B2" s="79" t="s">
        <v>64</v>
      </c>
      <c r="C2" s="79"/>
      <c r="E2" s="58" t="s">
        <v>27</v>
      </c>
      <c r="F2" s="50"/>
      <c r="G2" s="50"/>
      <c r="H2" s="50"/>
      <c r="I2" s="50"/>
      <c r="J2" s="50"/>
    </row>
    <row r="3" spans="1:10" x14ac:dyDescent="0.25">
      <c r="B3" s="6" t="s">
        <v>66</v>
      </c>
      <c r="E3" s="58" t="s">
        <v>65</v>
      </c>
      <c r="F3" s="50"/>
    </row>
    <row r="4" spans="1:10" x14ac:dyDescent="0.25">
      <c r="A4" s="22" t="s">
        <v>0</v>
      </c>
      <c r="B4" s="46">
        <v>13654373.137017023</v>
      </c>
      <c r="C4" s="4"/>
      <c r="F4" s="50"/>
      <c r="G4" s="50"/>
      <c r="H4" s="50"/>
      <c r="I4" s="50"/>
      <c r="J4" s="50"/>
    </row>
    <row r="5" spans="1:10" x14ac:dyDescent="0.25">
      <c r="A5" s="22" t="s">
        <v>4</v>
      </c>
      <c r="B5" s="46">
        <v>3515231.985125971</v>
      </c>
      <c r="E5" s="3"/>
    </row>
    <row r="6" spans="1:10" x14ac:dyDescent="0.25">
      <c r="A6" s="22" t="s">
        <v>5</v>
      </c>
      <c r="B6" s="46">
        <v>7471180.8360461993</v>
      </c>
      <c r="C6" s="4"/>
      <c r="E6" s="3"/>
    </row>
    <row r="7" spans="1:10" x14ac:dyDescent="0.25">
      <c r="A7" s="22" t="s">
        <v>6</v>
      </c>
      <c r="B7" s="46">
        <v>3781631.6206520419</v>
      </c>
      <c r="C7" s="4"/>
    </row>
    <row r="8" spans="1:10" ht="15.75" thickBot="1" x14ac:dyDescent="0.3">
      <c r="A8" s="22" t="s">
        <v>7</v>
      </c>
      <c r="B8" s="46">
        <v>617675.58115876885</v>
      </c>
      <c r="C8" s="4"/>
    </row>
    <row r="9" spans="1:10" ht="16.5" thickTop="1" thickBot="1" x14ac:dyDescent="0.3">
      <c r="A9" s="77" t="s">
        <v>9</v>
      </c>
      <c r="B9" s="71">
        <f>SUM(B4:B8)</f>
        <v>29040093.160000004</v>
      </c>
      <c r="C9" s="4"/>
    </row>
    <row r="10" spans="1:10" ht="15.75" thickTop="1" x14ac:dyDescent="0.25">
      <c r="C10" s="4"/>
      <c r="D10" s="56"/>
    </row>
    <row r="11" spans="1:10" x14ac:dyDescent="0.25">
      <c r="C11" s="4"/>
    </row>
    <row r="12" spans="1:10" x14ac:dyDescent="0.25">
      <c r="C12" s="4"/>
      <c r="D12" s="4"/>
    </row>
    <row r="13" spans="1:10" x14ac:dyDescent="0.25">
      <c r="D13" s="4"/>
    </row>
    <row r="17" spans="5:27" x14ac:dyDescent="0.25">
      <c r="R17" s="1"/>
      <c r="S17" s="1"/>
      <c r="T17" s="1"/>
      <c r="U17" s="1"/>
      <c r="V17" s="1"/>
      <c r="W17" s="1"/>
      <c r="X17" s="1"/>
      <c r="Y17" s="1"/>
      <c r="Z17" s="1"/>
      <c r="AA17" s="1"/>
    </row>
    <row r="25" spans="5:27" x14ac:dyDescent="0.25">
      <c r="E25" s="59"/>
    </row>
    <row r="47" spans="2:2" x14ac:dyDescent="0.25">
      <c r="B47" s="7"/>
    </row>
    <row r="51" spans="2:4" x14ac:dyDescent="0.25">
      <c r="B51" s="7"/>
      <c r="D51" s="7"/>
    </row>
    <row r="52" spans="2:4" x14ac:dyDescent="0.25">
      <c r="C52" s="7"/>
    </row>
    <row r="55" spans="2:4" x14ac:dyDescent="0.25">
      <c r="D55" s="7"/>
    </row>
    <row r="56" spans="2:4" x14ac:dyDescent="0.25">
      <c r="C56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2:AK75"/>
  <sheetViews>
    <sheetView zoomScaleNormal="100" workbookViewId="0">
      <pane xSplit="1" ySplit="14" topLeftCell="B48" activePane="bottomRight" state="frozen"/>
      <selection pane="topRight" activeCell="B1" sqref="B1"/>
      <selection pane="bottomLeft" activeCell="A15" sqref="A15"/>
      <selection pane="bottomRight" activeCell="X67" sqref="X67"/>
    </sheetView>
  </sheetViews>
  <sheetFormatPr defaultColWidth="9.140625" defaultRowHeight="15" x14ac:dyDescent="0.25"/>
  <cols>
    <col min="1" max="1" width="17.5703125" style="76" customWidth="1"/>
    <col min="2" max="2" width="16" style="76" customWidth="1"/>
    <col min="3" max="3" width="14.5703125" style="76" customWidth="1"/>
    <col min="4" max="4" width="15.140625" style="76" customWidth="1"/>
    <col min="5" max="5" width="16.140625" style="76" customWidth="1"/>
    <col min="6" max="6" width="14.28515625" style="76" bestFit="1" customWidth="1"/>
    <col min="7" max="7" width="16" style="76" customWidth="1"/>
    <col min="8" max="9" width="14.28515625" style="76" bestFit="1" customWidth="1"/>
    <col min="10" max="10" width="15.5703125" style="76" customWidth="1"/>
    <col min="11" max="11" width="14" style="76" customWidth="1"/>
    <col min="12" max="23" width="14" style="223" customWidth="1"/>
    <col min="24" max="27" width="17.28515625" style="76" customWidth="1"/>
    <col min="28" max="16384" width="9.140625" style="76"/>
  </cols>
  <sheetData>
    <row r="2" spans="1:37" x14ac:dyDescent="0.25">
      <c r="B2" s="244" t="s">
        <v>131</v>
      </c>
      <c r="E2" s="223"/>
      <c r="I2" s="3" t="s">
        <v>27</v>
      </c>
      <c r="L2" s="76"/>
      <c r="X2" s="223"/>
    </row>
    <row r="3" spans="1:37" x14ac:dyDescent="0.25">
      <c r="B3" s="287" t="s">
        <v>159</v>
      </c>
      <c r="C3" s="89" t="s">
        <v>68</v>
      </c>
      <c r="D3" s="89" t="s">
        <v>80</v>
      </c>
      <c r="E3" s="243" t="s">
        <v>95</v>
      </c>
      <c r="F3" s="89" t="s">
        <v>69</v>
      </c>
      <c r="G3" s="89" t="s">
        <v>70</v>
      </c>
      <c r="I3" s="58" t="s">
        <v>94</v>
      </c>
      <c r="J3" s="50"/>
      <c r="K3" s="50"/>
      <c r="L3" s="76"/>
      <c r="X3" s="223"/>
    </row>
    <row r="4" spans="1:37" x14ac:dyDescent="0.25">
      <c r="A4" s="77" t="s">
        <v>0</v>
      </c>
      <c r="B4" s="24">
        <f>+N66</f>
        <v>7611904.5234541874</v>
      </c>
      <c r="C4" s="24">
        <f>SUM(B29:Z29)</f>
        <v>17717050.927077577</v>
      </c>
      <c r="D4" s="24">
        <f>SUM(B15:Z15)</f>
        <v>9605428.4336229824</v>
      </c>
      <c r="E4" s="24">
        <f>B4-C4+D4</f>
        <v>-499717.97000040673</v>
      </c>
      <c r="F4" s="24">
        <f>SUM(B56:Z56)</f>
        <v>46921.089947447523</v>
      </c>
      <c r="G4" s="42">
        <f>E4+F4</f>
        <v>-452796.8800529592</v>
      </c>
      <c r="I4" s="3" t="s">
        <v>127</v>
      </c>
      <c r="J4" s="50"/>
      <c r="K4" s="50"/>
      <c r="L4" s="76"/>
      <c r="X4" s="223"/>
    </row>
    <row r="5" spans="1:37" x14ac:dyDescent="0.25">
      <c r="A5" s="77" t="s">
        <v>4</v>
      </c>
      <c r="B5" s="24">
        <f>+N67</f>
        <v>668388.03466751985</v>
      </c>
      <c r="C5" s="24">
        <f t="shared" ref="C5:C8" si="0">SUM(B30:Z30)</f>
        <v>1807866.8277232356</v>
      </c>
      <c r="D5" s="24">
        <f>SUM(B16:Z16)</f>
        <v>1386250.8421357744</v>
      </c>
      <c r="E5" s="24">
        <f t="shared" ref="E5:E8" si="1">B5-C5+D5</f>
        <v>246772.0490800587</v>
      </c>
      <c r="F5" s="24">
        <f>SUM(B57:Z57)</f>
        <v>4840.2887470780588</v>
      </c>
      <c r="G5" s="42">
        <f>E5+F5</f>
        <v>251612.33782713677</v>
      </c>
      <c r="I5" s="58" t="s">
        <v>128</v>
      </c>
      <c r="J5" s="50"/>
      <c r="K5" s="50"/>
      <c r="L5" s="76"/>
      <c r="X5" s="223"/>
    </row>
    <row r="6" spans="1:37" x14ac:dyDescent="0.25">
      <c r="A6" s="77" t="s">
        <v>5</v>
      </c>
      <c r="B6" s="24">
        <f>+N68</f>
        <v>905880.95458707912</v>
      </c>
      <c r="C6" s="24">
        <f t="shared" si="0"/>
        <v>4448151.0008035693</v>
      </c>
      <c r="D6" s="24">
        <f>SUM(B17:Z17)</f>
        <v>3031816.3545901799</v>
      </c>
      <c r="E6" s="24">
        <f t="shared" si="1"/>
        <v>-510453.69162631035</v>
      </c>
      <c r="F6" s="24">
        <f>SUM(B58:Z58)</f>
        <v>-1294.8848197616203</v>
      </c>
      <c r="G6" s="42">
        <f>E6+F6</f>
        <v>-511748.57644607197</v>
      </c>
      <c r="I6" s="58" t="s">
        <v>167</v>
      </c>
      <c r="J6" s="50"/>
      <c r="K6" s="50"/>
      <c r="L6" s="76"/>
      <c r="X6" s="223"/>
    </row>
    <row r="7" spans="1:37" x14ac:dyDescent="0.25">
      <c r="A7" s="77" t="s">
        <v>6</v>
      </c>
      <c r="B7" s="24">
        <f>+N69</f>
        <v>2477461.885016053</v>
      </c>
      <c r="C7" s="24">
        <f t="shared" si="0"/>
        <v>3849897.4912431892</v>
      </c>
      <c r="D7" s="24">
        <f>SUM(B18:Z18)</f>
        <v>1325769.6731253485</v>
      </c>
      <c r="E7" s="24">
        <f t="shared" si="1"/>
        <v>-46665.933101787698</v>
      </c>
      <c r="F7" s="24">
        <f>SUM(B59:Z59)</f>
        <v>11253.085874031216</v>
      </c>
      <c r="G7" s="42">
        <f>E7+F7</f>
        <v>-35412.84722775648</v>
      </c>
      <c r="I7" s="58" t="s">
        <v>86</v>
      </c>
      <c r="J7" s="50"/>
      <c r="K7" s="50"/>
      <c r="L7" s="76"/>
      <c r="X7" s="223"/>
    </row>
    <row r="8" spans="1:37" ht="15.75" thickBot="1" x14ac:dyDescent="0.3">
      <c r="A8" s="77" t="s">
        <v>7</v>
      </c>
      <c r="B8" s="24">
        <f>+N70</f>
        <v>1878286.3459755329</v>
      </c>
      <c r="C8" s="24">
        <f t="shared" si="0"/>
        <v>2504407.9157866179</v>
      </c>
      <c r="D8" s="24">
        <f>SUM(B19:Z19)</f>
        <v>242702.59652571366</v>
      </c>
      <c r="E8" s="24">
        <f t="shared" si="1"/>
        <v>-383418.97328537132</v>
      </c>
      <c r="F8" s="24">
        <f>SUM(B60:Z60)</f>
        <v>7245.3285169235405</v>
      </c>
      <c r="G8" s="42">
        <f>E8+F8</f>
        <v>-376173.64476844779</v>
      </c>
      <c r="I8" s="58" t="s">
        <v>125</v>
      </c>
      <c r="L8" s="76"/>
      <c r="X8" s="223"/>
    </row>
    <row r="9" spans="1:37" ht="16.5" thickTop="1" thickBot="1" x14ac:dyDescent="0.3">
      <c r="B9" s="91">
        <f t="shared" ref="B9:G9" si="2">SUM(B4:B8)</f>
        <v>13541921.743700374</v>
      </c>
      <c r="C9" s="91">
        <f t="shared" si="2"/>
        <v>30327374.162634186</v>
      </c>
      <c r="D9" s="91">
        <f t="shared" si="2"/>
        <v>15591967.899999999</v>
      </c>
      <c r="E9" s="91">
        <f t="shared" si="2"/>
        <v>-1193484.5189338173</v>
      </c>
      <c r="F9" s="91">
        <f t="shared" si="2"/>
        <v>68964.908265718725</v>
      </c>
      <c r="G9" s="91">
        <f t="shared" si="2"/>
        <v>-1124519.6106680988</v>
      </c>
      <c r="I9" s="58" t="s">
        <v>166</v>
      </c>
      <c r="L9" s="76"/>
      <c r="X9" s="223"/>
    </row>
    <row r="10" spans="1:37" ht="16.5" thickTop="1" thickBot="1" x14ac:dyDescent="0.3">
      <c r="B10" s="223"/>
      <c r="E10" s="39" t="s">
        <v>26</v>
      </c>
      <c r="F10" s="21">
        <f>F9-SUM(B39:Z39)</f>
        <v>-1.1091247855802067E-2</v>
      </c>
      <c r="J10" s="50"/>
      <c r="K10" s="50"/>
      <c r="L10" s="76"/>
      <c r="X10" s="223"/>
    </row>
    <row r="11" spans="1:37" ht="15.75" thickTop="1" x14ac:dyDescent="0.25">
      <c r="B11" s="223"/>
      <c r="F11" s="4"/>
      <c r="G11" s="4"/>
      <c r="L11" s="76"/>
      <c r="M11" s="76"/>
      <c r="X11" s="223"/>
      <c r="Y11" s="223"/>
    </row>
    <row r="12" spans="1:37" ht="15.75" thickBot="1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0"/>
      <c r="Y12" s="20"/>
    </row>
    <row r="13" spans="1:37" ht="15.75" thickBot="1" x14ac:dyDescent="0.3">
      <c r="B13" s="92"/>
      <c r="C13" s="93"/>
      <c r="D13" s="94" t="s">
        <v>93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333" t="s">
        <v>71</v>
      </c>
      <c r="Y13" s="334"/>
      <c r="Z13" s="335"/>
    </row>
    <row r="14" spans="1:37" x14ac:dyDescent="0.25">
      <c r="A14" s="76" t="s">
        <v>79</v>
      </c>
      <c r="B14" s="95">
        <v>42370</v>
      </c>
      <c r="C14" s="96">
        <f>EDATE(B14,1)</f>
        <v>42401</v>
      </c>
      <c r="D14" s="96">
        <f t="shared" ref="D14:Z14" si="3">EDATE(C14,1)</f>
        <v>42430</v>
      </c>
      <c r="E14" s="96">
        <f t="shared" si="3"/>
        <v>42461</v>
      </c>
      <c r="F14" s="96">
        <f t="shared" si="3"/>
        <v>42491</v>
      </c>
      <c r="G14" s="96">
        <f t="shared" si="3"/>
        <v>42522</v>
      </c>
      <c r="H14" s="96">
        <f t="shared" si="3"/>
        <v>42552</v>
      </c>
      <c r="I14" s="96">
        <f t="shared" si="3"/>
        <v>42583</v>
      </c>
      <c r="J14" s="96">
        <f t="shared" si="3"/>
        <v>42614</v>
      </c>
      <c r="K14" s="96">
        <f t="shared" si="3"/>
        <v>42644</v>
      </c>
      <c r="L14" s="96">
        <f t="shared" ref="L14" si="4">EDATE(K14,1)</f>
        <v>42675</v>
      </c>
      <c r="M14" s="96">
        <f t="shared" ref="M14" si="5">EDATE(L14,1)</f>
        <v>42705</v>
      </c>
      <c r="N14" s="96">
        <f t="shared" ref="N14" si="6">EDATE(M14,1)</f>
        <v>42736</v>
      </c>
      <c r="O14" s="96">
        <f t="shared" ref="O14" si="7">EDATE(N14,1)</f>
        <v>42767</v>
      </c>
      <c r="P14" s="96">
        <f t="shared" ref="P14" si="8">EDATE(O14,1)</f>
        <v>42795</v>
      </c>
      <c r="Q14" s="96">
        <f t="shared" ref="Q14" si="9">EDATE(P14,1)</f>
        <v>42826</v>
      </c>
      <c r="R14" s="96">
        <f t="shared" ref="R14" si="10">EDATE(Q14,1)</f>
        <v>42856</v>
      </c>
      <c r="S14" s="96">
        <f t="shared" ref="S14" si="11">EDATE(R14,1)</f>
        <v>42887</v>
      </c>
      <c r="T14" s="96">
        <f t="shared" ref="T14" si="12">EDATE(S14,1)</f>
        <v>42917</v>
      </c>
      <c r="U14" s="96">
        <f t="shared" ref="U14" si="13">EDATE(T14,1)</f>
        <v>42948</v>
      </c>
      <c r="V14" s="96">
        <f t="shared" ref="V14" si="14">EDATE(U14,1)</f>
        <v>42979</v>
      </c>
      <c r="W14" s="96">
        <f t="shared" ref="W14" si="15">EDATE(V14,1)</f>
        <v>43009</v>
      </c>
      <c r="X14" s="95">
        <f>EDATE(W14,1)</f>
        <v>43040</v>
      </c>
      <c r="Y14" s="96">
        <f t="shared" si="3"/>
        <v>43070</v>
      </c>
      <c r="Z14" s="97">
        <f t="shared" si="3"/>
        <v>43101</v>
      </c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5">
      <c r="A15" s="76" t="s">
        <v>0</v>
      </c>
      <c r="B15" s="98">
        <v>0</v>
      </c>
      <c r="C15" s="99">
        <v>0</v>
      </c>
      <c r="D15" s="99">
        <v>0</v>
      </c>
      <c r="E15" s="99">
        <v>1328.78</v>
      </c>
      <c r="F15" s="99">
        <v>9526.5300000000007</v>
      </c>
      <c r="G15" s="99">
        <v>120352.88</v>
      </c>
      <c r="H15" s="99">
        <v>256080.65000000002</v>
      </c>
      <c r="I15" s="99">
        <v>373393.34435846674</v>
      </c>
      <c r="J15" s="99">
        <v>671736.21363575384</v>
      </c>
      <c r="K15" s="99">
        <v>120839.85</v>
      </c>
      <c r="L15" s="99">
        <v>185093.49881649271</v>
      </c>
      <c r="M15" s="99">
        <v>303285.19452852954</v>
      </c>
      <c r="N15" s="99">
        <v>329743.7910035231</v>
      </c>
      <c r="O15" s="99">
        <v>319589.12614734296</v>
      </c>
      <c r="P15" s="99">
        <v>307416.51622437377</v>
      </c>
      <c r="Q15" s="99">
        <v>202009.99758789604</v>
      </c>
      <c r="R15" s="99">
        <v>201518.00847600689</v>
      </c>
      <c r="S15" s="99">
        <v>884196.51701427973</v>
      </c>
      <c r="T15" s="99">
        <v>1282604.3399999999</v>
      </c>
      <c r="U15" s="99">
        <v>1412760.5841518985</v>
      </c>
      <c r="V15" s="99">
        <v>912043.87330211163</v>
      </c>
      <c r="W15" s="99">
        <v>279976.46619588812</v>
      </c>
      <c r="X15" s="101">
        <v>378554.58673068328</v>
      </c>
      <c r="Y15" s="102">
        <v>524311.93089247227</v>
      </c>
      <c r="Z15" s="311">
        <v>529065.75455726276</v>
      </c>
      <c r="AA15" s="50"/>
    </row>
    <row r="16" spans="1:37" x14ac:dyDescent="0.25">
      <c r="A16" s="76" t="s">
        <v>4</v>
      </c>
      <c r="B16" s="98">
        <v>0</v>
      </c>
      <c r="C16" s="99">
        <v>0</v>
      </c>
      <c r="D16" s="99">
        <v>0</v>
      </c>
      <c r="E16" s="99">
        <v>0</v>
      </c>
      <c r="F16" s="99">
        <v>0</v>
      </c>
      <c r="G16" s="99">
        <v>4167.9399999999996</v>
      </c>
      <c r="H16" s="99">
        <v>13357.940000000002</v>
      </c>
      <c r="I16" s="99">
        <v>14670.985238775314</v>
      </c>
      <c r="J16" s="99">
        <v>22602.465674921033</v>
      </c>
      <c r="K16" s="99">
        <v>23670.86</v>
      </c>
      <c r="L16" s="99">
        <v>27753.308601536653</v>
      </c>
      <c r="M16" s="99">
        <v>37258.575758638253</v>
      </c>
      <c r="N16" s="99">
        <v>47579.322188278435</v>
      </c>
      <c r="O16" s="99">
        <v>42911.041729266297</v>
      </c>
      <c r="P16" s="99">
        <v>52823.001162257649</v>
      </c>
      <c r="Q16" s="99">
        <v>25950.307634173645</v>
      </c>
      <c r="R16" s="99">
        <v>48983.559131334005</v>
      </c>
      <c r="S16" s="99">
        <v>90621.489340586311</v>
      </c>
      <c r="T16" s="99">
        <v>138931.90000000002</v>
      </c>
      <c r="U16" s="99">
        <v>133700.2685394297</v>
      </c>
      <c r="V16" s="99">
        <v>151757.81340251025</v>
      </c>
      <c r="W16" s="99">
        <v>116837.79257470783</v>
      </c>
      <c r="X16" s="101">
        <v>112312.18095516895</v>
      </c>
      <c r="Y16" s="102">
        <v>131464.85187184534</v>
      </c>
      <c r="Z16" s="311">
        <v>148895.23833234468</v>
      </c>
      <c r="AA16" s="50"/>
    </row>
    <row r="17" spans="1:28" x14ac:dyDescent="0.25">
      <c r="A17" s="76" t="s">
        <v>5</v>
      </c>
      <c r="B17" s="98">
        <v>0</v>
      </c>
      <c r="C17" s="99">
        <v>0</v>
      </c>
      <c r="D17" s="99">
        <v>0</v>
      </c>
      <c r="E17" s="99">
        <v>0</v>
      </c>
      <c r="F17" s="99">
        <v>0</v>
      </c>
      <c r="G17" s="99">
        <v>6853.38</v>
      </c>
      <c r="H17" s="99">
        <v>24493.5</v>
      </c>
      <c r="I17" s="99">
        <v>33902.946879751129</v>
      </c>
      <c r="J17" s="99">
        <v>57130.941306139037</v>
      </c>
      <c r="K17" s="99">
        <v>48568.43</v>
      </c>
      <c r="L17" s="99">
        <v>56402.832716238408</v>
      </c>
      <c r="M17" s="99">
        <v>76416.403445979842</v>
      </c>
      <c r="N17" s="99">
        <v>98464.472713338357</v>
      </c>
      <c r="O17" s="99">
        <v>92820.247439449406</v>
      </c>
      <c r="P17" s="99">
        <v>115878.51859125202</v>
      </c>
      <c r="Q17" s="99">
        <v>64178.344243350926</v>
      </c>
      <c r="R17" s="99">
        <v>102867.21859456625</v>
      </c>
      <c r="S17" s="99">
        <v>225026.10782354834</v>
      </c>
      <c r="T17" s="99">
        <v>332206.05000000005</v>
      </c>
      <c r="U17" s="99">
        <v>326565.43828407576</v>
      </c>
      <c r="V17" s="99">
        <v>357152.1332604558</v>
      </c>
      <c r="W17" s="99">
        <v>233165.34998028661</v>
      </c>
      <c r="X17" s="101">
        <v>222668.46458694752</v>
      </c>
      <c r="Y17" s="102">
        <v>260059.01673138951</v>
      </c>
      <c r="Z17" s="311">
        <v>296996.55799341062</v>
      </c>
      <c r="AA17" s="50"/>
    </row>
    <row r="18" spans="1:28" x14ac:dyDescent="0.25">
      <c r="A18" s="76" t="s">
        <v>6</v>
      </c>
      <c r="B18" s="98">
        <v>0</v>
      </c>
      <c r="C18" s="99">
        <v>0</v>
      </c>
      <c r="D18" s="99">
        <v>0</v>
      </c>
      <c r="E18" s="99">
        <v>0</v>
      </c>
      <c r="F18" s="99">
        <v>0</v>
      </c>
      <c r="G18" s="99">
        <v>526.23</v>
      </c>
      <c r="H18" s="99">
        <v>1707.2399999999998</v>
      </c>
      <c r="I18" s="99">
        <v>2230.0207254609436</v>
      </c>
      <c r="J18" s="99">
        <v>4794.6581417484167</v>
      </c>
      <c r="K18" s="99">
        <v>4373.8599999999997</v>
      </c>
      <c r="L18" s="99">
        <v>7453.242982336099</v>
      </c>
      <c r="M18" s="99">
        <v>18084.577784318448</v>
      </c>
      <c r="N18" s="99">
        <v>27963.810761260709</v>
      </c>
      <c r="O18" s="99">
        <v>24456.059952649921</v>
      </c>
      <c r="P18" s="99">
        <v>29615.310672687767</v>
      </c>
      <c r="Q18" s="99">
        <v>12166.436689655247</v>
      </c>
      <c r="R18" s="99">
        <v>28108.084360485296</v>
      </c>
      <c r="S18" s="99">
        <v>128148.15141495112</v>
      </c>
      <c r="T18" s="99">
        <v>175689.74</v>
      </c>
      <c r="U18" s="99">
        <v>218402.52810095585</v>
      </c>
      <c r="V18" s="99">
        <v>205067.89849978662</v>
      </c>
      <c r="W18" s="99">
        <v>101187.08297273742</v>
      </c>
      <c r="X18" s="101">
        <v>98824.349539019619</v>
      </c>
      <c r="Y18" s="102">
        <v>113463.30551788068</v>
      </c>
      <c r="Z18" s="311">
        <v>123507.08500941454</v>
      </c>
      <c r="AA18" s="50"/>
    </row>
    <row r="19" spans="1:28" x14ac:dyDescent="0.25">
      <c r="A19" s="76" t="s">
        <v>7</v>
      </c>
      <c r="B19" s="98"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360.22</v>
      </c>
      <c r="I19" s="99">
        <v>1356.5027975457876</v>
      </c>
      <c r="J19" s="99">
        <v>2255.3712414377201</v>
      </c>
      <c r="K19" s="99">
        <v>1897.72</v>
      </c>
      <c r="L19" s="99">
        <v>2405.4668833960245</v>
      </c>
      <c r="M19" s="99">
        <v>3262.8984825339485</v>
      </c>
      <c r="N19" s="99">
        <v>5909.4833335993335</v>
      </c>
      <c r="O19" s="99">
        <v>6425.014731291647</v>
      </c>
      <c r="P19" s="99">
        <v>9106.0133494287093</v>
      </c>
      <c r="Q19" s="99">
        <v>8390.7638449238184</v>
      </c>
      <c r="R19" s="99">
        <v>10997.379437607351</v>
      </c>
      <c r="S19" s="99">
        <v>20856.094406634937</v>
      </c>
      <c r="T19" s="99">
        <v>29338.039999999994</v>
      </c>
      <c r="U19" s="99">
        <v>27923.370923640025</v>
      </c>
      <c r="V19" s="99">
        <v>26983.721535135461</v>
      </c>
      <c r="W19" s="99">
        <v>19471.188276380515</v>
      </c>
      <c r="X19" s="101">
        <v>19585.20818817984</v>
      </c>
      <c r="Y19" s="102">
        <v>21873.91498641167</v>
      </c>
      <c r="Z19" s="311">
        <v>24304.224107566861</v>
      </c>
      <c r="AA19" s="50"/>
    </row>
    <row r="20" spans="1:28" x14ac:dyDescent="0.25">
      <c r="B20" s="103"/>
      <c r="C20" s="104"/>
      <c r="D20" s="104"/>
      <c r="E20" s="104"/>
      <c r="F20" s="104"/>
      <c r="G20" s="113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5"/>
      <c r="Y20" s="106"/>
      <c r="Z20" s="107"/>
    </row>
    <row r="21" spans="1:28" x14ac:dyDescent="0.25">
      <c r="A21" s="50" t="s">
        <v>174</v>
      </c>
      <c r="B21" s="289"/>
      <c r="C21" s="104"/>
      <c r="D21" s="108" t="s">
        <v>72</v>
      </c>
      <c r="E21" s="288"/>
      <c r="F21" s="288"/>
      <c r="G21" s="113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5"/>
      <c r="Y21" s="106"/>
      <c r="Z21" s="107"/>
      <c r="AA21" s="122" t="s">
        <v>144</v>
      </c>
    </row>
    <row r="22" spans="1:28" x14ac:dyDescent="0.25">
      <c r="A22" s="76" t="s">
        <v>0</v>
      </c>
      <c r="B22" s="98">
        <v>0</v>
      </c>
      <c r="C22" s="99">
        <v>0</v>
      </c>
      <c r="D22" s="99">
        <v>0</v>
      </c>
      <c r="E22" s="99">
        <v>0</v>
      </c>
      <c r="F22" s="99">
        <v>12454.76</v>
      </c>
      <c r="G22" s="99">
        <v>191642.45</v>
      </c>
      <c r="H22" s="99">
        <v>257925.06</v>
      </c>
      <c r="I22" s="99">
        <v>258848.42</v>
      </c>
      <c r="J22" s="99">
        <v>234125.18</v>
      </c>
      <c r="K22" s="99">
        <v>166948.49</v>
      </c>
      <c r="L22" s="99">
        <v>136842.14000000001</v>
      </c>
      <c r="M22" s="99">
        <v>210493.55</v>
      </c>
      <c r="N22" s="99">
        <v>406285.42</v>
      </c>
      <c r="O22" s="99">
        <v>1369889.78</v>
      </c>
      <c r="P22" s="99">
        <v>1103029.06</v>
      </c>
      <c r="Q22" s="99">
        <v>964230.74</v>
      </c>
      <c r="R22" s="99">
        <v>918986.9</v>
      </c>
      <c r="S22" s="99">
        <v>1235335.3500000001</v>
      </c>
      <c r="T22" s="99">
        <v>1643710.03</v>
      </c>
      <c r="U22" s="99">
        <v>1663991.32</v>
      </c>
      <c r="V22" s="99">
        <v>1315722.52</v>
      </c>
      <c r="W22" s="99">
        <v>1155142.76</v>
      </c>
      <c r="X22" s="101">
        <f>+PCR!X28*TDR!$AA$22+X36</f>
        <v>970274.24250858976</v>
      </c>
      <c r="Y22" s="102">
        <f>+PCR!Y28*TDR!$AA$22+Y36</f>
        <v>1427588.9943501174</v>
      </c>
      <c r="Z22" s="311">
        <f>+PCR!Z28*TDR!$AA$22+Z36</f>
        <v>1858935.2189508949</v>
      </c>
      <c r="AA22" s="110">
        <v>1.2700000000000001E-3</v>
      </c>
      <c r="AB22" s="111"/>
    </row>
    <row r="23" spans="1:28" x14ac:dyDescent="0.25">
      <c r="A23" s="76" t="s">
        <v>4</v>
      </c>
      <c r="B23" s="98">
        <v>0</v>
      </c>
      <c r="C23" s="99">
        <v>0</v>
      </c>
      <c r="D23" s="99">
        <v>0</v>
      </c>
      <c r="E23" s="99">
        <v>0</v>
      </c>
      <c r="F23" s="99">
        <v>856.28</v>
      </c>
      <c r="G23" s="99">
        <v>12419.27</v>
      </c>
      <c r="H23" s="99">
        <v>14760.05</v>
      </c>
      <c r="I23" s="99">
        <v>14736.25</v>
      </c>
      <c r="J23" s="99">
        <v>14174.52</v>
      </c>
      <c r="K23" s="99">
        <v>12053.27</v>
      </c>
      <c r="L23" s="99">
        <v>10707.26</v>
      </c>
      <c r="M23" s="99">
        <v>12431.58</v>
      </c>
      <c r="N23" s="99">
        <v>27338.89</v>
      </c>
      <c r="O23" s="99">
        <v>144726.28</v>
      </c>
      <c r="P23" s="99">
        <v>128485.97</v>
      </c>
      <c r="Q23" s="99">
        <v>121597.62</v>
      </c>
      <c r="R23" s="99">
        <v>120360.92</v>
      </c>
      <c r="S23" s="99">
        <v>143026.74</v>
      </c>
      <c r="T23" s="99">
        <v>165801.25</v>
      </c>
      <c r="U23" s="99">
        <v>167384.09</v>
      </c>
      <c r="V23" s="99">
        <v>149701.24</v>
      </c>
      <c r="W23" s="99">
        <v>141748.14000000001</v>
      </c>
      <c r="X23" s="101">
        <f>+PCR!X29*TDR!$AA$23</f>
        <v>125776.50561815909</v>
      </c>
      <c r="Y23" s="102">
        <f>+PCR!Y29*TDR!$AA$23</f>
        <v>148317.48468441991</v>
      </c>
      <c r="Z23" s="311">
        <f>+PCR!Z29*TDR!$AA$23</f>
        <v>175389.87433013829</v>
      </c>
      <c r="AA23" s="110">
        <v>5.2700000000000002E-4</v>
      </c>
      <c r="AB23" s="111"/>
    </row>
    <row r="24" spans="1:28" x14ac:dyDescent="0.25">
      <c r="A24" s="76" t="s">
        <v>5</v>
      </c>
      <c r="B24" s="98">
        <v>0</v>
      </c>
      <c r="C24" s="99">
        <v>0</v>
      </c>
      <c r="D24" s="99">
        <v>0</v>
      </c>
      <c r="E24" s="99">
        <v>0</v>
      </c>
      <c r="F24" s="99">
        <v>2460.2199999999998</v>
      </c>
      <c r="G24" s="99">
        <v>40611.43</v>
      </c>
      <c r="H24" s="99">
        <v>46133.34</v>
      </c>
      <c r="I24" s="99">
        <v>46227.56</v>
      </c>
      <c r="J24" s="99">
        <v>46423.360000000001</v>
      </c>
      <c r="K24" s="99">
        <v>40852.160000000003</v>
      </c>
      <c r="L24" s="99">
        <v>37249.85</v>
      </c>
      <c r="M24" s="99">
        <v>38727.83</v>
      </c>
      <c r="N24" s="99">
        <v>63808.639999999999</v>
      </c>
      <c r="O24" s="99">
        <v>334912.75</v>
      </c>
      <c r="P24" s="99">
        <v>311859.65000000002</v>
      </c>
      <c r="Q24" s="99">
        <v>306431.03999999998</v>
      </c>
      <c r="R24" s="99">
        <v>315079.21999999997</v>
      </c>
      <c r="S24" s="99">
        <v>357143.49</v>
      </c>
      <c r="T24" s="99">
        <v>388918.74</v>
      </c>
      <c r="U24" s="99">
        <v>396209.91</v>
      </c>
      <c r="V24" s="99">
        <v>373506.75</v>
      </c>
      <c r="W24" s="99">
        <v>358646.38</v>
      </c>
      <c r="X24" s="101">
        <f>+PCR!X30*TDR!$AA$24</f>
        <v>320954.59741188062</v>
      </c>
      <c r="Y24" s="102">
        <f>+PCR!Y30*TDR!$AA$24</f>
        <v>345348.59989801858</v>
      </c>
      <c r="Z24" s="311">
        <f>+PCR!Z30*TDR!$AA$24</f>
        <v>379214.05418069504</v>
      </c>
      <c r="AA24" s="110">
        <v>5.4500000000000002E-4</v>
      </c>
      <c r="AB24" s="111"/>
    </row>
    <row r="25" spans="1:28" x14ac:dyDescent="0.25">
      <c r="A25" s="76" t="s">
        <v>6</v>
      </c>
      <c r="B25" s="98">
        <v>0</v>
      </c>
      <c r="C25" s="99">
        <v>0</v>
      </c>
      <c r="D25" s="99">
        <v>0</v>
      </c>
      <c r="E25" s="99">
        <v>0</v>
      </c>
      <c r="F25" s="99">
        <v>1621.85</v>
      </c>
      <c r="G25" s="99">
        <v>15413.06</v>
      </c>
      <c r="H25" s="99">
        <v>19333.560000000001</v>
      </c>
      <c r="I25" s="99">
        <v>18858.009999999998</v>
      </c>
      <c r="J25" s="99">
        <v>20468.599999999999</v>
      </c>
      <c r="K25" s="99">
        <v>17365.72</v>
      </c>
      <c r="L25" s="99">
        <v>16669.060000000001</v>
      </c>
      <c r="M25" s="99">
        <v>16712.28</v>
      </c>
      <c r="N25" s="99">
        <v>31958.9</v>
      </c>
      <c r="O25" s="99">
        <v>328456.90999999997</v>
      </c>
      <c r="P25" s="99">
        <v>267175.5</v>
      </c>
      <c r="Q25" s="99">
        <v>287500.39</v>
      </c>
      <c r="R25" s="99">
        <v>291239.59000000003</v>
      </c>
      <c r="S25" s="99">
        <v>334700.84000000003</v>
      </c>
      <c r="T25" s="99">
        <v>327858.78000000003</v>
      </c>
      <c r="U25" s="99">
        <v>345877.98</v>
      </c>
      <c r="V25" s="99">
        <v>332796.82</v>
      </c>
      <c r="W25" s="99">
        <v>325738.77</v>
      </c>
      <c r="X25" s="101">
        <f>+PCR!X31*TDR!$AA$25</f>
        <v>289873.18374447874</v>
      </c>
      <c r="Y25" s="102">
        <f>+PCR!Y31*TDR!$AA$25</f>
        <v>295660.6699540657</v>
      </c>
      <c r="Z25" s="311">
        <f>+PCR!Z31*TDR!$AA$25</f>
        <v>309682.35354755161</v>
      </c>
      <c r="AA25" s="110">
        <v>1.096E-3</v>
      </c>
      <c r="AB25" s="111"/>
    </row>
    <row r="26" spans="1:28" x14ac:dyDescent="0.25">
      <c r="A26" s="76" t="s">
        <v>7</v>
      </c>
      <c r="B26" s="98">
        <v>0</v>
      </c>
      <c r="C26" s="99">
        <v>0</v>
      </c>
      <c r="D26" s="99">
        <v>0</v>
      </c>
      <c r="E26" s="99">
        <v>0</v>
      </c>
      <c r="F26" s="99"/>
      <c r="G26" s="99">
        <v>4867.8</v>
      </c>
      <c r="H26" s="99">
        <v>9528.7800000000007</v>
      </c>
      <c r="I26" s="99">
        <v>9622.07</v>
      </c>
      <c r="J26" s="99">
        <v>10571.65</v>
      </c>
      <c r="K26" s="99">
        <v>9276.2800000000007</v>
      </c>
      <c r="L26" s="99">
        <v>8552.14</v>
      </c>
      <c r="M26" s="99">
        <v>8040.28</v>
      </c>
      <c r="N26" s="99">
        <v>7958.8</v>
      </c>
      <c r="O26" s="99">
        <v>202699.47</v>
      </c>
      <c r="P26" s="99">
        <v>167678.56</v>
      </c>
      <c r="Q26" s="99">
        <v>185826.61</v>
      </c>
      <c r="R26" s="99">
        <v>189002.31</v>
      </c>
      <c r="S26" s="99">
        <v>225674.13</v>
      </c>
      <c r="T26" s="99">
        <v>213450.91</v>
      </c>
      <c r="U26" s="99">
        <v>236566.37</v>
      </c>
      <c r="V26" s="99">
        <v>225419.26</v>
      </c>
      <c r="W26" s="99">
        <v>214922.7</v>
      </c>
      <c r="X26" s="101">
        <f>+PCR!X32*TDR!$AA$26</f>
        <v>202982.24330591693</v>
      </c>
      <c r="Y26" s="102">
        <f>+PCR!Y32*TDR!$AA$26</f>
        <v>193727.20049918225</v>
      </c>
      <c r="Z26" s="311">
        <f>+PCR!Z32*TDR!$AA$26</f>
        <v>201128.3296500812</v>
      </c>
      <c r="AA26" s="110">
        <v>1.421E-3</v>
      </c>
      <c r="AB26" s="111"/>
    </row>
    <row r="27" spans="1:28" x14ac:dyDescent="0.25">
      <c r="B27" s="112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2"/>
      <c r="Y27" s="113"/>
      <c r="Z27" s="107"/>
      <c r="AB27" s="4"/>
    </row>
    <row r="28" spans="1:28" s="223" customFormat="1" x14ac:dyDescent="0.25">
      <c r="A28" s="50" t="s">
        <v>135</v>
      </c>
      <c r="B28" s="297"/>
      <c r="C28" s="288"/>
      <c r="D28" s="108"/>
      <c r="E28" s="104"/>
      <c r="F28" s="104"/>
      <c r="G28" s="104"/>
      <c r="H28" s="104"/>
      <c r="I28" s="104"/>
      <c r="J28" s="104"/>
      <c r="K28" s="113"/>
      <c r="L28" s="113"/>
      <c r="M28" s="113"/>
      <c r="N28" s="113"/>
      <c r="X28" s="112"/>
      <c r="Y28" s="113"/>
      <c r="Z28" s="107"/>
    </row>
    <row r="29" spans="1:28" s="223" customFormat="1" x14ac:dyDescent="0.25">
      <c r="A29" s="223" t="s">
        <v>0</v>
      </c>
      <c r="B29" s="116">
        <v>0</v>
      </c>
      <c r="C29" s="120">
        <v>0</v>
      </c>
      <c r="D29" s="120">
        <v>0</v>
      </c>
      <c r="E29" s="120">
        <v>0</v>
      </c>
      <c r="F29" s="120">
        <f>+(F22-F36)+(F36*F22/SUM(F22:F26))</f>
        <v>12454.76</v>
      </c>
      <c r="G29" s="120">
        <f>+(G22-G36)+(G36*G22/SUM(G22:G26))</f>
        <v>191642.45</v>
      </c>
      <c r="H29" s="120">
        <f t="shared" ref="H29:P29" si="16">+(H22-H36)+(H36*H22/SUM(H22:H26))</f>
        <v>257925.06</v>
      </c>
      <c r="I29" s="120">
        <f t="shared" si="16"/>
        <v>258848.42</v>
      </c>
      <c r="J29" s="120">
        <f t="shared" si="16"/>
        <v>234125.18</v>
      </c>
      <c r="K29" s="120">
        <f t="shared" si="16"/>
        <v>166948.49</v>
      </c>
      <c r="L29" s="120">
        <f t="shared" si="16"/>
        <v>136842.14000000001</v>
      </c>
      <c r="M29" s="120">
        <f t="shared" si="16"/>
        <v>210493.55</v>
      </c>
      <c r="N29" s="120">
        <f t="shared" si="16"/>
        <v>406285.42</v>
      </c>
      <c r="O29" s="120">
        <f t="shared" si="16"/>
        <v>1369889.78</v>
      </c>
      <c r="P29" s="120">
        <f t="shared" si="16"/>
        <v>1103029.06</v>
      </c>
      <c r="Q29" s="120">
        <f>+(Q22-Q36)+(Q36*PCR!Q28/SUM(PCR!Q28:Q32))</f>
        <v>983976.8055998187</v>
      </c>
      <c r="R29" s="120">
        <f>+(R22-R36)+(R36*PCR!R28/SUM(PCR!R28:R32))</f>
        <v>936126.67058040295</v>
      </c>
      <c r="S29" s="120">
        <f>+(S22-S36)+(S36*PCR!S28/SUM(PCR!S28:S32))</f>
        <v>1254886.244789884</v>
      </c>
      <c r="T29" s="120">
        <f>+(T22-T36)+(T36*PCR!T28/SUM(PCR!T28:T32))</f>
        <v>1666724.2213379955</v>
      </c>
      <c r="U29" s="120">
        <f>+(U22-U36)+(U36*PCR!U28/SUM(PCR!U28:U32))</f>
        <v>1687867.967739454</v>
      </c>
      <c r="V29" s="120">
        <f>+(V22-V36)+(V36*PCR!V28/SUM(PCR!V28:V32))</f>
        <v>1336984.8118306769</v>
      </c>
      <c r="W29" s="117">
        <f>+(W22-W36)+(W36*PCR!W28/SUM(PCR!W28:W32))</f>
        <v>1174985.3507627479</v>
      </c>
      <c r="X29" s="116">
        <f>+(X22-X36)+(X36*PCR!X28/SUM(PCR!X28:X32))</f>
        <v>988641.81904898619</v>
      </c>
      <c r="Y29" s="120">
        <f>+(Y22-Y36)+(Y36*PCR!Y28/SUM(PCR!Y28:Y32))</f>
        <v>1451168.122855521</v>
      </c>
      <c r="Z29" s="121">
        <f>+(Z22-Z36)+(Z36*PCR!Z28/SUM(PCR!Z28:Z32))</f>
        <v>1887204.6025320909</v>
      </c>
    </row>
    <row r="30" spans="1:28" s="223" customFormat="1" x14ac:dyDescent="0.25">
      <c r="A30" s="223" t="s">
        <v>4</v>
      </c>
      <c r="B30" s="116">
        <v>0</v>
      </c>
      <c r="C30" s="120">
        <v>0</v>
      </c>
      <c r="D30" s="120">
        <v>0</v>
      </c>
      <c r="E30" s="120">
        <v>0</v>
      </c>
      <c r="F30" s="143">
        <f>+F23+(F36*F23/SUM(F22:F26))</f>
        <v>856.28</v>
      </c>
      <c r="G30" s="120">
        <f t="shared" ref="G30:P30" si="17">+G23+(G36*G23/SUM(G22:G26))</f>
        <v>12419.27</v>
      </c>
      <c r="H30" s="120">
        <f t="shared" si="17"/>
        <v>14760.05</v>
      </c>
      <c r="I30" s="120">
        <f t="shared" si="17"/>
        <v>14736.25</v>
      </c>
      <c r="J30" s="120">
        <f t="shared" si="17"/>
        <v>14174.52</v>
      </c>
      <c r="K30" s="120">
        <f t="shared" si="17"/>
        <v>12053.27</v>
      </c>
      <c r="L30" s="120">
        <f t="shared" si="17"/>
        <v>10707.26</v>
      </c>
      <c r="M30" s="120">
        <f t="shared" si="17"/>
        <v>12431.58</v>
      </c>
      <c r="N30" s="120">
        <f t="shared" si="17"/>
        <v>27338.89</v>
      </c>
      <c r="O30" s="120">
        <f t="shared" si="17"/>
        <v>144726.28</v>
      </c>
      <c r="P30" s="120">
        <f t="shared" si="17"/>
        <v>128485.97</v>
      </c>
      <c r="Q30" s="120">
        <f>+Q23+(Q36*PCR!Q29/SUM(PCR!Q28:Q32))</f>
        <v>117754.86766427531</v>
      </c>
      <c r="R30" s="120">
        <f>+R23+(R36*PCR!R29/SUM(PCR!R28:R32))</f>
        <v>117111.78358657917</v>
      </c>
      <c r="S30" s="120">
        <f>+S23+(S36*PCR!S29/SUM(PCR!S28:S32))</f>
        <v>139211.1271761941</v>
      </c>
      <c r="T30" s="120">
        <f>+T23+(T36*PCR!T29/SUM(PCR!T28:T32))</f>
        <v>160900.46992761682</v>
      </c>
      <c r="U30" s="120">
        <f>+U23+(U36*PCR!U29/SUM(PCR!U28:U32))</f>
        <v>162415.72720926077</v>
      </c>
      <c r="V30" s="120">
        <f>+V23+(V36*PCR!V29/SUM(PCR!V28:V32))</f>
        <v>145481.1603029698</v>
      </c>
      <c r="W30" s="117">
        <f>+W23+(W36*PCR!W29/SUM(PCR!W28:W32))</f>
        <v>137867.15538119225</v>
      </c>
      <c r="X30" s="116">
        <f>+X23+(X36*PCR!X29/SUM(PCR!X28:X32))</f>
        <v>122226.66426351228</v>
      </c>
      <c r="Y30" s="120">
        <f>+Y23+(Y36*PCR!Y29/SUM(PCR!Y28:Y32))</f>
        <v>143294.74016880948</v>
      </c>
      <c r="Z30" s="121">
        <f>+Z23+(Z36*PCR!Z29/SUM(PCR!Z28:Z32))</f>
        <v>168913.51204282575</v>
      </c>
    </row>
    <row r="31" spans="1:28" s="223" customFormat="1" x14ac:dyDescent="0.25">
      <c r="A31" s="223" t="s">
        <v>5</v>
      </c>
      <c r="B31" s="116">
        <v>0</v>
      </c>
      <c r="C31" s="120">
        <v>0</v>
      </c>
      <c r="D31" s="120">
        <v>0</v>
      </c>
      <c r="E31" s="120">
        <v>0</v>
      </c>
      <c r="F31" s="120">
        <f t="shared" ref="F31:P31" si="18">+F24+(F36*F24/SUM(F22:F26))</f>
        <v>2460.2199999999998</v>
      </c>
      <c r="G31" s="120">
        <f t="shared" si="18"/>
        <v>40611.43</v>
      </c>
      <c r="H31" s="120">
        <f t="shared" si="18"/>
        <v>46133.34</v>
      </c>
      <c r="I31" s="120">
        <f t="shared" si="18"/>
        <v>46227.56</v>
      </c>
      <c r="J31" s="120">
        <f t="shared" si="18"/>
        <v>46423.360000000001</v>
      </c>
      <c r="K31" s="120">
        <f t="shared" si="18"/>
        <v>40852.160000000003</v>
      </c>
      <c r="L31" s="120">
        <f t="shared" si="18"/>
        <v>37249.85</v>
      </c>
      <c r="M31" s="120">
        <f t="shared" si="18"/>
        <v>38727.83</v>
      </c>
      <c r="N31" s="120">
        <f t="shared" si="18"/>
        <v>63808.639999999999</v>
      </c>
      <c r="O31" s="120">
        <f t="shared" si="18"/>
        <v>334912.75</v>
      </c>
      <c r="P31" s="120">
        <f t="shared" si="18"/>
        <v>311859.65000000002</v>
      </c>
      <c r="Q31" s="120">
        <f>+Q24+(Q36*PCR!Q30/SUM(PCR!Q28:Q32))</f>
        <v>297067.25661237026</v>
      </c>
      <c r="R31" s="120">
        <f>+R24+(R36*PCR!R30/SUM(PCR!R28:R32))</f>
        <v>306858.76704664429</v>
      </c>
      <c r="S31" s="120">
        <f>+S24+(S36*PCR!S30/SUM(PCR!S28:S32))</f>
        <v>347930.82125503593</v>
      </c>
      <c r="T31" s="120">
        <f>+T24+(T36*PCR!T30/SUM(PCR!T28:T32))</f>
        <v>377801.41744412482</v>
      </c>
      <c r="U31" s="120">
        <f>+U24+(U36*PCR!U30/SUM(PCR!U28:U32))</f>
        <v>384838.10767902108</v>
      </c>
      <c r="V31" s="120">
        <f>+V24+(V36*PCR!V30/SUM(PCR!V28:V32))</f>
        <v>363327.24534638016</v>
      </c>
      <c r="W31" s="117">
        <f>+W24+(W36*PCR!W30/SUM(PCR!W28:W32))</f>
        <v>349151.70540680212</v>
      </c>
      <c r="X31" s="116">
        <f>+X24+(X36*PCR!X30/SUM(PCR!X28:X32))</f>
        <v>312195.34313999658</v>
      </c>
      <c r="Y31" s="120">
        <f>+Y24+(Y36*PCR!Y30/SUM(PCR!Y28:Y32))</f>
        <v>334039.69507459051</v>
      </c>
      <c r="Z31" s="121">
        <f>+Z24+(Z36*PCR!Z30/SUM(PCR!Z28:Z32))</f>
        <v>365673.85179860296</v>
      </c>
    </row>
    <row r="32" spans="1:28" s="223" customFormat="1" x14ac:dyDescent="0.25">
      <c r="A32" s="223" t="s">
        <v>6</v>
      </c>
      <c r="B32" s="116">
        <v>0</v>
      </c>
      <c r="C32" s="120">
        <v>0</v>
      </c>
      <c r="D32" s="120">
        <v>0</v>
      </c>
      <c r="E32" s="120">
        <v>0</v>
      </c>
      <c r="F32" s="120">
        <f t="shared" ref="F32:P32" si="19">+F25+(F36*F25/SUM(F22:F26))</f>
        <v>1621.85</v>
      </c>
      <c r="G32" s="120">
        <f t="shared" si="19"/>
        <v>15413.06</v>
      </c>
      <c r="H32" s="120">
        <f t="shared" si="19"/>
        <v>19333.560000000001</v>
      </c>
      <c r="I32" s="120">
        <f t="shared" si="19"/>
        <v>18858.009999999998</v>
      </c>
      <c r="J32" s="120">
        <f t="shared" si="19"/>
        <v>20468.599999999999</v>
      </c>
      <c r="K32" s="120">
        <f t="shared" si="19"/>
        <v>17365.72</v>
      </c>
      <c r="L32" s="120">
        <f t="shared" si="19"/>
        <v>16669.060000000001</v>
      </c>
      <c r="M32" s="120">
        <f t="shared" si="19"/>
        <v>16712.28</v>
      </c>
      <c r="N32" s="120">
        <f t="shared" si="19"/>
        <v>31958.9</v>
      </c>
      <c r="O32" s="120">
        <f t="shared" si="19"/>
        <v>328456.90999999997</v>
      </c>
      <c r="P32" s="120">
        <f t="shared" si="19"/>
        <v>267175.5</v>
      </c>
      <c r="Q32" s="120">
        <f>+Q25+(Q36*PCR!Q31/SUM(PCR!Q28:Q32))</f>
        <v>283136.40886630391</v>
      </c>
      <c r="R32" s="120">
        <f>+R25+(R36*PCR!R31/SUM(PCR!R28:R32))</f>
        <v>287460.81327816768</v>
      </c>
      <c r="S32" s="120">
        <f>+S25+(S36*PCR!S31/SUM(PCR!S28:S32))</f>
        <v>330409.77575572423</v>
      </c>
      <c r="T32" s="120">
        <f>+T25+(T36*PCR!T31/SUM(PCR!T28:T32))</f>
        <v>323201.37525993661</v>
      </c>
      <c r="U32" s="120">
        <f>+U25+(U36*PCR!U31/SUM(PCR!U28:U32))</f>
        <v>340944.20704658219</v>
      </c>
      <c r="V32" s="120">
        <f>+V25+(V36*PCR!V31/SUM(PCR!V28:V32))</f>
        <v>328289.08781066153</v>
      </c>
      <c r="W32" s="117">
        <f>+W25+(W36*PCR!W31/SUM(PCR!W28:W32))</f>
        <v>321452.90171375725</v>
      </c>
      <c r="X32" s="116">
        <f>+X25+(X36*PCR!X31/SUM(PCR!X28:X32))</f>
        <v>285939.33623281994</v>
      </c>
      <c r="Y32" s="120">
        <f>+Y25+(Y36*PCR!Y31/SUM(PCR!Y28:Y32))</f>
        <v>290846.26791674894</v>
      </c>
      <c r="Z32" s="121">
        <f>+Z25+(Z36*PCR!Z31/SUM(PCR!Z28:Z32))</f>
        <v>304183.8673624869</v>
      </c>
    </row>
    <row r="33" spans="1:28" s="223" customFormat="1" x14ac:dyDescent="0.25">
      <c r="A33" s="223" t="s">
        <v>7</v>
      </c>
      <c r="B33" s="116">
        <v>0</v>
      </c>
      <c r="C33" s="120">
        <v>0</v>
      </c>
      <c r="D33" s="120">
        <v>0</v>
      </c>
      <c r="E33" s="120">
        <v>0</v>
      </c>
      <c r="F33" s="120">
        <f t="shared" ref="F33:P33" si="20">+F26+(F36*F26/SUM(F22:F26))</f>
        <v>0</v>
      </c>
      <c r="G33" s="120">
        <f t="shared" si="20"/>
        <v>4867.8</v>
      </c>
      <c r="H33" s="120">
        <f t="shared" si="20"/>
        <v>9528.7800000000007</v>
      </c>
      <c r="I33" s="120">
        <f t="shared" si="20"/>
        <v>9622.07</v>
      </c>
      <c r="J33" s="120">
        <f t="shared" si="20"/>
        <v>10571.65</v>
      </c>
      <c r="K33" s="120">
        <f t="shared" si="20"/>
        <v>9276.2800000000007</v>
      </c>
      <c r="L33" s="120">
        <f t="shared" si="20"/>
        <v>8552.14</v>
      </c>
      <c r="M33" s="120">
        <f t="shared" si="20"/>
        <v>8040.28</v>
      </c>
      <c r="N33" s="120">
        <f t="shared" si="20"/>
        <v>7958.8</v>
      </c>
      <c r="O33" s="120">
        <f t="shared" si="20"/>
        <v>202699.47</v>
      </c>
      <c r="P33" s="120">
        <f t="shared" si="20"/>
        <v>167678.56</v>
      </c>
      <c r="Q33" s="120">
        <f>+Q26+(Q36*PCR!Q32/SUM(PCR!Q28:Q32))</f>
        <v>183651.06125723169</v>
      </c>
      <c r="R33" s="120">
        <f>+R26+(R36*PCR!R32/SUM(PCR!R28:R32))</f>
        <v>187110.90550820582</v>
      </c>
      <c r="S33" s="120">
        <f>+S26+(S36*PCR!S32/SUM(PCR!S28:S32))</f>
        <v>223442.58102316182</v>
      </c>
      <c r="T33" s="120">
        <f>+T26+(T36*PCR!T32/SUM(PCR!T28:T32))</f>
        <v>211112.22603032622</v>
      </c>
      <c r="U33" s="120">
        <f>+U26+(U36*PCR!U32/SUM(PCR!U28:U32))</f>
        <v>233963.66032568182</v>
      </c>
      <c r="V33" s="120">
        <f>+V26+(V36*PCR!V32/SUM(PCR!V28:V32))</f>
        <v>223064.28470931173</v>
      </c>
      <c r="W33" s="117">
        <f>+W26+(W36*PCR!W32/SUM(PCR!W28:W32))</f>
        <v>212741.63673550039</v>
      </c>
      <c r="X33" s="116">
        <f>+X26+(X36*PCR!X32/SUM(PCR!X28:X32))</f>
        <v>200857.60990371008</v>
      </c>
      <c r="Y33" s="120">
        <f>+Y26+(Y36*PCR!Y32/SUM(PCR!Y28:Y32))</f>
        <v>191294.12337013401</v>
      </c>
      <c r="Z33" s="121">
        <f>+Z26+(Z36*PCR!Z32/SUM(PCR!Z28:Z32))</f>
        <v>198373.9969233544</v>
      </c>
    </row>
    <row r="34" spans="1:28" s="50" customFormat="1" x14ac:dyDescent="0.25">
      <c r="B34" s="298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103"/>
      <c r="Y34" s="104"/>
      <c r="Z34" s="107"/>
    </row>
    <row r="35" spans="1:28" s="223" customFormat="1" x14ac:dyDescent="0.25">
      <c r="A35" s="50" t="s">
        <v>143</v>
      </c>
      <c r="B35" s="297"/>
      <c r="C35" s="288"/>
      <c r="D35" s="108" t="s">
        <v>90</v>
      </c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3"/>
      <c r="Y35" s="104"/>
      <c r="Z35" s="107"/>
    </row>
    <row r="36" spans="1:28" s="223" customFormat="1" x14ac:dyDescent="0.25">
      <c r="A36" s="50" t="str">
        <f>A22</f>
        <v>RES</v>
      </c>
      <c r="B36" s="98">
        <v>0</v>
      </c>
      <c r="C36" s="99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v>-32811.980000000003</v>
      </c>
      <c r="R36" s="99">
        <v>-27741.819999999996</v>
      </c>
      <c r="S36" s="99">
        <v>-33591.72</v>
      </c>
      <c r="T36" s="99">
        <v>-43701.210000000006</v>
      </c>
      <c r="U36" s="99">
        <v>-44913.150000000016</v>
      </c>
      <c r="V36" s="99">
        <v>-37075.26</v>
      </c>
      <c r="W36" s="109">
        <v>-33337.619999999995</v>
      </c>
      <c r="X36" s="145">
        <f>-(PCR!X28*TDR!$AA$22*PPC!$B$14)</f>
        <v>-30083.366957901086</v>
      </c>
      <c r="Y36" s="146">
        <f>-(PCR!Y28*TDR!$AA$22*PPC!$B$14)</f>
        <v>-44262.417469785978</v>
      </c>
      <c r="Z36" s="147">
        <f>-(PCR!Z28*TDR!$AA$22*PPC!$B$14)</f>
        <v>-57636.313418029218</v>
      </c>
    </row>
    <row r="37" spans="1:28" s="223" customFormat="1" x14ac:dyDescent="0.25">
      <c r="B37" s="112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2"/>
      <c r="Y37" s="113"/>
      <c r="Z37" s="107"/>
      <c r="AB37" s="4"/>
    </row>
    <row r="38" spans="1:28" x14ac:dyDescent="0.25">
      <c r="B38" s="112"/>
      <c r="C38" s="113"/>
      <c r="D38" s="108" t="s">
        <v>72</v>
      </c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2"/>
      <c r="Y38" s="113"/>
      <c r="Z38" s="118"/>
      <c r="AA38" s="4"/>
    </row>
    <row r="39" spans="1:28" ht="15.75" thickBot="1" x14ac:dyDescent="0.3">
      <c r="A39" s="122" t="s">
        <v>92</v>
      </c>
      <c r="B39" s="123">
        <v>0</v>
      </c>
      <c r="C39" s="124">
        <v>0</v>
      </c>
      <c r="D39" s="124">
        <v>0</v>
      </c>
      <c r="E39" s="124">
        <v>0.83</v>
      </c>
      <c r="F39" s="124">
        <v>-4.12</v>
      </c>
      <c r="G39" s="124">
        <v>-72.86</v>
      </c>
      <c r="H39" s="124">
        <v>-100.31</v>
      </c>
      <c r="I39" s="124">
        <v>-72.75</v>
      </c>
      <c r="J39" s="124">
        <v>200.51</v>
      </c>
      <c r="K39" s="124">
        <v>172.02</v>
      </c>
      <c r="L39" s="124">
        <v>217.02</v>
      </c>
      <c r="M39" s="124">
        <v>395.25</v>
      </c>
      <c r="N39" s="124">
        <v>349.23</v>
      </c>
      <c r="O39" s="124">
        <v>9085.07</v>
      </c>
      <c r="P39" s="124">
        <v>10214.99</v>
      </c>
      <c r="Q39" s="124">
        <v>8736.59</v>
      </c>
      <c r="R39" s="124">
        <v>7362.86</v>
      </c>
      <c r="S39" s="124">
        <v>7923.4</v>
      </c>
      <c r="T39" s="124">
        <v>6924.77</v>
      </c>
      <c r="U39" s="124">
        <v>6462.66</v>
      </c>
      <c r="V39" s="124">
        <v>5489.98</v>
      </c>
      <c r="W39" s="124">
        <v>3758.58</v>
      </c>
      <c r="X39" s="101">
        <v>2459.8944762762508</v>
      </c>
      <c r="Y39" s="102">
        <v>819.23541881975871</v>
      </c>
      <c r="Z39" s="191">
        <v>-1357.9305381294371</v>
      </c>
    </row>
    <row r="40" spans="1:28" x14ac:dyDescent="0.25">
      <c r="B40" s="225"/>
      <c r="C40" s="126"/>
      <c r="D40" s="126"/>
      <c r="E40" s="126"/>
      <c r="F40" s="126"/>
      <c r="G40" s="264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225"/>
      <c r="Y40" s="126"/>
      <c r="Z40" s="127"/>
    </row>
    <row r="41" spans="1:28" x14ac:dyDescent="0.25">
      <c r="A41" s="76" t="s">
        <v>73</v>
      </c>
      <c r="B41" s="128"/>
      <c r="C41" s="51"/>
      <c r="D41" s="51"/>
      <c r="E41" s="51"/>
      <c r="F41" s="51"/>
      <c r="G41" s="265"/>
      <c r="H41" s="51"/>
      <c r="I41" s="51"/>
      <c r="J41" s="51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103"/>
      <c r="Y41" s="104"/>
      <c r="Z41" s="107"/>
    </row>
    <row r="42" spans="1:28" x14ac:dyDescent="0.25">
      <c r="A42" s="76" t="s">
        <v>0</v>
      </c>
      <c r="B42" s="116">
        <f>B15-B29</f>
        <v>0</v>
      </c>
      <c r="C42" s="120">
        <f t="shared" ref="C42:Z46" si="21">C15-C29</f>
        <v>0</v>
      </c>
      <c r="D42" s="120">
        <f t="shared" si="21"/>
        <v>0</v>
      </c>
      <c r="E42" s="120">
        <f t="shared" si="21"/>
        <v>1328.78</v>
      </c>
      <c r="F42" s="120">
        <f t="shared" si="21"/>
        <v>-2928.2299999999996</v>
      </c>
      <c r="G42" s="120">
        <f t="shared" si="21"/>
        <v>-71289.570000000007</v>
      </c>
      <c r="H42" s="120">
        <f t="shared" si="21"/>
        <v>-1844.4099999999744</v>
      </c>
      <c r="I42" s="120">
        <f t="shared" si="21"/>
        <v>114544.92435846673</v>
      </c>
      <c r="J42" s="120">
        <f t="shared" si="21"/>
        <v>437611.03363575385</v>
      </c>
      <c r="K42" s="120">
        <f t="shared" si="21"/>
        <v>-46108.639999999985</v>
      </c>
      <c r="L42" s="120">
        <f t="shared" si="21"/>
        <v>48251.358816492691</v>
      </c>
      <c r="M42" s="120">
        <f t="shared" si="21"/>
        <v>92791.644528529549</v>
      </c>
      <c r="N42" s="120">
        <f t="shared" si="21"/>
        <v>-76541.62899647688</v>
      </c>
      <c r="O42" s="120">
        <f t="shared" si="21"/>
        <v>-1050300.6538526569</v>
      </c>
      <c r="P42" s="120">
        <f t="shared" si="21"/>
        <v>-795612.54377562623</v>
      </c>
      <c r="Q42" s="120">
        <f t="shared" si="21"/>
        <v>-781966.80801192264</v>
      </c>
      <c r="R42" s="120">
        <f t="shared" si="21"/>
        <v>-734608.66210439603</v>
      </c>
      <c r="S42" s="120">
        <f t="shared" si="21"/>
        <v>-370689.72777560423</v>
      </c>
      <c r="T42" s="120">
        <f t="shared" si="21"/>
        <v>-384119.88133799564</v>
      </c>
      <c r="U42" s="120">
        <f t="shared" si="21"/>
        <v>-275107.38358755549</v>
      </c>
      <c r="V42" s="120">
        <f t="shared" si="21"/>
        <v>-424940.93852856522</v>
      </c>
      <c r="W42" s="120">
        <f t="shared" si="21"/>
        <v>-895008.88456685981</v>
      </c>
      <c r="X42" s="116">
        <f t="shared" si="21"/>
        <v>-610087.23231830285</v>
      </c>
      <c r="Y42" s="120">
        <f t="shared" si="21"/>
        <v>-926856.19196304877</v>
      </c>
      <c r="Z42" s="121">
        <f t="shared" si="21"/>
        <v>-1358138.847974828</v>
      </c>
    </row>
    <row r="43" spans="1:28" x14ac:dyDescent="0.25">
      <c r="A43" s="76" t="s">
        <v>4</v>
      </c>
      <c r="B43" s="116">
        <f t="shared" ref="B43:Q46" si="22">B16-B30</f>
        <v>0</v>
      </c>
      <c r="C43" s="120">
        <f t="shared" si="22"/>
        <v>0</v>
      </c>
      <c r="D43" s="120">
        <f t="shared" si="22"/>
        <v>0</v>
      </c>
      <c r="E43" s="120">
        <f t="shared" si="22"/>
        <v>0</v>
      </c>
      <c r="F43" s="120">
        <f t="shared" si="22"/>
        <v>-856.28</v>
      </c>
      <c r="G43" s="120">
        <f t="shared" si="22"/>
        <v>-8251.3300000000017</v>
      </c>
      <c r="H43" s="120">
        <f t="shared" si="22"/>
        <v>-1402.1099999999969</v>
      </c>
      <c r="I43" s="120">
        <f t="shared" si="22"/>
        <v>-65.264761224685572</v>
      </c>
      <c r="J43" s="120">
        <f t="shared" si="22"/>
        <v>8427.9456749210331</v>
      </c>
      <c r="K43" s="120">
        <f t="shared" si="22"/>
        <v>11617.59</v>
      </c>
      <c r="L43" s="120">
        <f t="shared" si="22"/>
        <v>17046.048601536655</v>
      </c>
      <c r="M43" s="120">
        <f t="shared" si="22"/>
        <v>24826.995758638252</v>
      </c>
      <c r="N43" s="120">
        <f t="shared" si="22"/>
        <v>20240.432188278435</v>
      </c>
      <c r="O43" s="120">
        <f t="shared" si="22"/>
        <v>-101815.23827073371</v>
      </c>
      <c r="P43" s="120">
        <f t="shared" si="22"/>
        <v>-75662.968837742344</v>
      </c>
      <c r="Q43" s="120">
        <f t="shared" si="22"/>
        <v>-91804.560030101668</v>
      </c>
      <c r="R43" s="120">
        <f t="shared" si="21"/>
        <v>-68128.224455245159</v>
      </c>
      <c r="S43" s="120">
        <f t="shared" si="21"/>
        <v>-48589.637835607791</v>
      </c>
      <c r="T43" s="120">
        <f t="shared" si="21"/>
        <v>-21968.569927616802</v>
      </c>
      <c r="U43" s="120">
        <f t="shared" si="21"/>
        <v>-28715.458669831074</v>
      </c>
      <c r="V43" s="120">
        <f t="shared" si="21"/>
        <v>6276.6530995404464</v>
      </c>
      <c r="W43" s="120">
        <f t="shared" si="21"/>
        <v>-21029.362806484423</v>
      </c>
      <c r="X43" s="116">
        <f t="shared" si="21"/>
        <v>-9914.4833083433332</v>
      </c>
      <c r="Y43" s="120">
        <f t="shared" si="21"/>
        <v>-11829.888296964142</v>
      </c>
      <c r="Z43" s="121">
        <f t="shared" si="21"/>
        <v>-20018.273710481066</v>
      </c>
    </row>
    <row r="44" spans="1:28" x14ac:dyDescent="0.25">
      <c r="A44" s="76" t="s">
        <v>5</v>
      </c>
      <c r="B44" s="116">
        <f t="shared" si="22"/>
        <v>0</v>
      </c>
      <c r="C44" s="120">
        <f t="shared" si="21"/>
        <v>0</v>
      </c>
      <c r="D44" s="120">
        <f t="shared" si="21"/>
        <v>0</v>
      </c>
      <c r="E44" s="120">
        <f t="shared" si="21"/>
        <v>0</v>
      </c>
      <c r="F44" s="120">
        <f t="shared" si="21"/>
        <v>-2460.2199999999998</v>
      </c>
      <c r="G44" s="120">
        <f t="shared" si="21"/>
        <v>-33758.050000000003</v>
      </c>
      <c r="H44" s="120">
        <f t="shared" si="21"/>
        <v>-21639.839999999997</v>
      </c>
      <c r="I44" s="120">
        <f t="shared" si="21"/>
        <v>-12324.613120248869</v>
      </c>
      <c r="J44" s="120">
        <f t="shared" si="21"/>
        <v>10707.581306139036</v>
      </c>
      <c r="K44" s="120">
        <f t="shared" si="21"/>
        <v>7716.2699999999968</v>
      </c>
      <c r="L44" s="120">
        <f t="shared" si="21"/>
        <v>19152.98271623841</v>
      </c>
      <c r="M44" s="120">
        <f t="shared" si="21"/>
        <v>37688.57344597984</v>
      </c>
      <c r="N44" s="120">
        <f t="shared" si="21"/>
        <v>34655.832713338357</v>
      </c>
      <c r="O44" s="120">
        <f t="shared" si="21"/>
        <v>-242092.50256055058</v>
      </c>
      <c r="P44" s="120">
        <f t="shared" si="21"/>
        <v>-195981.13140874798</v>
      </c>
      <c r="Q44" s="120">
        <f t="shared" si="21"/>
        <v>-232888.91236901932</v>
      </c>
      <c r="R44" s="120">
        <f t="shared" si="21"/>
        <v>-203991.54845207804</v>
      </c>
      <c r="S44" s="120">
        <f t="shared" si="21"/>
        <v>-122904.71343148759</v>
      </c>
      <c r="T44" s="120">
        <f t="shared" si="21"/>
        <v>-45595.367444124771</v>
      </c>
      <c r="U44" s="120">
        <f t="shared" si="21"/>
        <v>-58272.669394945318</v>
      </c>
      <c r="V44" s="120">
        <f t="shared" si="21"/>
        <v>-6175.1120859243674</v>
      </c>
      <c r="W44" s="120">
        <f t="shared" si="21"/>
        <v>-115986.35542651551</v>
      </c>
      <c r="X44" s="116">
        <f t="shared" si="21"/>
        <v>-89526.878553049057</v>
      </c>
      <c r="Y44" s="120">
        <f t="shared" si="21"/>
        <v>-73980.678343200998</v>
      </c>
      <c r="Z44" s="121">
        <f t="shared" si="21"/>
        <v>-68677.293805192341</v>
      </c>
    </row>
    <row r="45" spans="1:28" x14ac:dyDescent="0.25">
      <c r="A45" s="76" t="s">
        <v>6</v>
      </c>
      <c r="B45" s="116">
        <f t="shared" si="22"/>
        <v>0</v>
      </c>
      <c r="C45" s="120">
        <f t="shared" si="21"/>
        <v>0</v>
      </c>
      <c r="D45" s="120">
        <f t="shared" si="21"/>
        <v>0</v>
      </c>
      <c r="E45" s="120">
        <f t="shared" si="21"/>
        <v>0</v>
      </c>
      <c r="F45" s="120">
        <f t="shared" si="21"/>
        <v>-1621.85</v>
      </c>
      <c r="G45" s="120">
        <f t="shared" si="21"/>
        <v>-14886.83</v>
      </c>
      <c r="H45" s="120">
        <f t="shared" si="21"/>
        <v>-17626.32</v>
      </c>
      <c r="I45" s="120">
        <f t="shared" si="21"/>
        <v>-16627.989274539053</v>
      </c>
      <c r="J45" s="120">
        <f t="shared" si="21"/>
        <v>-15673.941858251583</v>
      </c>
      <c r="K45" s="120">
        <f t="shared" si="21"/>
        <v>-12991.86</v>
      </c>
      <c r="L45" s="120">
        <f t="shared" si="21"/>
        <v>-9215.8170176639032</v>
      </c>
      <c r="M45" s="120">
        <f t="shared" si="21"/>
        <v>1372.297784318449</v>
      </c>
      <c r="N45" s="120">
        <f t="shared" si="21"/>
        <v>-3995.0892387392923</v>
      </c>
      <c r="O45" s="120">
        <f t="shared" si="21"/>
        <v>-304000.85004735005</v>
      </c>
      <c r="P45" s="120">
        <f t="shared" si="21"/>
        <v>-237560.18932731223</v>
      </c>
      <c r="Q45" s="120">
        <f t="shared" si="21"/>
        <v>-270969.97217664868</v>
      </c>
      <c r="R45" s="120">
        <f t="shared" si="21"/>
        <v>-259352.7289176824</v>
      </c>
      <c r="S45" s="120">
        <f t="shared" si="21"/>
        <v>-202261.62434077309</v>
      </c>
      <c r="T45" s="120">
        <f t="shared" si="21"/>
        <v>-147511.63525993662</v>
      </c>
      <c r="U45" s="120">
        <f t="shared" si="21"/>
        <v>-122541.67894562634</v>
      </c>
      <c r="V45" s="120">
        <f t="shared" si="21"/>
        <v>-123221.18931087491</v>
      </c>
      <c r="W45" s="120">
        <f t="shared" si="21"/>
        <v>-220265.81874101982</v>
      </c>
      <c r="X45" s="116">
        <f t="shared" si="21"/>
        <v>-187114.98669380031</v>
      </c>
      <c r="Y45" s="120">
        <f t="shared" si="21"/>
        <v>-177382.96239886826</v>
      </c>
      <c r="Z45" s="121">
        <f t="shared" si="21"/>
        <v>-180676.78235307237</v>
      </c>
    </row>
    <row r="46" spans="1:28" x14ac:dyDescent="0.25">
      <c r="A46" s="76" t="s">
        <v>7</v>
      </c>
      <c r="B46" s="116">
        <f t="shared" si="22"/>
        <v>0</v>
      </c>
      <c r="C46" s="120">
        <f t="shared" si="21"/>
        <v>0</v>
      </c>
      <c r="D46" s="120">
        <f t="shared" si="21"/>
        <v>0</v>
      </c>
      <c r="E46" s="120">
        <f t="shared" si="21"/>
        <v>0</v>
      </c>
      <c r="F46" s="120">
        <f t="shared" si="21"/>
        <v>0</v>
      </c>
      <c r="G46" s="120">
        <f t="shared" si="21"/>
        <v>-4867.8</v>
      </c>
      <c r="H46" s="120">
        <f t="shared" si="21"/>
        <v>-9168.5600000000013</v>
      </c>
      <c r="I46" s="120">
        <f t="shared" si="21"/>
        <v>-8265.5672024542127</v>
      </c>
      <c r="J46" s="120">
        <f t="shared" si="21"/>
        <v>-8316.2787585622791</v>
      </c>
      <c r="K46" s="120">
        <f t="shared" si="21"/>
        <v>-7378.56</v>
      </c>
      <c r="L46" s="120">
        <f t="shared" si="21"/>
        <v>-6146.6731166039754</v>
      </c>
      <c r="M46" s="120">
        <f t="shared" si="21"/>
        <v>-4777.3815174660513</v>
      </c>
      <c r="N46" s="120">
        <f t="shared" si="21"/>
        <v>-2049.3166664006667</v>
      </c>
      <c r="O46" s="120">
        <f t="shared" si="21"/>
        <v>-196274.45526870835</v>
      </c>
      <c r="P46" s="120">
        <f t="shared" si="21"/>
        <v>-158572.54665057128</v>
      </c>
      <c r="Q46" s="120">
        <f t="shared" si="21"/>
        <v>-175260.29741230787</v>
      </c>
      <c r="R46" s="120">
        <f t="shared" si="21"/>
        <v>-176113.52607059845</v>
      </c>
      <c r="S46" s="120">
        <f t="shared" si="21"/>
        <v>-202586.48661652688</v>
      </c>
      <c r="T46" s="120">
        <f t="shared" si="21"/>
        <v>-181774.18603032624</v>
      </c>
      <c r="U46" s="120">
        <f t="shared" si="21"/>
        <v>-206040.28940204179</v>
      </c>
      <c r="V46" s="120">
        <f t="shared" si="21"/>
        <v>-196080.56317417626</v>
      </c>
      <c r="W46" s="120">
        <f t="shared" si="21"/>
        <v>-193270.44845911989</v>
      </c>
      <c r="X46" s="116">
        <f t="shared" si="21"/>
        <v>-181272.40171553023</v>
      </c>
      <c r="Y46" s="120">
        <f t="shared" si="21"/>
        <v>-169420.20838372235</v>
      </c>
      <c r="Z46" s="121">
        <f t="shared" si="21"/>
        <v>-174069.77281578752</v>
      </c>
    </row>
    <row r="47" spans="1:28" x14ac:dyDescent="0.25">
      <c r="B47" s="103"/>
      <c r="C47" s="104"/>
      <c r="D47" s="104"/>
      <c r="E47" s="104"/>
      <c r="F47" s="106"/>
      <c r="G47" s="106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3"/>
      <c r="Y47" s="104"/>
      <c r="Z47" s="107"/>
    </row>
    <row r="48" spans="1:28" x14ac:dyDescent="0.25">
      <c r="A48" s="76" t="s">
        <v>74</v>
      </c>
      <c r="B48" s="103"/>
      <c r="C48" s="104"/>
      <c r="D48" s="104"/>
      <c r="E48" s="104"/>
      <c r="F48" s="106"/>
      <c r="G48" s="106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3"/>
      <c r="Y48" s="104"/>
      <c r="Z48" s="107"/>
    </row>
    <row r="49" spans="1:26" x14ac:dyDescent="0.25">
      <c r="A49" s="76" t="s">
        <v>0</v>
      </c>
      <c r="B49" s="116">
        <f>B42</f>
        <v>0</v>
      </c>
      <c r="C49" s="120">
        <f>B49+C42+B56</f>
        <v>0</v>
      </c>
      <c r="D49" s="120">
        <f t="shared" ref="D49:J49" si="23">C49+D42+C56</f>
        <v>0</v>
      </c>
      <c r="E49" s="120">
        <f t="shared" si="23"/>
        <v>1328.78</v>
      </c>
      <c r="F49" s="120">
        <f>E49+F42+E56</f>
        <v>-1598.6244190201496</v>
      </c>
      <c r="G49" s="120">
        <f t="shared" si="23"/>
        <v>-72889.201277973625</v>
      </c>
      <c r="H49" s="120">
        <f t="shared" si="23"/>
        <v>-74771.654703242617</v>
      </c>
      <c r="I49" s="120">
        <f t="shared" si="23"/>
        <v>39734.074166899532</v>
      </c>
      <c r="J49" s="120">
        <f t="shared" si="23"/>
        <v>477370.42390444461</v>
      </c>
      <c r="K49" s="120">
        <f>J49+K42+J56</f>
        <v>431562.31245481368</v>
      </c>
      <c r="L49" s="120">
        <f t="shared" ref="L49:T53" si="24">K49+L42+K56</f>
        <v>480087.05520718865</v>
      </c>
      <c r="M49" s="120">
        <f t="shared" si="24"/>
        <v>573184.413171386</v>
      </c>
      <c r="N49" s="120">
        <f t="shared" si="24"/>
        <v>497102.38445415173</v>
      </c>
      <c r="O49" s="120">
        <f>N49+O42+N56+N66</f>
        <v>7059079.0808440223</v>
      </c>
      <c r="P49" s="120">
        <f t="shared" si="24"/>
        <v>6268760.8463790286</v>
      </c>
      <c r="Q49" s="120">
        <f t="shared" si="24"/>
        <v>5492801.6008448852</v>
      </c>
      <c r="R49" s="120">
        <f t="shared" si="24"/>
        <v>4763456.8736079652</v>
      </c>
      <c r="S49" s="120">
        <f t="shared" si="24"/>
        <v>4397332.1253362354</v>
      </c>
      <c r="T49" s="120">
        <f t="shared" si="24"/>
        <v>4018379.1092455098</v>
      </c>
      <c r="U49" s="120">
        <f t="shared" ref="U49:W49" si="25">T49+U42+T56</f>
        <v>3747932.5431272904</v>
      </c>
      <c r="V49" s="120">
        <f t="shared" si="25"/>
        <v>3327573.3771740473</v>
      </c>
      <c r="W49" s="120">
        <f t="shared" si="25"/>
        <v>2436580.5298241875</v>
      </c>
      <c r="X49" s="116">
        <f>W49+X42+W56</f>
        <v>1829439.1842809555</v>
      </c>
      <c r="Y49" s="120">
        <f t="shared" ref="Y49:Z53" si="26">X49+Y42+X56</f>
        <v>904794.83002768201</v>
      </c>
      <c r="Z49" s="121">
        <f t="shared" si="26"/>
        <v>-452250.09837777173</v>
      </c>
    </row>
    <row r="50" spans="1:26" x14ac:dyDescent="0.25">
      <c r="A50" s="76" t="s">
        <v>4</v>
      </c>
      <c r="B50" s="116">
        <f>B43</f>
        <v>0</v>
      </c>
      <c r="C50" s="120">
        <f t="shared" ref="C50:K53" si="27">B50+C43+B57</f>
        <v>0</v>
      </c>
      <c r="D50" s="120">
        <f t="shared" si="27"/>
        <v>0</v>
      </c>
      <c r="E50" s="120">
        <f t="shared" si="27"/>
        <v>0</v>
      </c>
      <c r="F50" s="120">
        <f t="shared" si="27"/>
        <v>-856.28</v>
      </c>
      <c r="G50" s="120">
        <f t="shared" si="27"/>
        <v>-9108.1493094052694</v>
      </c>
      <c r="H50" s="120">
        <f t="shared" si="27"/>
        <v>-10515.013171315071</v>
      </c>
      <c r="I50" s="120">
        <f t="shared" si="27"/>
        <v>-10585.789928731692</v>
      </c>
      <c r="J50" s="120">
        <f t="shared" si="27"/>
        <v>-2164.588866362868</v>
      </c>
      <c r="K50" s="120">
        <f t="shared" si="27"/>
        <v>9451.6384167163123</v>
      </c>
      <c r="L50" s="120">
        <f t="shared" si="24"/>
        <v>26503.674394898997</v>
      </c>
      <c r="M50" s="120">
        <f t="shared" si="24"/>
        <v>51347.547362095989</v>
      </c>
      <c r="N50" s="120">
        <f t="shared" si="24"/>
        <v>71629.151896592753</v>
      </c>
      <c r="O50" s="120">
        <f t="shared" ref="O50:O53" si="28">N50+O43+N57+N67</f>
        <v>638255.67015730136</v>
      </c>
      <c r="P50" s="120">
        <f t="shared" si="24"/>
        <v>563071.39307217696</v>
      </c>
      <c r="Q50" s="120">
        <f t="shared" si="24"/>
        <v>471806.4431271028</v>
      </c>
      <c r="R50" s="120">
        <f t="shared" si="24"/>
        <v>404130.36651318776</v>
      </c>
      <c r="S50" s="120">
        <f t="shared" si="24"/>
        <v>355928.02027882176</v>
      </c>
      <c r="T50" s="120">
        <f t="shared" si="24"/>
        <v>334377.6657750326</v>
      </c>
      <c r="U50" s="120">
        <f t="shared" ref="U50:X50" si="29">T50+U43+T57</f>
        <v>306050.04340029234</v>
      </c>
      <c r="V50" s="120">
        <f t="shared" si="29"/>
        <v>312700.83655688877</v>
      </c>
      <c r="W50" s="120">
        <f t="shared" si="29"/>
        <v>292048.87134770869</v>
      </c>
      <c r="X50" s="116">
        <f t="shared" si="29"/>
        <v>282487.48242604651</v>
      </c>
      <c r="Y50" s="120">
        <f t="shared" si="26"/>
        <v>270999.12855752255</v>
      </c>
      <c r="Z50" s="121">
        <f t="shared" si="26"/>
        <v>251308.49956844575</v>
      </c>
    </row>
    <row r="51" spans="1:26" x14ac:dyDescent="0.25">
      <c r="A51" s="76" t="s">
        <v>5</v>
      </c>
      <c r="B51" s="116">
        <f>B44</f>
        <v>0</v>
      </c>
      <c r="C51" s="120">
        <f t="shared" si="27"/>
        <v>0</v>
      </c>
      <c r="D51" s="120">
        <f t="shared" si="27"/>
        <v>0</v>
      </c>
      <c r="E51" s="120">
        <f t="shared" si="27"/>
        <v>0</v>
      </c>
      <c r="F51" s="120">
        <f t="shared" si="27"/>
        <v>-2460.2199999999998</v>
      </c>
      <c r="G51" s="120">
        <f t="shared" si="27"/>
        <v>-36219.819516262236</v>
      </c>
      <c r="H51" s="120">
        <f t="shared" si="27"/>
        <v>-57878.563907761454</v>
      </c>
      <c r="I51" s="120">
        <f t="shared" si="27"/>
        <v>-70233.517115907176</v>
      </c>
      <c r="J51" s="120">
        <f t="shared" si="27"/>
        <v>-59570.684275807507</v>
      </c>
      <c r="K51" s="120">
        <f t="shared" si="27"/>
        <v>-51891.917000093345</v>
      </c>
      <c r="L51" s="120">
        <f t="shared" si="24"/>
        <v>-32771.806515976568</v>
      </c>
      <c r="M51" s="120">
        <f t="shared" si="24"/>
        <v>4895.89825326148</v>
      </c>
      <c r="N51" s="120">
        <f t="shared" si="24"/>
        <v>39555.656677335573</v>
      </c>
      <c r="O51" s="120">
        <f t="shared" si="28"/>
        <v>703373.77544637211</v>
      </c>
      <c r="P51" s="120">
        <f t="shared" si="24"/>
        <v>507920.17436920892</v>
      </c>
      <c r="Q51" s="120">
        <f t="shared" si="24"/>
        <v>275518.01883396012</v>
      </c>
      <c r="R51" s="120">
        <f t="shared" si="24"/>
        <v>71790.50848326461</v>
      </c>
      <c r="S51" s="120">
        <f t="shared" si="24"/>
        <v>-51045.405710926512</v>
      </c>
      <c r="T51" s="120">
        <f t="shared" si="24"/>
        <v>-96700.751506761619</v>
      </c>
      <c r="U51" s="120">
        <f t="shared" ref="U51:X51" si="30">T51+U44+T58</f>
        <v>-155085.58168586085</v>
      </c>
      <c r="V51" s="120">
        <f t="shared" si="30"/>
        <v>-161450.28279368454</v>
      </c>
      <c r="W51" s="120">
        <f t="shared" si="30"/>
        <v>-277631.49202833616</v>
      </c>
      <c r="X51" s="116">
        <f t="shared" si="30"/>
        <v>-367494.03399603476</v>
      </c>
      <c r="Y51" s="120">
        <f t="shared" si="26"/>
        <v>-441919.02181368781</v>
      </c>
      <c r="Z51" s="121">
        <f t="shared" si="26"/>
        <v>-511130.60676422843</v>
      </c>
    </row>
    <row r="52" spans="1:26" x14ac:dyDescent="0.25">
      <c r="A52" s="76" t="s">
        <v>6</v>
      </c>
      <c r="B52" s="116">
        <f>B45</f>
        <v>0</v>
      </c>
      <c r="C52" s="120">
        <f t="shared" si="27"/>
        <v>0</v>
      </c>
      <c r="D52" s="120">
        <f t="shared" si="27"/>
        <v>0</v>
      </c>
      <c r="E52" s="120">
        <f t="shared" si="27"/>
        <v>0</v>
      </c>
      <c r="F52" s="120">
        <f t="shared" si="27"/>
        <v>-1621.85</v>
      </c>
      <c r="G52" s="120">
        <f t="shared" si="27"/>
        <v>-16509.701487082417</v>
      </c>
      <c r="H52" s="120">
        <f t="shared" si="27"/>
        <v>-34144.638478128072</v>
      </c>
      <c r="I52" s="120">
        <f t="shared" si="27"/>
        <v>-50790.526457518958</v>
      </c>
      <c r="J52" s="120">
        <f t="shared" si="27"/>
        <v>-66496.828907146817</v>
      </c>
      <c r="K52" s="120">
        <f t="shared" si="27"/>
        <v>-79530.551985785307</v>
      </c>
      <c r="L52" s="120">
        <f t="shared" si="24"/>
        <v>-88796.749619868409</v>
      </c>
      <c r="M52" s="120">
        <f t="shared" si="24"/>
        <v>-87480.996495748521</v>
      </c>
      <c r="N52" s="120">
        <f t="shared" si="24"/>
        <v>-91546.231205114644</v>
      </c>
      <c r="O52" s="120">
        <f t="shared" si="28"/>
        <v>2081846.1440901845</v>
      </c>
      <c r="P52" s="120">
        <f t="shared" si="24"/>
        <v>1845847.3393709399</v>
      </c>
      <c r="Q52" s="120">
        <f t="shared" si="24"/>
        <v>1576646.3042278551</v>
      </c>
      <c r="R52" s="120">
        <f t="shared" si="24"/>
        <v>1318804.528018391</v>
      </c>
      <c r="S52" s="120">
        <f t="shared" si="24"/>
        <v>1117806.7580169688</v>
      </c>
      <c r="T52" s="120">
        <f t="shared" si="24"/>
        <v>971608.54569770221</v>
      </c>
      <c r="U52" s="120">
        <f t="shared" ref="U52:X52" si="31">T52+U45+T59</f>
        <v>850193.81121401698</v>
      </c>
      <c r="V52" s="120">
        <f t="shared" si="31"/>
        <v>728011.96683347505</v>
      </c>
      <c r="W52" s="120">
        <f t="shared" si="31"/>
        <v>508624.78330851998</v>
      </c>
      <c r="X52" s="116">
        <f t="shared" si="31"/>
        <v>322124.73669335927</v>
      </c>
      <c r="Y52" s="120">
        <f t="shared" si="26"/>
        <v>145131.23115427169</v>
      </c>
      <c r="Z52" s="121">
        <f t="shared" si="26"/>
        <v>-35370.083912054382</v>
      </c>
    </row>
    <row r="53" spans="1:26" x14ac:dyDescent="0.25">
      <c r="A53" s="76" t="s">
        <v>7</v>
      </c>
      <c r="B53" s="116">
        <f>B46</f>
        <v>0</v>
      </c>
      <c r="C53" s="120">
        <f t="shared" si="27"/>
        <v>0</v>
      </c>
      <c r="D53" s="120">
        <f t="shared" si="27"/>
        <v>0</v>
      </c>
      <c r="E53" s="120">
        <f t="shared" si="27"/>
        <v>0</v>
      </c>
      <c r="F53" s="120">
        <f t="shared" si="27"/>
        <v>0</v>
      </c>
      <c r="G53" s="120">
        <f t="shared" si="27"/>
        <v>-4867.8</v>
      </c>
      <c r="H53" s="120">
        <f t="shared" si="27"/>
        <v>-14038.900675193001</v>
      </c>
      <c r="I53" s="120">
        <f t="shared" si="27"/>
        <v>-22311.827104478401</v>
      </c>
      <c r="J53" s="120">
        <f t="shared" si="27"/>
        <v>-30642.321583375648</v>
      </c>
      <c r="K53" s="120">
        <f t="shared" si="27"/>
        <v>-38040.172456928456</v>
      </c>
      <c r="L53" s="120">
        <f t="shared" si="24"/>
        <v>-44210.943071779584</v>
      </c>
      <c r="M53" s="120">
        <f t="shared" si="24"/>
        <v>-49016.477565156951</v>
      </c>
      <c r="N53" s="120">
        <f t="shared" si="24"/>
        <v>-51105.097440540201</v>
      </c>
      <c r="O53" s="120">
        <f t="shared" si="28"/>
        <v>1630868.464443204</v>
      </c>
      <c r="P53" s="120">
        <f t="shared" si="24"/>
        <v>1473519.0691409651</v>
      </c>
      <c r="Q53" s="120">
        <f t="shared" si="24"/>
        <v>1299670.8941699173</v>
      </c>
      <c r="R53" s="120">
        <f t="shared" si="24"/>
        <v>1124802.8860395651</v>
      </c>
      <c r="S53" s="120">
        <f t="shared" si="24"/>
        <v>923294.33552215947</v>
      </c>
      <c r="T53" s="120">
        <f t="shared" si="24"/>
        <v>742605.02033607184</v>
      </c>
      <c r="U53" s="120">
        <f t="shared" ref="U53:X53" si="32">T53+U46+T60</f>
        <v>537426.05993199232</v>
      </c>
      <c r="V53" s="120">
        <f t="shared" si="32"/>
        <v>342002.48936756171</v>
      </c>
      <c r="W53" s="120">
        <f t="shared" si="32"/>
        <v>149144.80257285124</v>
      </c>
      <c r="X53" s="116">
        <f t="shared" si="32"/>
        <v>-31947.279347748343</v>
      </c>
      <c r="Y53" s="120">
        <f t="shared" si="26"/>
        <v>-201406.1127908841</v>
      </c>
      <c r="Z53" s="121">
        <f t="shared" si="26"/>
        <v>-375719.39063218865</v>
      </c>
    </row>
    <row r="54" spans="1:26" x14ac:dyDescent="0.25">
      <c r="B54" s="103"/>
      <c r="C54" s="104"/>
      <c r="D54" s="104"/>
      <c r="E54" s="104"/>
      <c r="F54" s="106"/>
      <c r="G54" s="106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3"/>
      <c r="Y54" s="104"/>
      <c r="Z54" s="107"/>
    </row>
    <row r="55" spans="1:26" x14ac:dyDescent="0.25">
      <c r="A55" s="76" t="s">
        <v>69</v>
      </c>
      <c r="B55" s="129">
        <f>PCR!B67</f>
        <v>0</v>
      </c>
      <c r="C55" s="130">
        <f>PCR!C67</f>
        <v>0</v>
      </c>
      <c r="D55" s="130">
        <f>PCR!D67</f>
        <v>6.0997666666666656E-4</v>
      </c>
      <c r="E55" s="130">
        <f>PCR!E67</f>
        <v>6.2130750000000004E-4</v>
      </c>
      <c r="F55" s="130">
        <f>PCR!F67</f>
        <v>6.2982833333333329E-4</v>
      </c>
      <c r="G55" s="305">
        <f>PCR!G67</f>
        <v>5.2193500000000006E-4</v>
      </c>
      <c r="H55" s="130">
        <f>PCR!H67</f>
        <v>5.2420250000000004E-4</v>
      </c>
      <c r="I55" s="130">
        <f>PCR!I67</f>
        <v>6.3713833333333325E-4</v>
      </c>
      <c r="J55" s="130">
        <f>PCR!J67</f>
        <v>6.2954999999999999E-4</v>
      </c>
      <c r="K55" s="131">
        <f>PCR!K67</f>
        <v>6.3347499999999999E-4</v>
      </c>
      <c r="L55" s="131">
        <f>PCR!L67</f>
        <v>6.3678749999999994E-4</v>
      </c>
      <c r="M55" s="131">
        <f>PCR!M67</f>
        <v>8.0183666666666664E-4</v>
      </c>
      <c r="N55" s="131">
        <f>PCR!N67</f>
        <v>7.5000000000000012E-4</v>
      </c>
      <c r="O55" s="131">
        <f>PCR!O67</f>
        <v>7.5000000000000012E-4</v>
      </c>
      <c r="P55" s="131">
        <f>PCR!P67</f>
        <v>9.5833333333333328E-4</v>
      </c>
      <c r="Q55" s="131">
        <f>PCR!Q67</f>
        <v>9.5833333333333328E-4</v>
      </c>
      <c r="R55" s="131">
        <f>PCR!R67</f>
        <v>9.5833333333333328E-4</v>
      </c>
      <c r="S55" s="131">
        <f>PCR!S67</f>
        <v>1.175E-3</v>
      </c>
      <c r="T55" s="131">
        <f>PCR!T67</f>
        <v>1.1598750000000001E-3</v>
      </c>
      <c r="U55" s="131">
        <f>PCR!U67</f>
        <v>1.22248E-3</v>
      </c>
      <c r="V55" s="131">
        <f>PCR!V67</f>
        <v>1.2068966666666666E-3</v>
      </c>
      <c r="W55" s="131">
        <f>PCR!W67</f>
        <v>1.2090250000000001E-3</v>
      </c>
      <c r="X55" s="260">
        <f>PCR!X67</f>
        <v>1.2090250000000001E-3</v>
      </c>
      <c r="Y55" s="261">
        <f>PCR!Y67</f>
        <v>1.2090250000000001E-3</v>
      </c>
      <c r="Z55" s="262">
        <f>PCR!Z67</f>
        <v>1.2090250000000001E-3</v>
      </c>
    </row>
    <row r="56" spans="1:26" x14ac:dyDescent="0.25">
      <c r="A56" s="76" t="s">
        <v>0</v>
      </c>
      <c r="B56" s="116">
        <f t="shared" ref="B56:K56" si="33">B49*B$55</f>
        <v>0</v>
      </c>
      <c r="C56" s="120">
        <f t="shared" si="33"/>
        <v>0</v>
      </c>
      <c r="D56" s="120">
        <f t="shared" si="33"/>
        <v>0</v>
      </c>
      <c r="E56" s="120">
        <f t="shared" si="33"/>
        <v>0.82558097985000001</v>
      </c>
      <c r="F56" s="120">
        <f t="shared" si="33"/>
        <v>-1.006858953457429</v>
      </c>
      <c r="G56" s="120">
        <f t="shared" si="33"/>
        <v>-38.043425269019167</v>
      </c>
      <c r="H56" s="120">
        <f t="shared" si="33"/>
        <v>-39.195488324576544</v>
      </c>
      <c r="I56" s="120">
        <f t="shared" si="33"/>
        <v>25.316101791241419</v>
      </c>
      <c r="J56" s="120">
        <f t="shared" si="33"/>
        <v>300.5285503690431</v>
      </c>
      <c r="K56" s="120">
        <f t="shared" si="33"/>
        <v>273.3839358823131</v>
      </c>
      <c r="L56" s="120">
        <f t="shared" ref="L56:T56" si="34">L49*L$55</f>
        <v>305.7134356677476</v>
      </c>
      <c r="M56" s="120">
        <f t="shared" si="34"/>
        <v>459.60027924263358</v>
      </c>
      <c r="N56" s="120">
        <f t="shared" si="34"/>
        <v>372.82678834061386</v>
      </c>
      <c r="O56" s="120">
        <f t="shared" si="34"/>
        <v>5294.309310633018</v>
      </c>
      <c r="P56" s="120">
        <f t="shared" si="34"/>
        <v>6007.5624777799021</v>
      </c>
      <c r="Q56" s="120">
        <f t="shared" si="34"/>
        <v>5263.9348674763478</v>
      </c>
      <c r="R56" s="120">
        <f t="shared" si="34"/>
        <v>4564.9795038742996</v>
      </c>
      <c r="S56" s="120">
        <f t="shared" si="34"/>
        <v>5166.8652472700769</v>
      </c>
      <c r="T56" s="120">
        <f t="shared" si="34"/>
        <v>4660.8174693361361</v>
      </c>
      <c r="U56" s="120">
        <f t="shared" ref="U56:W56" si="35">U49*U$55</f>
        <v>4581.7725753222503</v>
      </c>
      <c r="V56" s="120">
        <f t="shared" si="35"/>
        <v>4016.0372170001001</v>
      </c>
      <c r="W56" s="120">
        <f t="shared" si="35"/>
        <v>2945.8867750706886</v>
      </c>
      <c r="X56" s="116">
        <f>X49*X$55</f>
        <v>2211.8377097752823</v>
      </c>
      <c r="Y56" s="120">
        <f t="shared" ref="X56:Z60" si="36">Y49*Y$55</f>
        <v>1093.9195693742183</v>
      </c>
      <c r="Z56" s="121">
        <f t="shared" si="36"/>
        <v>-546.78167519118551</v>
      </c>
    </row>
    <row r="57" spans="1:26" x14ac:dyDescent="0.25">
      <c r="A57" s="76" t="s">
        <v>4</v>
      </c>
      <c r="B57" s="116">
        <f t="shared" ref="B57:K57" si="37">B50*B$55</f>
        <v>0</v>
      </c>
      <c r="C57" s="120">
        <f t="shared" si="37"/>
        <v>0</v>
      </c>
      <c r="D57" s="120">
        <f t="shared" si="37"/>
        <v>0</v>
      </c>
      <c r="E57" s="120">
        <f t="shared" si="37"/>
        <v>0</v>
      </c>
      <c r="F57" s="120">
        <f t="shared" si="37"/>
        <v>-0.5393094052666666</v>
      </c>
      <c r="G57" s="120">
        <f t="shared" si="37"/>
        <v>-4.7538619098044395</v>
      </c>
      <c r="H57" s="120">
        <f t="shared" si="37"/>
        <v>-5.511996191936289</v>
      </c>
      <c r="I57" s="120">
        <f t="shared" si="37"/>
        <v>-6.7446125522088947</v>
      </c>
      <c r="J57" s="120">
        <f t="shared" si="37"/>
        <v>-1.3627169208187435</v>
      </c>
      <c r="K57" s="120">
        <f t="shared" si="37"/>
        <v>5.9873766460293663</v>
      </c>
      <c r="L57" s="120">
        <f t="shared" ref="L57:T57" si="38">L50*L$55</f>
        <v>16.877208558741742</v>
      </c>
      <c r="M57" s="120">
        <f t="shared" si="38"/>
        <v>41.172346218331839</v>
      </c>
      <c r="N57" s="120">
        <f t="shared" si="38"/>
        <v>53.721863922444577</v>
      </c>
      <c r="O57" s="120">
        <f t="shared" si="38"/>
        <v>478.69175261797608</v>
      </c>
      <c r="P57" s="120">
        <f t="shared" si="38"/>
        <v>539.61008502750292</v>
      </c>
      <c r="Q57" s="120">
        <f t="shared" si="38"/>
        <v>452.14784133014018</v>
      </c>
      <c r="R57" s="120">
        <f t="shared" si="38"/>
        <v>387.29160124180493</v>
      </c>
      <c r="S57" s="120">
        <f t="shared" si="38"/>
        <v>418.21542382761561</v>
      </c>
      <c r="T57" s="120">
        <f t="shared" si="38"/>
        <v>387.83629509081595</v>
      </c>
      <c r="U57" s="120">
        <f t="shared" ref="U57:W57" si="39">U50*U$55</f>
        <v>374.14005705598936</v>
      </c>
      <c r="V57" s="120">
        <f t="shared" si="39"/>
        <v>377.39759730438715</v>
      </c>
      <c r="W57" s="120">
        <f t="shared" si="39"/>
        <v>353.09438668116354</v>
      </c>
      <c r="X57" s="116">
        <f t="shared" si="36"/>
        <v>341.53442844015092</v>
      </c>
      <c r="Y57" s="120">
        <f t="shared" si="36"/>
        <v>327.64472140425875</v>
      </c>
      <c r="Z57" s="121">
        <f t="shared" si="36"/>
        <v>303.83825869074013</v>
      </c>
    </row>
    <row r="58" spans="1:26" x14ac:dyDescent="0.25">
      <c r="A58" s="76" t="s">
        <v>5</v>
      </c>
      <c r="B58" s="116">
        <f t="shared" ref="B58:K58" si="40">B51*B$55</f>
        <v>0</v>
      </c>
      <c r="C58" s="120">
        <f t="shared" si="40"/>
        <v>0</v>
      </c>
      <c r="D58" s="120">
        <f t="shared" si="40"/>
        <v>0</v>
      </c>
      <c r="E58" s="120">
        <f t="shared" si="40"/>
        <v>0</v>
      </c>
      <c r="F58" s="120">
        <f t="shared" si="40"/>
        <v>-1.5495162622333332</v>
      </c>
      <c r="G58" s="120">
        <f t="shared" si="40"/>
        <v>-18.904391499220331</v>
      </c>
      <c r="H58" s="120">
        <f t="shared" si="40"/>
        <v>-30.340087896858325</v>
      </c>
      <c r="I58" s="120">
        <f t="shared" si="40"/>
        <v>-44.74846603936723</v>
      </c>
      <c r="J58" s="120">
        <f t="shared" si="40"/>
        <v>-37.502724285834617</v>
      </c>
      <c r="K58" s="120">
        <f t="shared" si="40"/>
        <v>-32.872232121634134</v>
      </c>
      <c r="L58" s="120">
        <f t="shared" ref="L58:T58" si="41">L51*L$55</f>
        <v>-20.868676741792427</v>
      </c>
      <c r="M58" s="120">
        <f t="shared" si="41"/>
        <v>3.9257107357343406</v>
      </c>
      <c r="N58" s="120">
        <f t="shared" si="41"/>
        <v>29.666742508001686</v>
      </c>
      <c r="O58" s="120">
        <f t="shared" si="41"/>
        <v>527.53033158477922</v>
      </c>
      <c r="P58" s="120">
        <f t="shared" si="41"/>
        <v>486.75683377049188</v>
      </c>
      <c r="Q58" s="120">
        <f t="shared" si="41"/>
        <v>264.03810138254511</v>
      </c>
      <c r="R58" s="120">
        <f t="shared" si="41"/>
        <v>68.799237296461911</v>
      </c>
      <c r="S58" s="120">
        <f t="shared" si="41"/>
        <v>-59.978351710338657</v>
      </c>
      <c r="T58" s="120">
        <f t="shared" si="41"/>
        <v>-112.16078415390514</v>
      </c>
      <c r="U58" s="120">
        <f t="shared" ref="U58:W58" si="42">U51*U$55</f>
        <v>-189.58902189933116</v>
      </c>
      <c r="V58" s="120">
        <f t="shared" si="42"/>
        <v>-194.85380813608856</v>
      </c>
      <c r="W58" s="120">
        <f t="shared" si="42"/>
        <v>-335.66341464955912</v>
      </c>
      <c r="X58" s="116">
        <f t="shared" si="36"/>
        <v>-444.30947445205595</v>
      </c>
      <c r="Y58" s="120">
        <f t="shared" si="36"/>
        <v>-534.29114534829398</v>
      </c>
      <c r="Z58" s="121">
        <f t="shared" si="36"/>
        <v>-617.96968184312129</v>
      </c>
    </row>
    <row r="59" spans="1:26" x14ac:dyDescent="0.25">
      <c r="A59" s="76" t="s">
        <v>6</v>
      </c>
      <c r="B59" s="116">
        <f t="shared" ref="B59:K59" si="43">B52*B$55</f>
        <v>0</v>
      </c>
      <c r="C59" s="120">
        <f t="shared" si="43"/>
        <v>0</v>
      </c>
      <c r="D59" s="120">
        <f t="shared" si="43"/>
        <v>0</v>
      </c>
      <c r="E59" s="120">
        <f t="shared" si="43"/>
        <v>0</v>
      </c>
      <c r="F59" s="120">
        <f t="shared" si="43"/>
        <v>-1.0214870824166666</v>
      </c>
      <c r="G59" s="120">
        <f t="shared" si="43"/>
        <v>-8.6169910456603631</v>
      </c>
      <c r="H59" s="120">
        <f t="shared" si="43"/>
        <v>-17.898704851830932</v>
      </c>
      <c r="I59" s="120">
        <f t="shared" si="43"/>
        <v>-32.360591376266193</v>
      </c>
      <c r="J59" s="120">
        <f>J52*J$55</f>
        <v>-41.863078638494279</v>
      </c>
      <c r="K59" s="120">
        <f t="shared" si="43"/>
        <v>-50.380616419195348</v>
      </c>
      <c r="L59" s="120">
        <f t="shared" ref="L59:T59" si="44">L52*L$55</f>
        <v>-56.544660198561949</v>
      </c>
      <c r="M59" s="120">
        <f t="shared" si="44"/>
        <v>-70.145470626829336</v>
      </c>
      <c r="N59" s="120">
        <f t="shared" si="44"/>
        <v>-68.659673403835995</v>
      </c>
      <c r="O59" s="120">
        <f t="shared" si="44"/>
        <v>1561.3846080676385</v>
      </c>
      <c r="P59" s="120">
        <f t="shared" si="44"/>
        <v>1768.9370335638173</v>
      </c>
      <c r="Q59" s="120">
        <f t="shared" si="44"/>
        <v>1510.9527082183611</v>
      </c>
      <c r="R59" s="120">
        <f t="shared" si="44"/>
        <v>1263.8543393509581</v>
      </c>
      <c r="S59" s="120">
        <f t="shared" si="44"/>
        <v>1313.4229406699385</v>
      </c>
      <c r="T59" s="120">
        <f t="shared" si="44"/>
        <v>1126.9444619411224</v>
      </c>
      <c r="U59" s="120">
        <f t="shared" ref="U59:W59" si="45">U52*U$55</f>
        <v>1039.3449303329114</v>
      </c>
      <c r="V59" s="120">
        <f t="shared" si="45"/>
        <v>878.6352160647649</v>
      </c>
      <c r="W59" s="120">
        <f t="shared" si="45"/>
        <v>614.94007863958336</v>
      </c>
      <c r="X59" s="116">
        <f t="shared" si="36"/>
        <v>389.45685978068872</v>
      </c>
      <c r="Y59" s="120">
        <f t="shared" si="36"/>
        <v>175.46728674629335</v>
      </c>
      <c r="Z59" s="121">
        <f t="shared" si="36"/>
        <v>-42.763315701771553</v>
      </c>
    </row>
    <row r="60" spans="1:26" ht="15.75" thickBot="1" x14ac:dyDescent="0.3">
      <c r="A60" s="76" t="s">
        <v>7</v>
      </c>
      <c r="B60" s="116">
        <f t="shared" ref="B60:K60" si="46">B53*B$55</f>
        <v>0</v>
      </c>
      <c r="C60" s="120">
        <f t="shared" si="46"/>
        <v>0</v>
      </c>
      <c r="D60" s="120">
        <f t="shared" si="46"/>
        <v>0</v>
      </c>
      <c r="E60" s="120">
        <f t="shared" si="46"/>
        <v>0</v>
      </c>
      <c r="F60" s="120">
        <f t="shared" si="46"/>
        <v>0</v>
      </c>
      <c r="G60" s="120">
        <f t="shared" si="46"/>
        <v>-2.5406751930000002</v>
      </c>
      <c r="H60" s="120">
        <f t="shared" si="46"/>
        <v>-7.3592268311878595</v>
      </c>
      <c r="I60" s="120">
        <f t="shared" si="46"/>
        <v>-14.215720334968859</v>
      </c>
      <c r="J60" s="120">
        <f t="shared" si="46"/>
        <v>-19.290873552814137</v>
      </c>
      <c r="K60" s="120">
        <f t="shared" si="46"/>
        <v>-24.097498247152753</v>
      </c>
      <c r="L60" s="120">
        <f t="shared" ref="L60:T60" si="47">L53*L$55</f>
        <v>-28.152975911320841</v>
      </c>
      <c r="M60" s="120">
        <f t="shared" si="47"/>
        <v>-39.303208982586895</v>
      </c>
      <c r="N60" s="120">
        <f t="shared" si="47"/>
        <v>-38.328823080405158</v>
      </c>
      <c r="O60" s="120">
        <f t="shared" si="47"/>
        <v>1223.1513483324031</v>
      </c>
      <c r="P60" s="120">
        <f t="shared" si="47"/>
        <v>1412.1224412600916</v>
      </c>
      <c r="Q60" s="120">
        <f t="shared" si="47"/>
        <v>1245.5179402461706</v>
      </c>
      <c r="R60" s="120">
        <f t="shared" si="47"/>
        <v>1077.9360991212498</v>
      </c>
      <c r="S60" s="120">
        <f t="shared" si="47"/>
        <v>1084.8708442385375</v>
      </c>
      <c r="T60" s="120">
        <f t="shared" si="47"/>
        <v>861.3289979623014</v>
      </c>
      <c r="U60" s="120">
        <f t="shared" ref="U60:W60" si="48">U53*U$55</f>
        <v>656.99260974566198</v>
      </c>
      <c r="V60" s="120">
        <f t="shared" si="48"/>
        <v>412.76166440941228</v>
      </c>
      <c r="W60" s="120">
        <f t="shared" si="48"/>
        <v>180.31979493064148</v>
      </c>
      <c r="X60" s="116">
        <f t="shared" si="36"/>
        <v>-38.625059413411442</v>
      </c>
      <c r="Y60" s="120">
        <f t="shared" si="36"/>
        <v>-243.50502551699867</v>
      </c>
      <c r="Z60" s="121">
        <f t="shared" si="36"/>
        <v>-454.25413625908192</v>
      </c>
    </row>
    <row r="61" spans="1:26" ht="16.5" thickTop="1" thickBot="1" x14ac:dyDescent="0.3">
      <c r="A61" s="132" t="s">
        <v>75</v>
      </c>
      <c r="B61" s="133">
        <f>SUM(B56:B60)+SUM(B49:B53)-B64</f>
        <v>0</v>
      </c>
      <c r="C61" s="134">
        <f>SUM(C56:C60)+SUM(C49:C53)-C64</f>
        <v>0</v>
      </c>
      <c r="D61" s="134">
        <f t="shared" ref="D61:J61" si="49">SUM(D56:D60)+SUM(D49:D53)-D64</f>
        <v>0</v>
      </c>
      <c r="E61" s="134">
        <f t="shared" si="49"/>
        <v>0</v>
      </c>
      <c r="F61" s="134">
        <f>SUM(F56:F60)+SUM(F49:F53)-F64</f>
        <v>0</v>
      </c>
      <c r="G61" s="137">
        <f>SUM(G56:G60)+SUM(G49:G53)-G64</f>
        <v>0</v>
      </c>
      <c r="H61" s="134">
        <f t="shared" si="49"/>
        <v>0</v>
      </c>
      <c r="I61" s="134">
        <f t="shared" si="49"/>
        <v>0</v>
      </c>
      <c r="J61" s="134">
        <f t="shared" si="49"/>
        <v>0</v>
      </c>
      <c r="K61" s="134">
        <f>SUM(K56:K60)+SUM(K49:K53)-K64</f>
        <v>0</v>
      </c>
      <c r="L61" s="134">
        <f t="shared" ref="L61:T61" si="50">SUM(L56:L60)+SUM(L49:L53)-L64</f>
        <v>0</v>
      </c>
      <c r="M61" s="134">
        <f t="shared" si="50"/>
        <v>0</v>
      </c>
      <c r="N61" s="134">
        <f t="shared" si="50"/>
        <v>0</v>
      </c>
      <c r="O61" s="137">
        <f>SUM(O56:O60)+SUM(O49:O53)-O64</f>
        <v>2.0489096641540527E-8</v>
      </c>
      <c r="P61" s="137">
        <f t="shared" si="50"/>
        <v>1.862645149230957E-8</v>
      </c>
      <c r="Q61" s="137">
        <f t="shared" si="50"/>
        <v>2.0489096641540527E-8</v>
      </c>
      <c r="R61" s="137">
        <f t="shared" si="50"/>
        <v>1.9557774066925049E-8</v>
      </c>
      <c r="S61" s="137">
        <f t="shared" si="50"/>
        <v>2.0489096641540527E-8</v>
      </c>
      <c r="T61" s="137">
        <f t="shared" si="50"/>
        <v>1.9557774066925049E-8</v>
      </c>
      <c r="U61" s="137">
        <f t="shared" ref="U61" si="51">SUM(U56:U60)+SUM(U49:U53)-U64</f>
        <v>2.1420419216156006E-8</v>
      </c>
      <c r="V61" s="137">
        <f t="shared" ref="V61" si="52">SUM(V56:V60)+SUM(V49:V53)-V64</f>
        <v>1.9557774066925049E-8</v>
      </c>
      <c r="W61" s="137">
        <f t="shared" ref="W61" si="53">SUM(W56:W60)+SUM(W49:W53)-W64</f>
        <v>1.9557774066925049E-8</v>
      </c>
      <c r="X61" s="133">
        <f>SUM(X56:X60)+SUM(X49:X53)-X64</f>
        <v>2.0023435354232788E-8</v>
      </c>
      <c r="Y61" s="134">
        <f>SUM(Y56:Y60)+SUM(Y49:Y53)-Y64</f>
        <v>1.9557774066925049E-8</v>
      </c>
      <c r="Z61" s="135">
        <f>SUM(Z56:Z60)+SUM(Z49:Z53)-Z64</f>
        <v>2.0023435354232788E-8</v>
      </c>
    </row>
    <row r="62" spans="1:26" ht="16.5" thickTop="1" thickBot="1" x14ac:dyDescent="0.3">
      <c r="A62" s="132" t="s">
        <v>76</v>
      </c>
      <c r="B62" s="136">
        <f>SUM(B56:B60)-B39</f>
        <v>0</v>
      </c>
      <c r="C62" s="137">
        <f t="shared" ref="C62:I62" si="54">SUM(C56:C60)-C39</f>
        <v>0</v>
      </c>
      <c r="D62" s="137">
        <f t="shared" si="54"/>
        <v>0</v>
      </c>
      <c r="E62" s="137">
        <f t="shared" si="54"/>
        <v>-4.4190201499999526E-3</v>
      </c>
      <c r="F62" s="137">
        <f t="shared" si="54"/>
        <v>2.8282966259043363E-3</v>
      </c>
      <c r="G62" s="137">
        <f>SUM(G56:G60)-G39</f>
        <v>6.5508329569752277E-4</v>
      </c>
      <c r="H62" s="137">
        <f t="shared" si="54"/>
        <v>4.4959036100635785E-3</v>
      </c>
      <c r="I62" s="137">
        <f t="shared" si="54"/>
        <v>-3.2885115697638412E-3</v>
      </c>
      <c r="J62" s="137">
        <f>SUM(J56:J60)-J39</f>
        <v>-8.430289186662776E-4</v>
      </c>
      <c r="K62" s="137">
        <f>SUM(K56:K60)-K39</f>
        <v>9.6574036021479515E-4</v>
      </c>
      <c r="L62" s="137">
        <f>SUM(L56:L60)-L39</f>
        <v>4.3313748141429187E-3</v>
      </c>
      <c r="M62" s="137">
        <f t="shared" ref="M62:T62" si="55">SUM(M56:M60)-M39</f>
        <v>-3.4341271651783245E-4</v>
      </c>
      <c r="N62" s="137">
        <f t="shared" si="55"/>
        <v>-3.1017131810813225E-3</v>
      </c>
      <c r="O62" s="137">
        <f>SUM(O56:O60)-O39</f>
        <v>-2.6487641844141763E-3</v>
      </c>
      <c r="P62" s="137">
        <f t="shared" si="55"/>
        <v>-1.1285981945547974E-3</v>
      </c>
      <c r="Q62" s="137">
        <f t="shared" si="55"/>
        <v>1.4586535653506871E-3</v>
      </c>
      <c r="R62" s="137">
        <f t="shared" si="55"/>
        <v>7.808847740307101E-4</v>
      </c>
      <c r="S62" s="137">
        <f t="shared" si="55"/>
        <v>-3.8957041697358363E-3</v>
      </c>
      <c r="T62" s="137">
        <f t="shared" si="55"/>
        <v>-3.5598235299403314E-3</v>
      </c>
      <c r="U62" s="137">
        <f t="shared" ref="U62:W62" si="56">SUM(U56:U60)-U39</f>
        <v>1.1505574821057962E-3</v>
      </c>
      <c r="V62" s="137">
        <f t="shared" si="56"/>
        <v>-2.113357423695561E-3</v>
      </c>
      <c r="W62" s="137">
        <f t="shared" si="56"/>
        <v>-2.3793274822310195E-3</v>
      </c>
      <c r="X62" s="133">
        <f>SUM(X56:X60)-X39</f>
        <v>-1.2145595974288881E-5</v>
      </c>
      <c r="Y62" s="134">
        <f>SUM(Y56:Y60)-Y39</f>
        <v>-1.216028101680422E-5</v>
      </c>
      <c r="Z62" s="135">
        <f>SUM(Z56:Z60)-Z39</f>
        <v>-1.2174983112345217E-5</v>
      </c>
    </row>
    <row r="63" spans="1:26" ht="15.75" thickTop="1" x14ac:dyDescent="0.25">
      <c r="B63" s="103"/>
      <c r="C63" s="104"/>
      <c r="D63" s="104"/>
      <c r="E63" s="104"/>
      <c r="F63" s="104"/>
      <c r="G63" s="106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3"/>
      <c r="Y63" s="104"/>
      <c r="Z63" s="107"/>
    </row>
    <row r="64" spans="1:26" x14ac:dyDescent="0.25">
      <c r="A64" s="76" t="s">
        <v>77</v>
      </c>
      <c r="B64" s="116">
        <f>(B15-SUM(B22:B26))+SUM(B56:B60)</f>
        <v>0</v>
      </c>
      <c r="C64" s="120">
        <f t="shared" ref="C64:Z64" si="57">(SUM(C15:C19)-SUM(C22:C26))+SUM(C56:C60)+B64</f>
        <v>0</v>
      </c>
      <c r="D64" s="120">
        <f t="shared" si="57"/>
        <v>0</v>
      </c>
      <c r="E64" s="120">
        <f>(SUM(E15:E19)-SUM(E22:E26))+SUM(E56:E60)+D64</f>
        <v>1329.6055809798499</v>
      </c>
      <c r="F64" s="120">
        <f t="shared" si="57"/>
        <v>-6541.091590723524</v>
      </c>
      <c r="G64" s="120">
        <f>(SUM(G15:G19)-SUM(G22:G26))+SUM(G56:G60)+F64</f>
        <v>-139667.53093564021</v>
      </c>
      <c r="H64" s="120">
        <f t="shared" si="57"/>
        <v>-191449.07643973659</v>
      </c>
      <c r="I64" s="120">
        <f t="shared" si="57"/>
        <v>-114260.33972824828</v>
      </c>
      <c r="J64" s="120">
        <f t="shared" si="57"/>
        <v>318696.50942872278</v>
      </c>
      <c r="K64" s="117">
        <f t="shared" si="57"/>
        <v>271723.33039446315</v>
      </c>
      <c r="L64" s="117">
        <f t="shared" ref="L64" si="58">(SUM(L15:L19)-SUM(L22:L26))+SUM(L56:L60)+K64</f>
        <v>341028.25472583779</v>
      </c>
      <c r="M64" s="117">
        <f t="shared" ref="M64" si="59">(SUM(M15:M19)-SUM(M22:M26))+SUM(M56:M60)+L64</f>
        <v>493325.63438242511</v>
      </c>
      <c r="N64" s="117">
        <f t="shared" ref="N64" si="60">(SUM(N15:N19)-SUM(N22:N26))+SUM(N56:N60)+M64</f>
        <v>465985.09128071187</v>
      </c>
      <c r="O64" s="117">
        <f>(SUM(O15:O19)-SUM(O22:O26))+SUM(O56:O60)+N64+N65</f>
        <v>12122508.202332299</v>
      </c>
      <c r="P64" s="117">
        <f t="shared" ref="P64" si="61">(SUM(P15:P19)-SUM(P22:P26))+SUM(P56:P60)+O64</f>
        <v>10669333.811203701</v>
      </c>
      <c r="Q64" s="117">
        <f t="shared" ref="Q64" si="62">(SUM(Q15:Q19)-SUM(Q22:Q26))+SUM(Q56:Q60)+P64</f>
        <v>9125179.8526623547</v>
      </c>
      <c r="R64" s="117">
        <f t="shared" ref="R64" si="63">(SUM(R15:R19)-SUM(R22:R26))+SUM(R56:R60)+Q64</f>
        <v>7690348.0234432388</v>
      </c>
      <c r="S64" s="117">
        <f t="shared" ref="S64" si="64">(SUM(S15:S19)-SUM(S22:S26))+SUM(S56:S60)+R64</f>
        <v>6751239.2295475351</v>
      </c>
      <c r="T64" s="117">
        <f t="shared" ref="T64" si="65">(SUM(T15:T19)-SUM(T22:T26))+SUM(T56:T60)+S64</f>
        <v>5977194.3559877118</v>
      </c>
      <c r="U64" s="117">
        <f t="shared" ref="U64" si="66">(SUM(U15:U19)-SUM(U22:U26))+SUM(U56:U60)+T64</f>
        <v>5292979.5371382684</v>
      </c>
      <c r="V64" s="117">
        <f t="shared" ref="V64" si="67">(SUM(V15:V19)-SUM(V22:V26))+SUM(V56:V60)+U64</f>
        <v>4554328.3650249112</v>
      </c>
      <c r="W64" s="117">
        <f t="shared" ref="W64" si="68">(SUM(W15:W19)-SUM(W22:W26))+SUM(W56:W60)+V64</f>
        <v>3112526.0726455841</v>
      </c>
      <c r="X64" s="116">
        <f>(SUM(X15:X19)-SUM(X22:X26))+SUM(X56:X60)+W64</f>
        <v>2037069.9845206889</v>
      </c>
      <c r="Y64" s="120">
        <f t="shared" si="57"/>
        <v>678419.29054154409</v>
      </c>
      <c r="Z64" s="121">
        <f t="shared" si="57"/>
        <v>-1124519.6106681221</v>
      </c>
    </row>
    <row r="65" spans="1:26" x14ac:dyDescent="0.25">
      <c r="A65" s="223" t="s">
        <v>138</v>
      </c>
      <c r="B65" s="103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300">
        <f>+'TDR (M1 Final)'!AX68</f>
        <v>13541921.743700352</v>
      </c>
      <c r="O65" s="104"/>
      <c r="P65" s="104"/>
      <c r="Q65" s="104"/>
      <c r="R65" s="104"/>
      <c r="S65" s="104"/>
      <c r="T65" s="104"/>
      <c r="U65" s="104"/>
      <c r="V65" s="104"/>
      <c r="W65" s="104"/>
      <c r="X65" s="103"/>
      <c r="Y65" s="104"/>
      <c r="Z65" s="107"/>
    </row>
    <row r="66" spans="1:26" x14ac:dyDescent="0.25">
      <c r="A66" s="285" t="s">
        <v>0</v>
      </c>
      <c r="B66" s="103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279">
        <f>+'TDR (M1 Final)'!AX53+'TDR (M1 Final)'!AX60</f>
        <v>7611904.5234541874</v>
      </c>
      <c r="O66" s="104"/>
      <c r="P66" s="104"/>
      <c r="Q66" s="104"/>
      <c r="R66" s="104"/>
      <c r="S66" s="104"/>
      <c r="T66" s="104"/>
      <c r="U66" s="104"/>
      <c r="V66" s="104"/>
      <c r="W66" s="104"/>
      <c r="X66" s="103"/>
      <c r="Y66" s="104"/>
      <c r="Z66" s="107"/>
    </row>
    <row r="67" spans="1:26" x14ac:dyDescent="0.25">
      <c r="A67" s="285" t="s">
        <v>4</v>
      </c>
      <c r="B67" s="103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279">
        <f>+'TDR (M1 Final)'!AX54+'TDR (M1 Final)'!AX61</f>
        <v>668388.03466751985</v>
      </c>
      <c r="O67" s="104"/>
      <c r="P67" s="104"/>
      <c r="Q67" s="104"/>
      <c r="R67" s="104"/>
      <c r="S67" s="104"/>
      <c r="T67" s="104"/>
      <c r="U67" s="104"/>
      <c r="V67" s="104"/>
      <c r="W67" s="104"/>
      <c r="X67" s="103"/>
      <c r="Y67" s="104"/>
      <c r="Z67" s="107"/>
    </row>
    <row r="68" spans="1:26" x14ac:dyDescent="0.25">
      <c r="A68" s="285" t="s">
        <v>5</v>
      </c>
      <c r="B68" s="103"/>
      <c r="C68" s="104"/>
      <c r="D68" s="104"/>
      <c r="E68" s="303"/>
      <c r="F68" s="303"/>
      <c r="G68" s="303"/>
      <c r="H68" s="303"/>
      <c r="I68" s="303"/>
      <c r="J68" s="303"/>
      <c r="K68" s="303"/>
      <c r="L68" s="303"/>
      <c r="M68" s="303"/>
      <c r="N68" s="279">
        <f>+'TDR (M1 Final)'!AX55+'TDR (M1 Final)'!AX62</f>
        <v>905880.95458707912</v>
      </c>
      <c r="O68" s="104"/>
      <c r="P68" s="303"/>
      <c r="Q68" s="303"/>
      <c r="R68" s="303"/>
      <c r="S68" s="303"/>
      <c r="T68" s="303"/>
      <c r="U68" s="303"/>
      <c r="V68" s="303"/>
      <c r="W68" s="303"/>
      <c r="X68" s="103"/>
      <c r="Y68" s="104"/>
      <c r="Z68" s="107"/>
    </row>
    <row r="69" spans="1:26" x14ac:dyDescent="0.25">
      <c r="A69" s="285" t="s">
        <v>6</v>
      </c>
      <c r="B69" s="103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279">
        <f>+'TDR (M1 Final)'!AX56+'TDR (M1 Final)'!AX63</f>
        <v>2477461.885016053</v>
      </c>
      <c r="O69" s="104"/>
      <c r="P69" s="104"/>
      <c r="Q69" s="104"/>
      <c r="R69" s="104"/>
      <c r="S69" s="104"/>
      <c r="T69" s="104"/>
      <c r="U69" s="104"/>
      <c r="V69" s="104"/>
      <c r="W69" s="104"/>
      <c r="X69" s="103"/>
      <c r="Y69" s="104"/>
      <c r="Z69" s="107"/>
    </row>
    <row r="70" spans="1:26" ht="15.75" thickBot="1" x14ac:dyDescent="0.3">
      <c r="A70" s="285" t="s">
        <v>7</v>
      </c>
      <c r="B70" s="139"/>
      <c r="C70" s="140"/>
      <c r="D70" s="140"/>
      <c r="E70" s="304"/>
      <c r="F70" s="304"/>
      <c r="G70" s="304"/>
      <c r="H70" s="304"/>
      <c r="I70" s="304"/>
      <c r="J70" s="304"/>
      <c r="K70" s="304"/>
      <c r="L70" s="304"/>
      <c r="M70" s="304"/>
      <c r="N70" s="301">
        <f>+'TDR (M1 Final)'!AX57+'TDR (M1 Final)'!AX64</f>
        <v>1878286.3459755329</v>
      </c>
      <c r="O70" s="140"/>
      <c r="P70" s="304"/>
      <c r="Q70" s="304"/>
      <c r="R70" s="304"/>
      <c r="S70" s="304"/>
      <c r="T70" s="304"/>
      <c r="U70" s="304"/>
      <c r="V70" s="304"/>
      <c r="W70" s="304"/>
      <c r="X70" s="139"/>
      <c r="Y70" s="140"/>
      <c r="Z70" s="141"/>
    </row>
    <row r="71" spans="1:26" x14ac:dyDescent="0.25">
      <c r="B71" s="56"/>
      <c r="C71" s="56"/>
      <c r="D71" s="56"/>
      <c r="E71" s="56"/>
      <c r="F71" s="56"/>
      <c r="G71" s="56"/>
      <c r="H71" s="56"/>
    </row>
    <row r="75" spans="1:26" x14ac:dyDescent="0.25">
      <c r="C75" s="56"/>
      <c r="D75" s="56"/>
      <c r="E75" s="56"/>
      <c r="F75" s="56"/>
      <c r="G75" s="56"/>
      <c r="H75" s="56"/>
    </row>
  </sheetData>
  <mergeCells count="1">
    <mergeCell ref="X13:Z1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I83"/>
  <sheetViews>
    <sheetView zoomScaleNormal="100" workbookViewId="0">
      <pane xSplit="1" ySplit="14" topLeftCell="B35" activePane="bottomRight" state="frozen"/>
      <selection activeCell="AP76" sqref="AP76"/>
      <selection pane="topRight" activeCell="AP76" sqref="AP76"/>
      <selection pane="bottomLeft" activeCell="AP76" sqref="AP76"/>
      <selection pane="bottomRight" activeCell="H10" sqref="H10"/>
    </sheetView>
  </sheetViews>
  <sheetFormatPr defaultColWidth="9.140625" defaultRowHeight="15" x14ac:dyDescent="0.25"/>
  <cols>
    <col min="1" max="1" width="17.5703125" style="76" customWidth="1"/>
    <col min="2" max="2" width="15.140625" style="76" customWidth="1"/>
    <col min="3" max="3" width="14.5703125" style="76" customWidth="1"/>
    <col min="4" max="4" width="15.140625" style="76" customWidth="1"/>
    <col min="5" max="5" width="16.140625" style="76" customWidth="1"/>
    <col min="6" max="6" width="14.28515625" style="76" bestFit="1" customWidth="1"/>
    <col min="7" max="7" width="16" style="76" customWidth="1"/>
    <col min="8" max="9" width="14.28515625" style="76" bestFit="1" customWidth="1"/>
    <col min="10" max="10" width="15.5703125" style="76" customWidth="1"/>
    <col min="11" max="11" width="14" style="76" customWidth="1"/>
    <col min="12" max="12" width="17" style="76" bestFit="1" customWidth="1"/>
    <col min="13" max="50" width="17.28515625" style="76" customWidth="1"/>
    <col min="51" max="51" width="19" style="76" customWidth="1"/>
    <col min="52" max="16384" width="9.140625" style="76"/>
  </cols>
  <sheetData>
    <row r="2" spans="1:61" x14ac:dyDescent="0.25">
      <c r="B2" s="244" t="s">
        <v>130</v>
      </c>
      <c r="I2" s="3" t="s">
        <v>27</v>
      </c>
    </row>
    <row r="3" spans="1:61" x14ac:dyDescent="0.25">
      <c r="B3" s="159" t="s">
        <v>68</v>
      </c>
      <c r="C3" s="159" t="s">
        <v>96</v>
      </c>
      <c r="D3" s="159" t="s">
        <v>97</v>
      </c>
      <c r="E3" s="159" t="s">
        <v>95</v>
      </c>
      <c r="F3" s="159" t="s">
        <v>69</v>
      </c>
      <c r="G3" s="159" t="s">
        <v>108</v>
      </c>
      <c r="I3" s="58" t="s">
        <v>98</v>
      </c>
      <c r="J3" s="50"/>
      <c r="K3" s="50"/>
      <c r="L3" s="50"/>
      <c r="N3" s="159"/>
    </row>
    <row r="4" spans="1:61" x14ac:dyDescent="0.25">
      <c r="A4" s="77" t="s">
        <v>0</v>
      </c>
      <c r="B4" s="24">
        <f>SUM(B18:AX18)</f>
        <v>87680468.11999999</v>
      </c>
      <c r="C4" s="90">
        <f>SUM(B25:AX25)</f>
        <v>642317.57999999984</v>
      </c>
      <c r="D4" s="24">
        <f>SUM(B36:AX36)</f>
        <v>95362857.058370993</v>
      </c>
      <c r="E4" s="24">
        <f>D4-B4</f>
        <v>7682388.9383710027</v>
      </c>
      <c r="F4" s="24">
        <f>SUM(B60:AX60)</f>
        <v>-70484.414916831389</v>
      </c>
      <c r="G4" s="42">
        <f>E4+F4</f>
        <v>7611904.5234541716</v>
      </c>
      <c r="I4" s="58" t="s">
        <v>154</v>
      </c>
      <c r="J4" s="50"/>
      <c r="K4" s="50"/>
      <c r="L4" s="50"/>
    </row>
    <row r="5" spans="1:61" x14ac:dyDescent="0.25">
      <c r="A5" s="77" t="s">
        <v>4</v>
      </c>
      <c r="B5" s="24">
        <f>SUM(B19:AX19)</f>
        <v>8886412.9100000001</v>
      </c>
      <c r="C5" s="90">
        <f>SUM(B26:AX26)</f>
        <v>60815.650000000096</v>
      </c>
      <c r="D5" s="24">
        <f>SUM(B37:AX37)</f>
        <v>9485696.353171356</v>
      </c>
      <c r="E5" s="24">
        <f>D5-B5</f>
        <v>599283.44317135587</v>
      </c>
      <c r="F5" s="24">
        <f>SUM(B61:AX61)</f>
        <v>69104.591496165638</v>
      </c>
      <c r="G5" s="42">
        <f>E5+F5</f>
        <v>668388.03466752148</v>
      </c>
      <c r="I5" s="58" t="s">
        <v>99</v>
      </c>
      <c r="J5" s="50"/>
      <c r="K5" s="50"/>
      <c r="L5" s="50"/>
    </row>
    <row r="6" spans="1:61" x14ac:dyDescent="0.25">
      <c r="A6" s="77" t="s">
        <v>5</v>
      </c>
      <c r="B6" s="24">
        <f>SUM(B20:AX20)</f>
        <v>39353866.870000005</v>
      </c>
      <c r="C6" s="90">
        <f>SUM(B27:AX27)</f>
        <v>258821.08000000013</v>
      </c>
      <c r="D6" s="24">
        <f>SUM(B38:AX38)</f>
        <v>40073980.10567683</v>
      </c>
      <c r="E6" s="24">
        <f>D6-B6</f>
        <v>720113.23567682505</v>
      </c>
      <c r="F6" s="24">
        <f>SUM(B62:AX62)</f>
        <v>185767.71891024709</v>
      </c>
      <c r="G6" s="42">
        <f>E6+F6</f>
        <v>905880.95458707213</v>
      </c>
      <c r="I6" s="58" t="s">
        <v>86</v>
      </c>
      <c r="J6" s="50"/>
      <c r="K6" s="50"/>
      <c r="L6" s="50"/>
    </row>
    <row r="7" spans="1:61" x14ac:dyDescent="0.25">
      <c r="A7" s="77" t="s">
        <v>6</v>
      </c>
      <c r="B7" s="24">
        <f>SUM(B21:AX21)</f>
        <v>15208788.039999999</v>
      </c>
      <c r="C7" s="90">
        <f>SUM(B28:AX28)</f>
        <v>118710.42000000011</v>
      </c>
      <c r="D7" s="24">
        <f>SUM(B39:AX39)</f>
        <v>17608862.934257451</v>
      </c>
      <c r="E7" s="24">
        <f>D7-B7</f>
        <v>2400074.8942574523</v>
      </c>
      <c r="F7" s="24">
        <f>SUM(B63:AX63)</f>
        <v>77386.990758603031</v>
      </c>
      <c r="G7" s="42">
        <f>E7+F7</f>
        <v>2477461.8850160553</v>
      </c>
      <c r="I7" s="58"/>
      <c r="J7" s="50"/>
      <c r="K7" s="50"/>
      <c r="L7" s="50"/>
    </row>
    <row r="8" spans="1:61" ht="15.75" thickBot="1" x14ac:dyDescent="0.3">
      <c r="A8" s="77" t="s">
        <v>7</v>
      </c>
      <c r="B8" s="24">
        <f>SUM(B22:AX22)</f>
        <v>8859195.6000000034</v>
      </c>
      <c r="C8" s="90">
        <f>SUM(B29:AX29)</f>
        <v>76004.320000000094</v>
      </c>
      <c r="D8" s="24">
        <f>SUM(B40:AX40)</f>
        <v>10744418.888523355</v>
      </c>
      <c r="E8" s="24">
        <f>D8-B8</f>
        <v>1885223.2885233518</v>
      </c>
      <c r="F8" s="24">
        <f>SUM(B64:AX64)</f>
        <v>-6936.9425478226676</v>
      </c>
      <c r="G8" s="42">
        <f>E8+F8</f>
        <v>1878286.3459755292</v>
      </c>
    </row>
    <row r="9" spans="1:61" ht="16.5" thickTop="1" thickBot="1" x14ac:dyDescent="0.3">
      <c r="B9" s="91">
        <f t="shared" ref="B9:G9" si="0">SUM(B4:B8)</f>
        <v>159988731.53999996</v>
      </c>
      <c r="C9" s="90">
        <f>SUM(C4:C8)</f>
        <v>1156669.0500000003</v>
      </c>
      <c r="D9" s="91">
        <f t="shared" si="0"/>
        <v>173275815.33999997</v>
      </c>
      <c r="E9" s="91">
        <f t="shared" si="0"/>
        <v>13287083.799999988</v>
      </c>
      <c r="F9" s="24">
        <f t="shared" si="0"/>
        <v>254837.94370036171</v>
      </c>
      <c r="G9" s="91">
        <f t="shared" si="0"/>
        <v>13541921.74370035</v>
      </c>
      <c r="I9" s="58"/>
      <c r="O9" s="5"/>
    </row>
    <row r="10" spans="1:61" ht="16.5" thickTop="1" thickBot="1" x14ac:dyDescent="0.3">
      <c r="E10" s="39" t="s">
        <v>26</v>
      </c>
      <c r="F10" s="21">
        <f>F9-SUM(B43:AX43)</f>
        <v>3.7003616744186729E-3</v>
      </c>
      <c r="J10" s="50"/>
      <c r="K10" s="50"/>
      <c r="L10" s="50"/>
    </row>
    <row r="11" spans="1:61" ht="15.75" thickTop="1" x14ac:dyDescent="0.25">
      <c r="E11" s="4"/>
      <c r="F11" s="4"/>
    </row>
    <row r="12" spans="1:61" ht="15.75" thickBot="1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61" ht="15.75" thickBot="1" x14ac:dyDescent="0.3">
      <c r="B13" s="92"/>
      <c r="C13" s="93"/>
      <c r="D13" s="94" t="s">
        <v>100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336"/>
      <c r="AW13" s="336"/>
      <c r="AX13" s="337"/>
    </row>
    <row r="14" spans="1:61" x14ac:dyDescent="0.25">
      <c r="A14" s="76" t="s">
        <v>101</v>
      </c>
      <c r="B14" s="95">
        <v>41275</v>
      </c>
      <c r="C14" s="96">
        <f t="shared" ref="C14:AU14" si="1">EDATE(B14,1)</f>
        <v>41306</v>
      </c>
      <c r="D14" s="96">
        <f t="shared" si="1"/>
        <v>41334</v>
      </c>
      <c r="E14" s="96">
        <f t="shared" si="1"/>
        <v>41365</v>
      </c>
      <c r="F14" s="96">
        <f t="shared" si="1"/>
        <v>41395</v>
      </c>
      <c r="G14" s="96">
        <f t="shared" si="1"/>
        <v>41426</v>
      </c>
      <c r="H14" s="96">
        <f t="shared" si="1"/>
        <v>41456</v>
      </c>
      <c r="I14" s="96">
        <f t="shared" si="1"/>
        <v>41487</v>
      </c>
      <c r="J14" s="96">
        <f t="shared" si="1"/>
        <v>41518</v>
      </c>
      <c r="K14" s="96">
        <f t="shared" si="1"/>
        <v>41548</v>
      </c>
      <c r="L14" s="96">
        <f t="shared" si="1"/>
        <v>41579</v>
      </c>
      <c r="M14" s="96">
        <f t="shared" si="1"/>
        <v>41609</v>
      </c>
      <c r="N14" s="96">
        <f t="shared" si="1"/>
        <v>41640</v>
      </c>
      <c r="O14" s="96">
        <f t="shared" si="1"/>
        <v>41671</v>
      </c>
      <c r="P14" s="96">
        <f t="shared" si="1"/>
        <v>41699</v>
      </c>
      <c r="Q14" s="96">
        <f t="shared" si="1"/>
        <v>41730</v>
      </c>
      <c r="R14" s="96">
        <f t="shared" si="1"/>
        <v>41760</v>
      </c>
      <c r="S14" s="96">
        <f t="shared" si="1"/>
        <v>41791</v>
      </c>
      <c r="T14" s="96">
        <f t="shared" si="1"/>
        <v>41821</v>
      </c>
      <c r="U14" s="96">
        <f t="shared" si="1"/>
        <v>41852</v>
      </c>
      <c r="V14" s="96">
        <f t="shared" si="1"/>
        <v>41883</v>
      </c>
      <c r="W14" s="96">
        <f t="shared" si="1"/>
        <v>41913</v>
      </c>
      <c r="X14" s="96">
        <f t="shared" si="1"/>
        <v>41944</v>
      </c>
      <c r="Y14" s="96">
        <f t="shared" si="1"/>
        <v>41974</v>
      </c>
      <c r="Z14" s="96">
        <f t="shared" si="1"/>
        <v>42005</v>
      </c>
      <c r="AA14" s="96">
        <f t="shared" si="1"/>
        <v>42036</v>
      </c>
      <c r="AB14" s="96">
        <f t="shared" si="1"/>
        <v>42064</v>
      </c>
      <c r="AC14" s="96">
        <f t="shared" si="1"/>
        <v>42095</v>
      </c>
      <c r="AD14" s="96">
        <f t="shared" si="1"/>
        <v>42125</v>
      </c>
      <c r="AE14" s="96">
        <f t="shared" si="1"/>
        <v>42156</v>
      </c>
      <c r="AF14" s="96">
        <f t="shared" si="1"/>
        <v>42186</v>
      </c>
      <c r="AG14" s="96">
        <f t="shared" si="1"/>
        <v>42217</v>
      </c>
      <c r="AH14" s="96">
        <f t="shared" si="1"/>
        <v>42248</v>
      </c>
      <c r="AI14" s="96">
        <f t="shared" si="1"/>
        <v>42278</v>
      </c>
      <c r="AJ14" s="96">
        <f t="shared" si="1"/>
        <v>42309</v>
      </c>
      <c r="AK14" s="96">
        <f t="shared" si="1"/>
        <v>42339</v>
      </c>
      <c r="AL14" s="96">
        <f t="shared" si="1"/>
        <v>42370</v>
      </c>
      <c r="AM14" s="96">
        <f t="shared" si="1"/>
        <v>42401</v>
      </c>
      <c r="AN14" s="96">
        <f t="shared" si="1"/>
        <v>42430</v>
      </c>
      <c r="AO14" s="96">
        <f t="shared" si="1"/>
        <v>42461</v>
      </c>
      <c r="AP14" s="96">
        <f t="shared" si="1"/>
        <v>42491</v>
      </c>
      <c r="AQ14" s="96">
        <f t="shared" si="1"/>
        <v>42522</v>
      </c>
      <c r="AR14" s="96">
        <f t="shared" si="1"/>
        <v>42552</v>
      </c>
      <c r="AS14" s="96">
        <f t="shared" si="1"/>
        <v>42583</v>
      </c>
      <c r="AT14" s="96">
        <f t="shared" si="1"/>
        <v>42614</v>
      </c>
      <c r="AU14" s="96">
        <f t="shared" si="1"/>
        <v>42644</v>
      </c>
      <c r="AV14" s="96">
        <f>EDATE(AU14,1)</f>
        <v>42675</v>
      </c>
      <c r="AW14" s="96">
        <f>EDATE(AV14,1)</f>
        <v>42705</v>
      </c>
      <c r="AX14" s="97">
        <f>EDATE(AW14,1)</f>
        <v>42736</v>
      </c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x14ac:dyDescent="0.25">
      <c r="A15" s="76" t="s">
        <v>9</v>
      </c>
      <c r="B15" s="98">
        <v>-317741.14</v>
      </c>
      <c r="C15" s="99">
        <v>1019567.37</v>
      </c>
      <c r="D15" s="99">
        <v>1178656.3799999999</v>
      </c>
      <c r="E15" s="99">
        <v>1462879.64</v>
      </c>
      <c r="F15" s="99">
        <v>3433939.67</v>
      </c>
      <c r="G15" s="99">
        <v>2346012.9</v>
      </c>
      <c r="H15" s="99">
        <v>3687760.97</v>
      </c>
      <c r="I15" s="99">
        <v>2735167.93</v>
      </c>
      <c r="J15" s="46">
        <v>4479801.6900000004</v>
      </c>
      <c r="K15" s="46">
        <v>7082385.5</v>
      </c>
      <c r="L15" s="46">
        <v>4938505.47</v>
      </c>
      <c r="M15" s="46">
        <v>5095234.7</v>
      </c>
      <c r="N15" s="46">
        <v>2389801.65</v>
      </c>
      <c r="O15" s="46">
        <v>3574073.61</v>
      </c>
      <c r="P15" s="46">
        <v>3199891.14</v>
      </c>
      <c r="Q15" s="46">
        <v>3729139.92</v>
      </c>
      <c r="R15" s="46">
        <v>4264770.67</v>
      </c>
      <c r="S15" s="46">
        <v>4565038.71</v>
      </c>
      <c r="T15" s="46">
        <v>4816229.07</v>
      </c>
      <c r="U15" s="46">
        <v>5892743.0199999996</v>
      </c>
      <c r="V15" s="46">
        <v>4527945.4000000004</v>
      </c>
      <c r="W15" s="100">
        <v>4170502.86</v>
      </c>
      <c r="X15" s="100">
        <v>5419401.3600000003</v>
      </c>
      <c r="Y15" s="100">
        <v>5540123.7699999996</v>
      </c>
      <c r="Z15" s="100">
        <v>3442983.51</v>
      </c>
      <c r="AA15" s="100">
        <v>3192263.38</v>
      </c>
      <c r="AB15" s="100">
        <v>4175686.06</v>
      </c>
      <c r="AC15" s="100">
        <v>5414629.6699999999</v>
      </c>
      <c r="AD15" s="100">
        <v>5051606.72</v>
      </c>
      <c r="AE15" s="100">
        <v>4614929.4000000004</v>
      </c>
      <c r="AF15" s="100">
        <v>6642766.4400000004</v>
      </c>
      <c r="AG15" s="100">
        <v>5059683.01</v>
      </c>
      <c r="AH15" s="100">
        <v>7063883.6600000001</v>
      </c>
      <c r="AI15" s="100">
        <v>7726186.9900000002</v>
      </c>
      <c r="AJ15" s="100">
        <v>9745889.0800000001</v>
      </c>
      <c r="AK15" s="100">
        <v>22300366.82</v>
      </c>
      <c r="AL15" s="100">
        <v>-904439.86</v>
      </c>
      <c r="AM15" s="100">
        <v>520995.97</v>
      </c>
      <c r="AN15" s="100">
        <v>39025.870000000003</v>
      </c>
      <c r="AO15" s="100">
        <v>14582.23</v>
      </c>
      <c r="AP15" s="100">
        <v>-9578.49</v>
      </c>
      <c r="AQ15" s="100">
        <v>-37696.300000000003</v>
      </c>
      <c r="AR15" s="100">
        <v>0</v>
      </c>
      <c r="AS15" s="100">
        <v>-3059.65</v>
      </c>
      <c r="AT15" s="100">
        <v>-2246.8000000000002</v>
      </c>
      <c r="AU15" s="100">
        <v>-4474.63</v>
      </c>
      <c r="AV15" s="100">
        <v>0</v>
      </c>
      <c r="AW15" s="100">
        <v>0</v>
      </c>
      <c r="AX15" s="268">
        <v>0</v>
      </c>
      <c r="AY15" s="50"/>
    </row>
    <row r="16" spans="1:61" x14ac:dyDescent="0.25"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6"/>
      <c r="AW16" s="106"/>
      <c r="AX16" s="107"/>
    </row>
    <row r="17" spans="1:55" x14ac:dyDescent="0.25">
      <c r="A17" s="76" t="s">
        <v>102</v>
      </c>
      <c r="B17" s="103"/>
      <c r="C17" s="104"/>
      <c r="D17" s="108" t="s">
        <v>72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6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6"/>
      <c r="AW17" s="106"/>
      <c r="AX17" s="107"/>
      <c r="AY17" s="122"/>
    </row>
    <row r="18" spans="1:55" x14ac:dyDescent="0.25">
      <c r="A18" s="76" t="s">
        <v>0</v>
      </c>
      <c r="B18" s="98">
        <v>816215.33</v>
      </c>
      <c r="C18" s="99">
        <v>1754106.03</v>
      </c>
      <c r="D18" s="99">
        <v>1736547.72</v>
      </c>
      <c r="E18" s="99">
        <v>1448951.69</v>
      </c>
      <c r="F18" s="99">
        <v>1130882.8600000001</v>
      </c>
      <c r="G18" s="99">
        <v>1322188.51</v>
      </c>
      <c r="H18" s="99">
        <v>1780601.04</v>
      </c>
      <c r="I18" s="99">
        <v>1634214.86</v>
      </c>
      <c r="J18" s="99">
        <v>1790818.91</v>
      </c>
      <c r="K18" s="99">
        <v>1245252.4099999999</v>
      </c>
      <c r="L18" s="99">
        <v>1186284.1200000001</v>
      </c>
      <c r="M18" s="99">
        <v>1791546.15</v>
      </c>
      <c r="N18" s="99">
        <v>2387799.9900000002</v>
      </c>
      <c r="O18" s="99">
        <v>3120050.2</v>
      </c>
      <c r="P18" s="99">
        <v>2606540.6</v>
      </c>
      <c r="Q18" s="99">
        <v>1873553.01</v>
      </c>
      <c r="R18" s="99">
        <v>1600693.42</v>
      </c>
      <c r="S18" s="99">
        <v>2085677.23</v>
      </c>
      <c r="T18" s="99">
        <v>2528428.0699999998</v>
      </c>
      <c r="U18" s="99">
        <v>2330344.02</v>
      </c>
      <c r="V18" s="99">
        <v>2489463.16</v>
      </c>
      <c r="W18" s="109">
        <v>1590762.46</v>
      </c>
      <c r="X18" s="109">
        <v>1721241.87</v>
      </c>
      <c r="Y18" s="109">
        <v>2590801.0099999998</v>
      </c>
      <c r="Z18" s="109">
        <v>3206285.66</v>
      </c>
      <c r="AA18" s="109">
        <v>4490167.43</v>
      </c>
      <c r="AB18" s="109">
        <v>4430260.12</v>
      </c>
      <c r="AC18" s="109">
        <v>2812674.63</v>
      </c>
      <c r="AD18" s="109">
        <v>2454624.1</v>
      </c>
      <c r="AE18" s="109">
        <v>3298523.78</v>
      </c>
      <c r="AF18" s="109">
        <v>4224922.91</v>
      </c>
      <c r="AG18" s="109">
        <v>4558951.4800000004</v>
      </c>
      <c r="AH18" s="109">
        <v>3862995.08</v>
      </c>
      <c r="AI18" s="109">
        <v>2807380.93</v>
      </c>
      <c r="AJ18" s="109">
        <v>2493483.5299999998</v>
      </c>
      <c r="AK18" s="109">
        <v>3481230.6</v>
      </c>
      <c r="AL18" s="109">
        <v>4101526.4</v>
      </c>
      <c r="AM18" s="109">
        <v>-297482.3</v>
      </c>
      <c r="AN18" s="109">
        <v>-234756.87</v>
      </c>
      <c r="AO18" s="109">
        <v>-189955.4</v>
      </c>
      <c r="AP18" s="109">
        <v>-166181.45000000001</v>
      </c>
      <c r="AQ18" s="109">
        <v>-248807.76</v>
      </c>
      <c r="AR18" s="109">
        <v>-334863.63</v>
      </c>
      <c r="AS18" s="109">
        <v>-335948.3</v>
      </c>
      <c r="AT18" s="109">
        <v>-303928.25</v>
      </c>
      <c r="AU18" s="109">
        <v>-216650.56</v>
      </c>
      <c r="AV18" s="109">
        <v>-177606.55</v>
      </c>
      <c r="AW18" s="109">
        <v>-273240.15000000002</v>
      </c>
      <c r="AX18" s="269">
        <v>-326101.98</v>
      </c>
    </row>
    <row r="19" spans="1:55" x14ac:dyDescent="0.25">
      <c r="A19" s="76" t="s">
        <v>4</v>
      </c>
      <c r="B19" s="98">
        <v>25218.97</v>
      </c>
      <c r="C19" s="99">
        <v>58999.11</v>
      </c>
      <c r="D19" s="99">
        <v>58441.97</v>
      </c>
      <c r="E19" s="99">
        <v>54691.28</v>
      </c>
      <c r="F19" s="99">
        <v>48331.37</v>
      </c>
      <c r="G19" s="99">
        <v>54583.05</v>
      </c>
      <c r="H19" s="99">
        <v>63696.88</v>
      </c>
      <c r="I19" s="99">
        <v>60628.78</v>
      </c>
      <c r="J19" s="99">
        <v>64083.38</v>
      </c>
      <c r="K19" s="99">
        <v>54100.39</v>
      </c>
      <c r="L19" s="99">
        <v>49728.07</v>
      </c>
      <c r="M19" s="99">
        <v>60510.37</v>
      </c>
      <c r="N19" s="99">
        <v>94584.45</v>
      </c>
      <c r="O19" s="99">
        <v>350769.76</v>
      </c>
      <c r="P19" s="99">
        <v>313677.5</v>
      </c>
      <c r="Q19" s="99">
        <v>265733.78000000003</v>
      </c>
      <c r="R19" s="99">
        <v>253559.23</v>
      </c>
      <c r="S19" s="99">
        <v>289888.46000000002</v>
      </c>
      <c r="T19" s="99">
        <v>323303.31</v>
      </c>
      <c r="U19" s="99">
        <v>306030.25</v>
      </c>
      <c r="V19" s="99">
        <v>322433.43</v>
      </c>
      <c r="W19" s="109">
        <v>257746.51</v>
      </c>
      <c r="X19" s="109">
        <v>256306.4</v>
      </c>
      <c r="Y19" s="109">
        <v>313249.65000000002</v>
      </c>
      <c r="Z19" s="109">
        <v>334009.45</v>
      </c>
      <c r="AA19" s="109">
        <v>183488.15</v>
      </c>
      <c r="AB19" s="109">
        <v>183362.24</v>
      </c>
      <c r="AC19" s="109">
        <v>147357.4</v>
      </c>
      <c r="AD19" s="109">
        <v>139511.26999999999</v>
      </c>
      <c r="AE19" s="109">
        <v>161615.29</v>
      </c>
      <c r="AF19" s="109">
        <v>183995.59</v>
      </c>
      <c r="AG19" s="109">
        <v>191670.88</v>
      </c>
      <c r="AH19" s="109">
        <v>179416.2</v>
      </c>
      <c r="AI19" s="109">
        <v>154244.72</v>
      </c>
      <c r="AJ19" s="109">
        <v>139357.75</v>
      </c>
      <c r="AK19" s="109">
        <v>157329.99</v>
      </c>
      <c r="AL19" s="109">
        <v>188887.58</v>
      </c>
      <c r="AM19" s="109">
        <v>225032.92</v>
      </c>
      <c r="AN19" s="109">
        <v>197005.6</v>
      </c>
      <c r="AO19" s="109">
        <v>178984.65</v>
      </c>
      <c r="AP19" s="109">
        <v>171499.76</v>
      </c>
      <c r="AQ19" s="109">
        <v>209570.21</v>
      </c>
      <c r="AR19" s="109">
        <v>248620.79</v>
      </c>
      <c r="AS19" s="109">
        <v>248288.06</v>
      </c>
      <c r="AT19" s="109">
        <v>238754.29</v>
      </c>
      <c r="AU19" s="109">
        <v>203082.12</v>
      </c>
      <c r="AV19" s="109">
        <v>180358.45</v>
      </c>
      <c r="AW19" s="109">
        <v>209284.95</v>
      </c>
      <c r="AX19" s="269">
        <v>231388.25</v>
      </c>
    </row>
    <row r="20" spans="1:55" x14ac:dyDescent="0.25">
      <c r="A20" s="76" t="s">
        <v>5</v>
      </c>
      <c r="B20" s="98">
        <v>173455.69</v>
      </c>
      <c r="C20" s="99">
        <v>439040.55</v>
      </c>
      <c r="D20" s="99">
        <v>436337.21</v>
      </c>
      <c r="E20" s="99">
        <v>433604.83</v>
      </c>
      <c r="F20" s="99">
        <v>414616.35</v>
      </c>
      <c r="G20" s="99">
        <v>465022.2</v>
      </c>
      <c r="H20" s="99">
        <v>503684.97</v>
      </c>
      <c r="I20" s="99">
        <v>493318.13</v>
      </c>
      <c r="J20" s="99">
        <v>524681.42000000004</v>
      </c>
      <c r="K20" s="99">
        <v>462766.7</v>
      </c>
      <c r="L20" s="99">
        <v>420207.97</v>
      </c>
      <c r="M20" s="99">
        <v>460503.55</v>
      </c>
      <c r="N20" s="99">
        <v>535350.63</v>
      </c>
      <c r="O20" s="99">
        <v>972808.34</v>
      </c>
      <c r="P20" s="99">
        <v>919496.39</v>
      </c>
      <c r="Q20" s="99">
        <v>853750.54</v>
      </c>
      <c r="R20" s="99">
        <v>875453.68</v>
      </c>
      <c r="S20" s="99">
        <v>978819.32</v>
      </c>
      <c r="T20" s="99">
        <v>1040883.85</v>
      </c>
      <c r="U20" s="99">
        <v>1000278.3</v>
      </c>
      <c r="V20" s="99">
        <v>1072482.3899999999</v>
      </c>
      <c r="W20" s="109">
        <v>909964.79</v>
      </c>
      <c r="X20" s="109">
        <v>867469.68</v>
      </c>
      <c r="Y20" s="109">
        <v>942770.15</v>
      </c>
      <c r="Z20" s="109">
        <v>1023655.11</v>
      </c>
      <c r="AA20" s="109">
        <v>1103140.6399999999</v>
      </c>
      <c r="AB20" s="109">
        <v>1099547.52</v>
      </c>
      <c r="AC20" s="109">
        <v>1033238.52</v>
      </c>
      <c r="AD20" s="109">
        <v>1028073.83</v>
      </c>
      <c r="AE20" s="109">
        <v>1134089</v>
      </c>
      <c r="AF20" s="109">
        <v>1236312.54</v>
      </c>
      <c r="AG20" s="109">
        <v>1264548.03</v>
      </c>
      <c r="AH20" s="109">
        <v>1229396.04</v>
      </c>
      <c r="AI20" s="109">
        <v>1107452.21</v>
      </c>
      <c r="AJ20" s="109">
        <v>1011474.68</v>
      </c>
      <c r="AK20" s="109">
        <v>1058948.94</v>
      </c>
      <c r="AL20" s="109">
        <v>1113226.8500000001</v>
      </c>
      <c r="AM20" s="109">
        <v>709593.35</v>
      </c>
      <c r="AN20" s="109">
        <v>663058.91</v>
      </c>
      <c r="AO20" s="109">
        <v>650799.55000000005</v>
      </c>
      <c r="AP20" s="109">
        <v>649443.46</v>
      </c>
      <c r="AQ20" s="109">
        <v>735419.89</v>
      </c>
      <c r="AR20" s="109">
        <v>827429.77</v>
      </c>
      <c r="AS20" s="109">
        <v>829371.19</v>
      </c>
      <c r="AT20" s="109">
        <v>832627.4</v>
      </c>
      <c r="AU20" s="109">
        <v>732699.19</v>
      </c>
      <c r="AV20" s="109">
        <v>666717.75</v>
      </c>
      <c r="AW20" s="109">
        <v>694609.06</v>
      </c>
      <c r="AX20" s="269">
        <v>722225.81</v>
      </c>
    </row>
    <row r="21" spans="1:55" x14ac:dyDescent="0.25">
      <c r="A21" s="76" t="s">
        <v>6</v>
      </c>
      <c r="B21" s="98">
        <v>63959.55</v>
      </c>
      <c r="C21" s="99">
        <v>209971.93</v>
      </c>
      <c r="D21" s="99">
        <v>212525.23</v>
      </c>
      <c r="E21" s="99">
        <v>206744.69</v>
      </c>
      <c r="F21" s="99">
        <v>207871.2</v>
      </c>
      <c r="G21" s="99">
        <v>226236.95</v>
      </c>
      <c r="H21" s="99">
        <v>240389.75</v>
      </c>
      <c r="I21" s="99">
        <v>236702.41</v>
      </c>
      <c r="J21" s="99">
        <v>253400.3</v>
      </c>
      <c r="K21" s="99">
        <v>231004.99</v>
      </c>
      <c r="L21" s="99">
        <v>209915.92</v>
      </c>
      <c r="M21" s="99">
        <v>219049.36</v>
      </c>
      <c r="N21" s="99">
        <v>226869.33</v>
      </c>
      <c r="O21" s="99">
        <v>294222.69</v>
      </c>
      <c r="P21" s="99">
        <v>299240.03000000003</v>
      </c>
      <c r="Q21" s="99">
        <v>291766.42</v>
      </c>
      <c r="R21" s="99">
        <v>285634.98</v>
      </c>
      <c r="S21" s="99">
        <v>313886.65000000002</v>
      </c>
      <c r="T21" s="99">
        <v>329065.55</v>
      </c>
      <c r="U21" s="99">
        <v>333266.32</v>
      </c>
      <c r="V21" s="99">
        <v>331370.82</v>
      </c>
      <c r="W21" s="109">
        <v>311808.28999999998</v>
      </c>
      <c r="X21" s="109">
        <v>298077.36</v>
      </c>
      <c r="Y21" s="109">
        <v>299035.19</v>
      </c>
      <c r="Z21" s="109">
        <v>305782.84999999998</v>
      </c>
      <c r="AA21" s="109">
        <v>267056.71000000002</v>
      </c>
      <c r="AB21" s="109">
        <v>266116.40999999997</v>
      </c>
      <c r="AC21" s="109">
        <v>283985.52</v>
      </c>
      <c r="AD21" s="109">
        <v>265712.02</v>
      </c>
      <c r="AE21" s="109">
        <v>276662.56</v>
      </c>
      <c r="AF21" s="109">
        <v>327953.5</v>
      </c>
      <c r="AG21" s="109">
        <v>297540.62</v>
      </c>
      <c r="AH21" s="109">
        <v>307797.36</v>
      </c>
      <c r="AI21" s="109">
        <v>286642.09999999998</v>
      </c>
      <c r="AJ21" s="109">
        <v>260152.79</v>
      </c>
      <c r="AK21" s="109">
        <v>270220.46000000002</v>
      </c>
      <c r="AL21" s="109">
        <v>284938.03000000003</v>
      </c>
      <c r="AM21" s="109">
        <v>418032.44</v>
      </c>
      <c r="AN21" s="109">
        <v>395164.49</v>
      </c>
      <c r="AO21" s="109">
        <v>420848.64000000001</v>
      </c>
      <c r="AP21" s="109">
        <v>437274.78</v>
      </c>
      <c r="AQ21" s="109">
        <v>448916.51</v>
      </c>
      <c r="AR21" s="109">
        <v>498562.21</v>
      </c>
      <c r="AS21" s="109">
        <v>485747.16</v>
      </c>
      <c r="AT21" s="109">
        <v>527238.56999999995</v>
      </c>
      <c r="AU21" s="109">
        <v>447307.33</v>
      </c>
      <c r="AV21" s="109">
        <v>429363</v>
      </c>
      <c r="AW21" s="109">
        <v>430477</v>
      </c>
      <c r="AX21" s="269">
        <v>437279.07</v>
      </c>
    </row>
    <row r="22" spans="1:55" x14ac:dyDescent="0.25">
      <c r="A22" s="76" t="s">
        <v>7</v>
      </c>
      <c r="B22" s="98">
        <v>20894.32</v>
      </c>
      <c r="C22" s="99">
        <v>142523.31</v>
      </c>
      <c r="D22" s="99">
        <v>126781.73</v>
      </c>
      <c r="E22" s="99">
        <v>140528.35999999999</v>
      </c>
      <c r="F22" s="99">
        <v>156200.07</v>
      </c>
      <c r="G22" s="99">
        <v>160881.56</v>
      </c>
      <c r="H22" s="99">
        <v>165661.03</v>
      </c>
      <c r="I22" s="99">
        <v>179188.55</v>
      </c>
      <c r="J22" s="99">
        <v>136695.16</v>
      </c>
      <c r="K22" s="99">
        <v>164175.37</v>
      </c>
      <c r="L22" s="99">
        <v>152109.13</v>
      </c>
      <c r="M22" s="99">
        <v>149388.26</v>
      </c>
      <c r="N22" s="99">
        <v>141595.72</v>
      </c>
      <c r="O22" s="99">
        <v>119779.98</v>
      </c>
      <c r="P22" s="99">
        <v>126965.97</v>
      </c>
      <c r="Q22" s="99">
        <v>128764.57</v>
      </c>
      <c r="R22" s="99">
        <v>128321.25</v>
      </c>
      <c r="S22" s="99">
        <v>139422.01</v>
      </c>
      <c r="T22" s="99">
        <v>150758.9</v>
      </c>
      <c r="U22" s="99">
        <v>148648.9</v>
      </c>
      <c r="V22" s="99">
        <v>156036.54</v>
      </c>
      <c r="W22" s="109">
        <v>145455.99</v>
      </c>
      <c r="X22" s="109">
        <v>140207</v>
      </c>
      <c r="Y22" s="109">
        <v>124685.26</v>
      </c>
      <c r="Z22" s="109">
        <v>135683.81</v>
      </c>
      <c r="AA22" s="109">
        <v>163845.6</v>
      </c>
      <c r="AB22" s="109">
        <v>206502.56</v>
      </c>
      <c r="AC22" s="109">
        <v>223478.71</v>
      </c>
      <c r="AD22" s="109">
        <v>219949.35</v>
      </c>
      <c r="AE22" s="109">
        <v>238633.49</v>
      </c>
      <c r="AF22" s="109">
        <v>274993.83</v>
      </c>
      <c r="AG22" s="109">
        <v>254872.07</v>
      </c>
      <c r="AH22" s="109">
        <v>264798.51</v>
      </c>
      <c r="AI22" s="109">
        <v>242491.6</v>
      </c>
      <c r="AJ22" s="109">
        <v>223824.12</v>
      </c>
      <c r="AK22" s="109">
        <v>216240.63</v>
      </c>
      <c r="AL22" s="109">
        <v>222936.19</v>
      </c>
      <c r="AM22" s="109">
        <v>211211.66</v>
      </c>
      <c r="AN22" s="109">
        <v>191419.7</v>
      </c>
      <c r="AO22" s="109">
        <v>200657.55</v>
      </c>
      <c r="AP22" s="109">
        <v>201415.83</v>
      </c>
      <c r="AQ22" s="109">
        <v>227585.86</v>
      </c>
      <c r="AR22" s="109">
        <v>238853.83</v>
      </c>
      <c r="AS22" s="109">
        <v>241193.15</v>
      </c>
      <c r="AT22" s="109">
        <v>264996.28000000003</v>
      </c>
      <c r="AU22" s="109">
        <v>232525.22</v>
      </c>
      <c r="AV22" s="109">
        <v>214374.52</v>
      </c>
      <c r="AW22" s="109">
        <v>201542.96</v>
      </c>
      <c r="AX22" s="269">
        <v>199499.63</v>
      </c>
    </row>
    <row r="23" spans="1:55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07"/>
    </row>
    <row r="24" spans="1:55" x14ac:dyDescent="0.25">
      <c r="A24" s="76" t="s">
        <v>103</v>
      </c>
      <c r="B24" s="112"/>
      <c r="C24" s="113"/>
      <c r="D24" s="175" t="s">
        <v>104</v>
      </c>
      <c r="E24" s="113"/>
      <c r="F24" s="113"/>
      <c r="G24" s="113"/>
      <c r="H24" s="113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7"/>
    </row>
    <row r="25" spans="1:55" x14ac:dyDescent="0.25">
      <c r="A25" s="76" t="s">
        <v>0</v>
      </c>
      <c r="B25" s="246">
        <v>6269.95</v>
      </c>
      <c r="C25" s="247">
        <v>8107.6</v>
      </c>
      <c r="D25" s="247">
        <v>13512.18</v>
      </c>
      <c r="E25" s="247">
        <v>15178.22</v>
      </c>
      <c r="F25" s="247">
        <v>26011.87</v>
      </c>
      <c r="G25" s="247">
        <v>16913.650000000001</v>
      </c>
      <c r="H25" s="247">
        <v>32346.57</v>
      </c>
      <c r="I25" s="247">
        <v>21504.75</v>
      </c>
      <c r="J25" s="247">
        <v>26249.55</v>
      </c>
      <c r="K25" s="247">
        <v>37505.17</v>
      </c>
      <c r="L25" s="247">
        <v>34202.980000000003</v>
      </c>
      <c r="M25" s="247">
        <v>24950.03</v>
      </c>
      <c r="N25" s="247">
        <v>17243.95</v>
      </c>
      <c r="O25" s="247">
        <v>17238.5</v>
      </c>
      <c r="P25" s="247">
        <v>19816.8</v>
      </c>
      <c r="Q25" s="247">
        <v>17599.3</v>
      </c>
      <c r="R25" s="247">
        <v>18527.95</v>
      </c>
      <c r="S25" s="247">
        <v>20519.22</v>
      </c>
      <c r="T25" s="247">
        <v>19784.54</v>
      </c>
      <c r="U25" s="247">
        <v>19205.349999999999</v>
      </c>
      <c r="V25" s="247">
        <v>17387.47</v>
      </c>
      <c r="W25" s="248">
        <v>15712.68</v>
      </c>
      <c r="X25" s="248">
        <v>17176.78</v>
      </c>
      <c r="Y25" s="248">
        <v>17191.78</v>
      </c>
      <c r="Z25" s="248">
        <v>12812.5</v>
      </c>
      <c r="AA25" s="248">
        <v>5555.58</v>
      </c>
      <c r="AB25" s="248">
        <v>8375.14</v>
      </c>
      <c r="AC25" s="248">
        <v>11380.31</v>
      </c>
      <c r="AD25" s="248">
        <v>12411.34</v>
      </c>
      <c r="AE25" s="248">
        <v>12456.72</v>
      </c>
      <c r="AF25" s="248">
        <v>9755.1200000000008</v>
      </c>
      <c r="AG25" s="248">
        <v>12521.52</v>
      </c>
      <c r="AH25" s="248">
        <v>13189.9</v>
      </c>
      <c r="AI25" s="248">
        <v>18613.23</v>
      </c>
      <c r="AJ25" s="248">
        <v>15644.94</v>
      </c>
      <c r="AK25" s="248">
        <v>29444.44</v>
      </c>
      <c r="AL25" s="248">
        <v>0</v>
      </c>
      <c r="AM25" s="248">
        <v>0</v>
      </c>
      <c r="AN25" s="248">
        <v>0</v>
      </c>
      <c r="AO25" s="248">
        <v>0</v>
      </c>
      <c r="AP25" s="248">
        <v>0</v>
      </c>
      <c r="AQ25" s="248">
        <v>0</v>
      </c>
      <c r="AR25" s="248">
        <v>0</v>
      </c>
      <c r="AS25" s="248">
        <v>0</v>
      </c>
      <c r="AT25" s="248">
        <v>0</v>
      </c>
      <c r="AU25" s="248">
        <v>0</v>
      </c>
      <c r="AV25" s="248">
        <v>0</v>
      </c>
      <c r="AW25" s="248">
        <v>0</v>
      </c>
      <c r="AX25" s="270">
        <v>0</v>
      </c>
      <c r="AZ25" s="53"/>
    </row>
    <row r="26" spans="1:55" x14ac:dyDescent="0.25">
      <c r="A26" s="76" t="s">
        <v>4</v>
      </c>
      <c r="B26" s="246">
        <v>1E-10</v>
      </c>
      <c r="C26" s="247">
        <v>35.85</v>
      </c>
      <c r="D26" s="247">
        <v>203.41</v>
      </c>
      <c r="E26" s="247">
        <v>361.74</v>
      </c>
      <c r="F26" s="247">
        <v>530.44000000000005</v>
      </c>
      <c r="G26" s="247">
        <v>508.48</v>
      </c>
      <c r="H26" s="247">
        <v>539.53</v>
      </c>
      <c r="I26" s="247">
        <v>674.74</v>
      </c>
      <c r="J26" s="247">
        <v>685.1</v>
      </c>
      <c r="K26" s="247">
        <v>1773.05</v>
      </c>
      <c r="L26" s="247">
        <v>1176.03</v>
      </c>
      <c r="M26" s="247">
        <v>1328.67</v>
      </c>
      <c r="N26" s="247">
        <v>826.06</v>
      </c>
      <c r="O26" s="247">
        <v>1220.75</v>
      </c>
      <c r="P26" s="247">
        <v>1710.71</v>
      </c>
      <c r="Q26" s="247">
        <v>602.4</v>
      </c>
      <c r="R26" s="247">
        <v>2299.65</v>
      </c>
      <c r="S26" s="247">
        <v>823.27</v>
      </c>
      <c r="T26" s="247">
        <v>968.05</v>
      </c>
      <c r="U26" s="247">
        <v>1960.03</v>
      </c>
      <c r="V26" s="247">
        <v>1870.55</v>
      </c>
      <c r="W26" s="248">
        <v>2538.2600000000002</v>
      </c>
      <c r="X26" s="248">
        <v>1207.07</v>
      </c>
      <c r="Y26" s="248">
        <v>1568.53</v>
      </c>
      <c r="Z26" s="248">
        <v>1751.29</v>
      </c>
      <c r="AA26" s="248">
        <v>2033.26</v>
      </c>
      <c r="AB26" s="248">
        <v>2417.4299999999998</v>
      </c>
      <c r="AC26" s="248">
        <v>4501.67</v>
      </c>
      <c r="AD26" s="248">
        <v>2545.06</v>
      </c>
      <c r="AE26" s="248">
        <v>1164.3599999999999</v>
      </c>
      <c r="AF26" s="248">
        <v>1253.98</v>
      </c>
      <c r="AG26" s="248">
        <v>1739.03</v>
      </c>
      <c r="AH26" s="248">
        <v>2619.62</v>
      </c>
      <c r="AI26" s="248">
        <v>2822.24</v>
      </c>
      <c r="AJ26" s="248">
        <v>4382.5600000000004</v>
      </c>
      <c r="AK26" s="248">
        <v>8172.78</v>
      </c>
      <c r="AL26" s="248">
        <v>0</v>
      </c>
      <c r="AM26" s="248">
        <v>0</v>
      </c>
      <c r="AN26" s="248">
        <v>0</v>
      </c>
      <c r="AO26" s="248">
        <v>0</v>
      </c>
      <c r="AP26" s="248">
        <v>0</v>
      </c>
      <c r="AQ26" s="248">
        <v>0</v>
      </c>
      <c r="AR26" s="248">
        <v>0</v>
      </c>
      <c r="AS26" s="248">
        <v>0</v>
      </c>
      <c r="AT26" s="248">
        <v>0</v>
      </c>
      <c r="AU26" s="248">
        <v>0</v>
      </c>
      <c r="AV26" s="248">
        <v>0</v>
      </c>
      <c r="AW26" s="248">
        <v>0</v>
      </c>
      <c r="AX26" s="270">
        <v>0</v>
      </c>
      <c r="BC26" s="53"/>
    </row>
    <row r="27" spans="1:55" x14ac:dyDescent="0.25">
      <c r="A27" s="76" t="s">
        <v>5</v>
      </c>
      <c r="B27" s="246">
        <f>B26</f>
        <v>1E-10</v>
      </c>
      <c r="C27" s="247">
        <v>300.77999999999997</v>
      </c>
      <c r="D27" s="247">
        <v>300.17</v>
      </c>
      <c r="E27" s="247">
        <v>1315.96</v>
      </c>
      <c r="F27" s="247">
        <v>5549.37</v>
      </c>
      <c r="G27" s="247">
        <v>2165.7800000000002</v>
      </c>
      <c r="H27" s="247">
        <v>1498.05</v>
      </c>
      <c r="I27" s="247">
        <v>1370.31</v>
      </c>
      <c r="J27" s="247">
        <v>5072.95</v>
      </c>
      <c r="K27" s="247">
        <v>9488.2800000000007</v>
      </c>
      <c r="L27" s="247">
        <v>7624.19</v>
      </c>
      <c r="M27" s="247">
        <v>8092.47</v>
      </c>
      <c r="N27" s="247">
        <v>2839.46</v>
      </c>
      <c r="O27" s="247">
        <v>3803.65</v>
      </c>
      <c r="P27" s="247">
        <v>4108.28</v>
      </c>
      <c r="Q27" s="247">
        <v>1741.43</v>
      </c>
      <c r="R27" s="247">
        <v>7912.16</v>
      </c>
      <c r="S27" s="247">
        <v>6426.93</v>
      </c>
      <c r="T27" s="247">
        <v>7270.11</v>
      </c>
      <c r="U27" s="247">
        <v>9545.92</v>
      </c>
      <c r="V27" s="247">
        <v>6755.07</v>
      </c>
      <c r="W27" s="248">
        <v>8808.35</v>
      </c>
      <c r="X27" s="248">
        <v>6371.09</v>
      </c>
      <c r="Y27" s="248">
        <v>9542.58</v>
      </c>
      <c r="Z27" s="248">
        <v>4613.16</v>
      </c>
      <c r="AA27" s="248">
        <v>4187.9799999999996</v>
      </c>
      <c r="AB27" s="248">
        <v>4386.6000000000004</v>
      </c>
      <c r="AC27" s="248">
        <v>8054.94</v>
      </c>
      <c r="AD27" s="248">
        <v>10067.09</v>
      </c>
      <c r="AE27" s="248">
        <v>6662.37</v>
      </c>
      <c r="AF27" s="248">
        <v>11467.39</v>
      </c>
      <c r="AG27" s="248">
        <v>5820.58</v>
      </c>
      <c r="AH27" s="248">
        <v>11125.79</v>
      </c>
      <c r="AI27" s="248">
        <v>8702.07</v>
      </c>
      <c r="AJ27" s="248">
        <v>20025.439999999999</v>
      </c>
      <c r="AK27" s="248">
        <v>45804.33</v>
      </c>
      <c r="AL27" s="248">
        <v>0</v>
      </c>
      <c r="AM27" s="248">
        <v>0</v>
      </c>
      <c r="AN27" s="248">
        <v>0</v>
      </c>
      <c r="AO27" s="248">
        <v>0</v>
      </c>
      <c r="AP27" s="248">
        <v>0</v>
      </c>
      <c r="AQ27" s="248">
        <v>0</v>
      </c>
      <c r="AR27" s="248">
        <v>0</v>
      </c>
      <c r="AS27" s="248">
        <v>0</v>
      </c>
      <c r="AT27" s="248">
        <v>0</v>
      </c>
      <c r="AU27" s="248">
        <v>0</v>
      </c>
      <c r="AV27" s="248">
        <v>0</v>
      </c>
      <c r="AW27" s="248">
        <v>0</v>
      </c>
      <c r="AX27" s="270">
        <v>0</v>
      </c>
    </row>
    <row r="28" spans="1:55" x14ac:dyDescent="0.25">
      <c r="A28" s="76" t="s">
        <v>6</v>
      </c>
      <c r="B28" s="246">
        <f>B27</f>
        <v>1E-10</v>
      </c>
      <c r="C28" s="247">
        <v>11.64</v>
      </c>
      <c r="D28" s="247">
        <v>112.21</v>
      </c>
      <c r="E28" s="247">
        <v>303.35000000000002</v>
      </c>
      <c r="F28" s="247">
        <v>324.45</v>
      </c>
      <c r="G28" s="247">
        <v>931.1</v>
      </c>
      <c r="H28" s="247">
        <v>1528.44</v>
      </c>
      <c r="I28" s="247">
        <v>930.07</v>
      </c>
      <c r="J28" s="247">
        <v>3586.42</v>
      </c>
      <c r="K28" s="247">
        <v>4758.4399999999996</v>
      </c>
      <c r="L28" s="247">
        <v>613.63</v>
      </c>
      <c r="M28" s="247">
        <v>5114.6499999999996</v>
      </c>
      <c r="N28" s="247">
        <v>219.79</v>
      </c>
      <c r="O28" s="247">
        <v>2809</v>
      </c>
      <c r="P28" s="247">
        <v>1304.53</v>
      </c>
      <c r="Q28" s="247">
        <v>260.52999999999997</v>
      </c>
      <c r="R28" s="247">
        <v>2844.12</v>
      </c>
      <c r="S28" s="247">
        <v>4566.8</v>
      </c>
      <c r="T28" s="247">
        <v>1601.16</v>
      </c>
      <c r="U28" s="247">
        <v>1294.08</v>
      </c>
      <c r="V28" s="247">
        <v>4395.8599999999997</v>
      </c>
      <c r="W28" s="248">
        <v>1034.6300000000001</v>
      </c>
      <c r="X28" s="248">
        <v>10455.620000000001</v>
      </c>
      <c r="Y28" s="248">
        <v>3722.08</v>
      </c>
      <c r="Z28" s="248">
        <v>1674.02</v>
      </c>
      <c r="AA28" s="248">
        <v>1760.97</v>
      </c>
      <c r="AB28" s="248">
        <v>3637.65</v>
      </c>
      <c r="AC28" s="248">
        <v>5937.2</v>
      </c>
      <c r="AD28" s="248">
        <v>2535.84</v>
      </c>
      <c r="AE28" s="248">
        <v>1005.85</v>
      </c>
      <c r="AF28" s="248">
        <v>7574.19</v>
      </c>
      <c r="AG28" s="248">
        <v>3768.7</v>
      </c>
      <c r="AH28" s="248">
        <v>4711.38</v>
      </c>
      <c r="AI28" s="248">
        <v>5106.29</v>
      </c>
      <c r="AJ28" s="248">
        <v>8135.68</v>
      </c>
      <c r="AK28" s="248">
        <v>20140.05</v>
      </c>
      <c r="AL28" s="248">
        <v>0</v>
      </c>
      <c r="AM28" s="248">
        <v>0</v>
      </c>
      <c r="AN28" s="248">
        <v>0</v>
      </c>
      <c r="AO28" s="248">
        <v>0</v>
      </c>
      <c r="AP28" s="248">
        <v>0</v>
      </c>
      <c r="AQ28" s="248">
        <v>0</v>
      </c>
      <c r="AR28" s="248">
        <v>0</v>
      </c>
      <c r="AS28" s="248">
        <v>0</v>
      </c>
      <c r="AT28" s="248">
        <v>0</v>
      </c>
      <c r="AU28" s="248">
        <v>0</v>
      </c>
      <c r="AV28" s="248">
        <v>0</v>
      </c>
      <c r="AW28" s="248">
        <v>0</v>
      </c>
      <c r="AX28" s="270">
        <v>0</v>
      </c>
    </row>
    <row r="29" spans="1:55" x14ac:dyDescent="0.25">
      <c r="A29" s="76" t="s">
        <v>7</v>
      </c>
      <c r="B29" s="246">
        <f>B28</f>
        <v>1E-10</v>
      </c>
      <c r="C29" s="247">
        <v>0</v>
      </c>
      <c r="D29" s="247">
        <v>154.53</v>
      </c>
      <c r="E29" s="247">
        <v>3.15</v>
      </c>
      <c r="F29" s="247">
        <v>162.72</v>
      </c>
      <c r="G29" s="247">
        <v>70.3</v>
      </c>
      <c r="H29" s="247">
        <v>44.71</v>
      </c>
      <c r="I29" s="247">
        <v>486.37</v>
      </c>
      <c r="J29" s="247">
        <v>1957</v>
      </c>
      <c r="K29" s="247">
        <v>514.53</v>
      </c>
      <c r="L29" s="247">
        <v>350.49</v>
      </c>
      <c r="M29" s="247">
        <v>2062.25</v>
      </c>
      <c r="N29" s="247">
        <v>425.37</v>
      </c>
      <c r="O29" s="247">
        <v>1195.52</v>
      </c>
      <c r="P29" s="247">
        <v>1199.97</v>
      </c>
      <c r="Q29" s="247">
        <v>8641.5300000000007</v>
      </c>
      <c r="R29" s="247">
        <v>455.73</v>
      </c>
      <c r="S29" s="247">
        <v>569.21</v>
      </c>
      <c r="T29" s="247">
        <v>693.46</v>
      </c>
      <c r="U29" s="247">
        <v>900.12</v>
      </c>
      <c r="V29" s="247">
        <v>488.48</v>
      </c>
      <c r="W29" s="248">
        <v>1082.3699999999999</v>
      </c>
      <c r="X29" s="248">
        <v>551.77</v>
      </c>
      <c r="Y29" s="248">
        <v>1078.1400000000001</v>
      </c>
      <c r="Z29" s="248">
        <v>618.32000000000005</v>
      </c>
      <c r="AA29" s="248">
        <v>1365.15</v>
      </c>
      <c r="AB29" s="248">
        <v>3774.4</v>
      </c>
      <c r="AC29" s="248">
        <v>212.62</v>
      </c>
      <c r="AD29" s="248">
        <v>910.82</v>
      </c>
      <c r="AE29" s="248">
        <v>5069.51</v>
      </c>
      <c r="AF29" s="248">
        <v>4747.7299999999996</v>
      </c>
      <c r="AG29" s="248">
        <v>6018.53</v>
      </c>
      <c r="AH29" s="248">
        <v>3826.76</v>
      </c>
      <c r="AI29" s="248">
        <v>6476.25</v>
      </c>
      <c r="AJ29" s="248">
        <v>4421.4799999999996</v>
      </c>
      <c r="AK29" s="248">
        <v>15475.03</v>
      </c>
      <c r="AL29" s="248">
        <v>0</v>
      </c>
      <c r="AM29" s="248">
        <v>0</v>
      </c>
      <c r="AN29" s="248">
        <v>0</v>
      </c>
      <c r="AO29" s="248">
        <v>0</v>
      </c>
      <c r="AP29" s="248">
        <v>0</v>
      </c>
      <c r="AQ29" s="248">
        <v>0</v>
      </c>
      <c r="AR29" s="248">
        <v>0</v>
      </c>
      <c r="AS29" s="248">
        <v>0</v>
      </c>
      <c r="AT29" s="248">
        <v>0</v>
      </c>
      <c r="AU29" s="248">
        <v>0</v>
      </c>
      <c r="AV29" s="248">
        <v>0</v>
      </c>
      <c r="AW29" s="248">
        <v>0</v>
      </c>
      <c r="AX29" s="270">
        <v>0</v>
      </c>
    </row>
    <row r="30" spans="1:55" x14ac:dyDescent="0.25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07"/>
      <c r="AY30" s="178"/>
      <c r="AZ30" s="4"/>
    </row>
    <row r="31" spans="1:55" x14ac:dyDescent="0.25">
      <c r="A31" s="76" t="s">
        <v>97</v>
      </c>
      <c r="B31" s="179"/>
      <c r="C31" s="180"/>
      <c r="D31" s="180"/>
      <c r="E31" s="180"/>
      <c r="F31" s="180"/>
      <c r="G31" s="180"/>
      <c r="H31" s="180"/>
      <c r="I31" s="181"/>
      <c r="J31" s="180"/>
      <c r="K31" s="180"/>
      <c r="L31" s="180"/>
      <c r="M31" s="180"/>
      <c r="N31" s="180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07"/>
      <c r="AY31" s="182" t="s">
        <v>105</v>
      </c>
      <c r="AZ31" s="183"/>
    </row>
    <row r="32" spans="1:55" ht="15.75" thickBot="1" x14ac:dyDescent="0.3">
      <c r="A32" s="76" t="s">
        <v>0</v>
      </c>
      <c r="B32" s="116">
        <f t="shared" ref="B32:K34" si="2">$AZ32*B$15</f>
        <v>-172086.60205088896</v>
      </c>
      <c r="C32" s="24">
        <f t="shared" si="2"/>
        <v>552191.27200607839</v>
      </c>
      <c r="D32" s="24">
        <f t="shared" si="2"/>
        <v>638352.87876099814</v>
      </c>
      <c r="E32" s="24">
        <f t="shared" si="2"/>
        <v>792286.40791377425</v>
      </c>
      <c r="F32" s="24">
        <f t="shared" si="2"/>
        <v>1859800.117347256</v>
      </c>
      <c r="G32" s="24">
        <f t="shared" si="2"/>
        <v>1270585.8244499026</v>
      </c>
      <c r="H32" s="24">
        <f t="shared" si="2"/>
        <v>1997268.1362671205</v>
      </c>
      <c r="I32" s="24">
        <f t="shared" si="2"/>
        <v>1481349.7399558134</v>
      </c>
      <c r="J32" s="24">
        <f t="shared" si="2"/>
        <v>2426232.4063353264</v>
      </c>
      <c r="K32" s="24">
        <f t="shared" si="2"/>
        <v>3835775.4211792848</v>
      </c>
      <c r="L32" s="24">
        <f t="shared" ref="L32:U34" si="3">$AZ32*L$15</f>
        <v>2674663.4872085755</v>
      </c>
      <c r="M32" s="24">
        <f>$AZ32*M$15</f>
        <v>2759547.0519643147</v>
      </c>
      <c r="N32" s="24">
        <f t="shared" si="3"/>
        <v>1294301.5359109864</v>
      </c>
      <c r="O32" s="24">
        <f t="shared" si="3"/>
        <v>1935695.7774641775</v>
      </c>
      <c r="P32" s="24">
        <f t="shared" si="3"/>
        <v>1733040.9062400463</v>
      </c>
      <c r="Q32" s="24">
        <f t="shared" si="3"/>
        <v>2019678.7152117721</v>
      </c>
      <c r="R32" s="24">
        <f t="shared" si="3"/>
        <v>2309772.9589772131</v>
      </c>
      <c r="S32" s="24">
        <f t="shared" si="3"/>
        <v>2472396.2400168683</v>
      </c>
      <c r="T32" s="24">
        <f t="shared" si="3"/>
        <v>2608439.3583878153</v>
      </c>
      <c r="U32" s="24">
        <f t="shared" si="3"/>
        <v>3191472.5397878708</v>
      </c>
      <c r="V32" s="24">
        <f t="shared" ref="V32:AE34" si="4">$AZ32*V$15</f>
        <v>2452306.736729003</v>
      </c>
      <c r="W32" s="117">
        <f>$AZ32*W$15</f>
        <v>2258718.1062575472</v>
      </c>
      <c r="X32" s="117">
        <f t="shared" si="4"/>
        <v>2935113.675214882</v>
      </c>
      <c r="Y32" s="117">
        <f t="shared" si="4"/>
        <v>3000496.1728300606</v>
      </c>
      <c r="Z32" s="117">
        <f t="shared" si="4"/>
        <v>1864698.204183263</v>
      </c>
      <c r="AA32" s="117">
        <f t="shared" si="4"/>
        <v>1728909.7594214135</v>
      </c>
      <c r="AB32" s="117">
        <f t="shared" si="4"/>
        <v>2261525.2947624736</v>
      </c>
      <c r="AC32" s="117">
        <f t="shared" si="4"/>
        <v>2932529.3579365457</v>
      </c>
      <c r="AD32" s="117">
        <f t="shared" si="4"/>
        <v>2735918.4125235919</v>
      </c>
      <c r="AE32" s="117">
        <f t="shared" si="4"/>
        <v>2499416.723785745</v>
      </c>
      <c r="AF32" s="117">
        <f t="shared" ref="AF32:AO34" si="5">$AZ32*AF$15</f>
        <v>3597680.5045682164</v>
      </c>
      <c r="AG32" s="117">
        <f t="shared" si="5"/>
        <v>2740292.4803678677</v>
      </c>
      <c r="AH32" s="117">
        <f t="shared" si="5"/>
        <v>3825754.9410573556</v>
      </c>
      <c r="AI32" s="117">
        <f t="shared" si="5"/>
        <v>4184454.2570687747</v>
      </c>
      <c r="AJ32" s="117">
        <f t="shared" si="5"/>
        <v>5278312.2001200859</v>
      </c>
      <c r="AK32" s="117">
        <f t="shared" si="5"/>
        <v>12077738.345567048</v>
      </c>
      <c r="AL32" s="117">
        <f t="shared" si="5"/>
        <v>-489838.93702522031</v>
      </c>
      <c r="AM32" s="117">
        <f t="shared" si="5"/>
        <v>282168.13900619501</v>
      </c>
      <c r="AN32" s="117">
        <f t="shared" si="5"/>
        <v>21136.165623311244</v>
      </c>
      <c r="AO32" s="117">
        <f t="shared" si="5"/>
        <v>7897.6440099149086</v>
      </c>
      <c r="AP32" s="117">
        <f t="shared" ref="AP32:AX34" si="6">$AZ32*AP$15</f>
        <v>-5187.6499117439407</v>
      </c>
      <c r="AQ32" s="117">
        <f t="shared" si="6"/>
        <v>-20416.078877576023</v>
      </c>
      <c r="AR32" s="117">
        <f t="shared" si="6"/>
        <v>0</v>
      </c>
      <c r="AS32" s="117">
        <f t="shared" si="6"/>
        <v>-1657.0871872776763</v>
      </c>
      <c r="AT32" s="117">
        <f>$AZ32*AT$15</f>
        <v>-1216.8527421030128</v>
      </c>
      <c r="AU32" s="117">
        <f>$AZ32*AU$15</f>
        <v>-2423.4314515739738</v>
      </c>
      <c r="AV32" s="117">
        <f t="shared" si="6"/>
        <v>0</v>
      </c>
      <c r="AW32" s="117">
        <f t="shared" si="6"/>
        <v>0</v>
      </c>
      <c r="AX32" s="121">
        <f>$AZ32*AX$15</f>
        <v>0</v>
      </c>
      <c r="AY32" s="184">
        <f>+[1]PTD!$F$1</f>
        <v>599118</v>
      </c>
      <c r="AZ32" s="185">
        <f>AY32/SUM(AY$32:AY$34)</f>
        <v>0.54159370754095282</v>
      </c>
    </row>
    <row r="33" spans="1:52" ht="16.5" thickTop="1" thickBot="1" x14ac:dyDescent="0.3">
      <c r="A33" s="76" t="s">
        <v>1</v>
      </c>
      <c r="B33" s="116">
        <f t="shared" si="2"/>
        <v>-140230.71274852133</v>
      </c>
      <c r="C33" s="24">
        <f t="shared" si="2"/>
        <v>449972.13451879524</v>
      </c>
      <c r="D33" s="24">
        <f t="shared" si="2"/>
        <v>520183.89640382095</v>
      </c>
      <c r="E33" s="24">
        <f t="shared" si="2"/>
        <v>645621.9505680009</v>
      </c>
      <c r="F33" s="24">
        <f t="shared" si="2"/>
        <v>1515522.3760433479</v>
      </c>
      <c r="G33" s="24">
        <f t="shared" si="2"/>
        <v>1035380.7539188203</v>
      </c>
      <c r="H33" s="24">
        <f t="shared" si="2"/>
        <v>1627542.94036107</v>
      </c>
      <c r="I33" s="24">
        <f t="shared" si="2"/>
        <v>1207129.0117194068</v>
      </c>
      <c r="J33" s="24">
        <f t="shared" si="2"/>
        <v>1977099.2952336308</v>
      </c>
      <c r="K33" s="24">
        <f t="shared" si="2"/>
        <v>3125714.1162922513</v>
      </c>
      <c r="L33" s="24">
        <f t="shared" si="3"/>
        <v>2179541.9440194974</v>
      </c>
      <c r="M33" s="24">
        <f t="shared" si="3"/>
        <v>2248712.2492290367</v>
      </c>
      <c r="N33" s="24">
        <f t="shared" si="3"/>
        <v>1054706.3207083989</v>
      </c>
      <c r="O33" s="24">
        <f t="shared" si="3"/>
        <v>1577368.5766532486</v>
      </c>
      <c r="P33" s="24">
        <f t="shared" si="3"/>
        <v>1412228.253728423</v>
      </c>
      <c r="Q33" s="24">
        <f t="shared" si="3"/>
        <v>1645804.9748312847</v>
      </c>
      <c r="R33" s="24">
        <f t="shared" si="3"/>
        <v>1882198.2912350877</v>
      </c>
      <c r="S33" s="24">
        <f t="shared" si="3"/>
        <v>2014717.4899287208</v>
      </c>
      <c r="T33" s="24">
        <f t="shared" si="3"/>
        <v>2125576.9248081883</v>
      </c>
      <c r="U33" s="24">
        <f t="shared" si="3"/>
        <v>2600681.6546905884</v>
      </c>
      <c r="V33" s="24">
        <f t="shared" si="4"/>
        <v>1998346.8641435241</v>
      </c>
      <c r="W33" s="117">
        <f t="shared" si="4"/>
        <v>1840594.4807069886</v>
      </c>
      <c r="X33" s="117">
        <f t="shared" si="4"/>
        <v>2391778.7774762367</v>
      </c>
      <c r="Y33" s="117">
        <f t="shared" si="4"/>
        <v>2445057.9644238856</v>
      </c>
      <c r="Z33" s="117">
        <f t="shared" si="4"/>
        <v>1519513.7513156326</v>
      </c>
      <c r="AA33" s="117">
        <f t="shared" si="4"/>
        <v>1408861.8460247349</v>
      </c>
      <c r="AB33" s="117">
        <f t="shared" si="4"/>
        <v>1842882.0152400308</v>
      </c>
      <c r="AC33" s="117">
        <f t="shared" si="4"/>
        <v>2389672.8572617029</v>
      </c>
      <c r="AD33" s="117">
        <f t="shared" si="4"/>
        <v>2229457.6360833221</v>
      </c>
      <c r="AE33" s="117">
        <f t="shared" si="4"/>
        <v>2036736.0646031101</v>
      </c>
      <c r="AF33" s="117">
        <f t="shared" si="5"/>
        <v>2931694.2480383799</v>
      </c>
      <c r="AG33" s="117">
        <f t="shared" si="5"/>
        <v>2233021.9963769363</v>
      </c>
      <c r="AH33" s="117">
        <f t="shared" si="5"/>
        <v>3117548.5818878645</v>
      </c>
      <c r="AI33" s="117">
        <f t="shared" si="5"/>
        <v>3409847.1115073501</v>
      </c>
      <c r="AJ33" s="117">
        <f t="shared" si="5"/>
        <v>4301215.0458591254</v>
      </c>
      <c r="AK33" s="117">
        <f t="shared" si="5"/>
        <v>9841962.3399163093</v>
      </c>
      <c r="AL33" s="117">
        <f t="shared" si="5"/>
        <v>-399162.18027660134</v>
      </c>
      <c r="AM33" s="117">
        <f t="shared" si="5"/>
        <v>229934.45611798088</v>
      </c>
      <c r="AN33" s="117">
        <f t="shared" si="5"/>
        <v>17223.534748226608</v>
      </c>
      <c r="AO33" s="117">
        <f t="shared" si="5"/>
        <v>6435.6680609972946</v>
      </c>
      <c r="AP33" s="117">
        <f t="shared" si="6"/>
        <v>-4227.335748070218</v>
      </c>
      <c r="AQ33" s="117">
        <f t="shared" si="6"/>
        <v>-16636.747186662968</v>
      </c>
      <c r="AR33" s="117">
        <f t="shared" si="6"/>
        <v>0</v>
      </c>
      <c r="AS33" s="117">
        <f t="shared" si="6"/>
        <v>-1350.3347418625528</v>
      </c>
      <c r="AT33" s="117">
        <f t="shared" si="6"/>
        <v>-991.59449545431141</v>
      </c>
      <c r="AU33" s="117">
        <f>$AZ33*AU$15</f>
        <v>-1974.8168404818964</v>
      </c>
      <c r="AV33" s="117">
        <f t="shared" si="6"/>
        <v>0</v>
      </c>
      <c r="AW33" s="117">
        <f t="shared" si="6"/>
        <v>0</v>
      </c>
      <c r="AX33" s="121">
        <f t="shared" si="6"/>
        <v>0</v>
      </c>
      <c r="AY33" s="184">
        <f>+[1]PTD!$G$1</f>
        <v>488212</v>
      </c>
      <c r="AZ33" s="185">
        <f>AY33/SUM(AY$32:AY$34)</f>
        <v>0.44133634300085067</v>
      </c>
    </row>
    <row r="34" spans="1:52" ht="16.5" thickTop="1" thickBot="1" x14ac:dyDescent="0.3">
      <c r="A34" s="76" t="s">
        <v>2</v>
      </c>
      <c r="B34" s="116">
        <f t="shared" si="2"/>
        <v>-5423.8252005897602</v>
      </c>
      <c r="C34" s="24">
        <f t="shared" si="2"/>
        <v>17403.963475126398</v>
      </c>
      <c r="D34" s="24">
        <f t="shared" si="2"/>
        <v>20119.604835180926</v>
      </c>
      <c r="E34" s="24">
        <f t="shared" si="2"/>
        <v>24971.28151822479</v>
      </c>
      <c r="F34" s="24">
        <f t="shared" si="2"/>
        <v>58617.1766093962</v>
      </c>
      <c r="G34" s="24">
        <f t="shared" si="2"/>
        <v>40046.321631277162</v>
      </c>
      <c r="H34" s="24">
        <f t="shared" si="2"/>
        <v>62949.893371809958</v>
      </c>
      <c r="I34" s="24">
        <f t="shared" si="2"/>
        <v>46689.178324780136</v>
      </c>
      <c r="J34" s="24">
        <f t="shared" si="2"/>
        <v>76469.988431043574</v>
      </c>
      <c r="K34" s="24">
        <f t="shared" si="2"/>
        <v>120895.96252846424</v>
      </c>
      <c r="L34" s="24">
        <f t="shared" si="3"/>
        <v>84300.038771927284</v>
      </c>
      <c r="M34" s="24">
        <f t="shared" si="3"/>
        <v>86975.398806649362</v>
      </c>
      <c r="N34" s="24">
        <f t="shared" si="3"/>
        <v>40793.793380614763</v>
      </c>
      <c r="O34" s="24">
        <f t="shared" si="3"/>
        <v>61009.255882574151</v>
      </c>
      <c r="P34" s="24">
        <f t="shared" si="3"/>
        <v>54621.980031530999</v>
      </c>
      <c r="Q34" s="24">
        <f t="shared" si="3"/>
        <v>63656.229956943193</v>
      </c>
      <c r="R34" s="24">
        <f t="shared" si="3"/>
        <v>72799.419787699109</v>
      </c>
      <c r="S34" s="24">
        <f t="shared" si="3"/>
        <v>77924.980054410858</v>
      </c>
      <c r="T34" s="24">
        <f t="shared" si="3"/>
        <v>82212.786803997064</v>
      </c>
      <c r="U34" s="24">
        <f t="shared" si="3"/>
        <v>100588.82552154061</v>
      </c>
      <c r="V34" s="24">
        <f t="shared" si="4"/>
        <v>77291.799127473656</v>
      </c>
      <c r="W34" s="117">
        <f t="shared" si="4"/>
        <v>71190.273035464241</v>
      </c>
      <c r="X34" s="117">
        <f t="shared" si="4"/>
        <v>92508.907308881753</v>
      </c>
      <c r="Y34" s="117">
        <f t="shared" si="4"/>
        <v>94569.632746053423</v>
      </c>
      <c r="Z34" s="117">
        <f t="shared" si="4"/>
        <v>58771.554501104212</v>
      </c>
      <c r="AA34" s="117">
        <f t="shared" si="4"/>
        <v>54491.774553851741</v>
      </c>
      <c r="AB34" s="117">
        <f t="shared" si="4"/>
        <v>71278.749997495965</v>
      </c>
      <c r="AC34" s="117">
        <f t="shared" si="4"/>
        <v>92427.454801751563</v>
      </c>
      <c r="AD34" s="117">
        <f t="shared" si="4"/>
        <v>86230.671393086144</v>
      </c>
      <c r="AE34" s="117">
        <f t="shared" si="4"/>
        <v>78776.611611145418</v>
      </c>
      <c r="AF34" s="117">
        <f t="shared" si="5"/>
        <v>113391.68739340435</v>
      </c>
      <c r="AG34" s="117">
        <f t="shared" si="5"/>
        <v>86368.533255195885</v>
      </c>
      <c r="AH34" s="117">
        <f t="shared" si="5"/>
        <v>120580.1370547806</v>
      </c>
      <c r="AI34" s="117">
        <f t="shared" si="5"/>
        <v>131885.62142387588</v>
      </c>
      <c r="AJ34" s="117">
        <f t="shared" si="5"/>
        <v>166361.83402078986</v>
      </c>
      <c r="AK34" s="117">
        <f t="shared" si="5"/>
        <v>380666.13451664371</v>
      </c>
      <c r="AL34" s="117">
        <f t="shared" si="5"/>
        <v>-15438.742698178379</v>
      </c>
      <c r="AM34" s="117">
        <f t="shared" si="5"/>
        <v>8893.3748758240945</v>
      </c>
      <c r="AN34" s="117">
        <f t="shared" si="5"/>
        <v>666.16962846214972</v>
      </c>
      <c r="AO34" s="117">
        <f t="shared" si="5"/>
        <v>248.91792908779775</v>
      </c>
      <c r="AP34" s="117">
        <f t="shared" si="6"/>
        <v>-163.50434018584124</v>
      </c>
      <c r="AQ34" s="117">
        <f t="shared" si="6"/>
        <v>-643.47393576101535</v>
      </c>
      <c r="AR34" s="117">
        <f t="shared" si="6"/>
        <v>0</v>
      </c>
      <c r="AS34" s="117">
        <f t="shared" si="6"/>
        <v>-52.22807085977113</v>
      </c>
      <c r="AT34" s="117">
        <f t="shared" si="6"/>
        <v>-38.352762442676053</v>
      </c>
      <c r="AU34" s="117">
        <f t="shared" si="6"/>
        <v>-76.381707944130113</v>
      </c>
      <c r="AV34" s="117">
        <f t="shared" si="6"/>
        <v>0</v>
      </c>
      <c r="AW34" s="117">
        <f t="shared" si="6"/>
        <v>0</v>
      </c>
      <c r="AX34" s="121">
        <f t="shared" si="6"/>
        <v>0</v>
      </c>
      <c r="AY34" s="184">
        <f>+[1]PTD!$H$1</f>
        <v>18883</v>
      </c>
      <c r="AZ34" s="185">
        <f>AY34/SUM(AY$32:AY$34)</f>
        <v>1.7069949458196568E-2</v>
      </c>
    </row>
    <row r="35" spans="1:52" ht="15.75" thickTop="1" x14ac:dyDescent="0.25">
      <c r="A35" s="50"/>
      <c r="B35" s="179"/>
      <c r="C35" s="180"/>
      <c r="D35" s="180"/>
      <c r="E35" s="180"/>
      <c r="F35" s="180"/>
      <c r="G35" s="180"/>
      <c r="H35" s="180"/>
      <c r="I35" s="181"/>
      <c r="J35" s="180"/>
      <c r="K35" s="180"/>
      <c r="L35" s="180"/>
      <c r="M35" s="180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271"/>
      <c r="AY35" s="4"/>
    </row>
    <row r="36" spans="1:52" x14ac:dyDescent="0.25">
      <c r="A36" s="76" t="s">
        <v>0</v>
      </c>
      <c r="B36" s="165">
        <f>((B25/SUM(B$25:B$29))*B$34)+B32</f>
        <v>-177510.42725147837</v>
      </c>
      <c r="C36" s="24">
        <f t="shared" ref="C36:AJ36" si="7">((C25/SUM(C$25:C$29))*C$34)+C32</f>
        <v>568878.42238456511</v>
      </c>
      <c r="D36" s="119">
        <f>((D25/SUM(D$25:D$29))*D$34)+D32</f>
        <v>657387.34205956873</v>
      </c>
      <c r="E36" s="24">
        <f t="shared" si="7"/>
        <v>814370.68300816941</v>
      </c>
      <c r="F36" s="24">
        <f t="shared" si="7"/>
        <v>1906601.7195441001</v>
      </c>
      <c r="G36" s="24">
        <f t="shared" si="7"/>
        <v>1303482.967086487</v>
      </c>
      <c r="H36" s="24">
        <f t="shared" si="7"/>
        <v>2053896.7800319134</v>
      </c>
      <c r="I36" s="24">
        <f t="shared" si="7"/>
        <v>1521565.611772307</v>
      </c>
      <c r="J36" s="24">
        <f t="shared" si="7"/>
        <v>2479687.7528164634</v>
      </c>
      <c r="K36" s="24">
        <f t="shared" si="7"/>
        <v>3919681.1964754467</v>
      </c>
      <c r="L36" s="24">
        <f t="shared" si="7"/>
        <v>2740242.0246339962</v>
      </c>
      <c r="M36" s="24">
        <f t="shared" si="7"/>
        <v>2811776.645528778</v>
      </c>
      <c r="N36" s="119">
        <f>((N25/SUM(N$25:N$29))*N$34)+N32</f>
        <v>1326937.0361893792</v>
      </c>
      <c r="O36" s="24">
        <f t="shared" si="7"/>
        <v>1975734.2760122553</v>
      </c>
      <c r="P36" s="24">
        <f t="shared" si="7"/>
        <v>1771506.496107416</v>
      </c>
      <c r="Q36" s="24">
        <f t="shared" si="7"/>
        <v>2058517.2559834304</v>
      </c>
      <c r="R36" s="24">
        <f t="shared" si="7"/>
        <v>2351871.5990622672</v>
      </c>
      <c r="S36" s="24">
        <f t="shared" si="7"/>
        <v>2520988.8221296705</v>
      </c>
      <c r="T36" s="24">
        <f t="shared" si="7"/>
        <v>2662089.9504927625</v>
      </c>
      <c r="U36" s="24">
        <f t="shared" si="7"/>
        <v>3250181.3757037548</v>
      </c>
      <c r="V36" s="24">
        <f t="shared" si="7"/>
        <v>2495802.5497650704</v>
      </c>
      <c r="W36" s="117">
        <f t="shared" si="7"/>
        <v>2297057.1130099092</v>
      </c>
      <c r="X36" s="117">
        <f t="shared" si="7"/>
        <v>2979546.0471796016</v>
      </c>
      <c r="Y36" s="117">
        <f t="shared" si="7"/>
        <v>3049609.9969043229</v>
      </c>
      <c r="Z36" s="117">
        <f t="shared" si="7"/>
        <v>1899772.0488257918</v>
      </c>
      <c r="AA36" s="117">
        <f t="shared" si="7"/>
        <v>1749223.4299371566</v>
      </c>
      <c r="AB36" s="117">
        <f t="shared" si="7"/>
        <v>2287950.1407979699</v>
      </c>
      <c r="AC36" s="117">
        <f t="shared" si="7"/>
        <v>2967490.044543168</v>
      </c>
      <c r="AD36" s="117">
        <f t="shared" si="7"/>
        <v>2773510.001647213</v>
      </c>
      <c r="AE36" s="117">
        <f t="shared" si="7"/>
        <v>2536645.1947747157</v>
      </c>
      <c r="AF36" s="117">
        <f t="shared" si="7"/>
        <v>3629467.8625976536</v>
      </c>
      <c r="AG36" s="117">
        <f t="shared" si="7"/>
        <v>2776500.203742221</v>
      </c>
      <c r="AH36" s="117">
        <f t="shared" si="7"/>
        <v>3870589.5976734683</v>
      </c>
      <c r="AI36" s="117">
        <f t="shared" si="7"/>
        <v>4243294.4463794259</v>
      </c>
      <c r="AJ36" s="117">
        <f t="shared" si="7"/>
        <v>5327784.0869164467</v>
      </c>
      <c r="AK36" s="117">
        <f>((AK25/SUM(AK$25:AK$29))*AK$34)+AK32</f>
        <v>12171898.447023274</v>
      </c>
      <c r="AL36" s="117">
        <f>(($AK$25/SUM($AK$25:$AK$29))*AL$34)+AL32</f>
        <v>-493657.80465488986</v>
      </c>
      <c r="AM36" s="117">
        <f t="shared" ref="AM36:AT36" si="8">(($AK$25/SUM($AK$25:$AK$29))*AM$34)+AM32</f>
        <v>284367.96978877607</v>
      </c>
      <c r="AN36" s="164">
        <f>(($AK$25/SUM($AK$25:$AK$29))*AN$34)+AN32</f>
        <v>21300.946763831402</v>
      </c>
      <c r="AO36" s="117">
        <f t="shared" si="8"/>
        <v>7959.2153852802048</v>
      </c>
      <c r="AP36" s="117">
        <f t="shared" si="8"/>
        <v>-5228.0937123987605</v>
      </c>
      <c r="AQ36" s="117">
        <f t="shared" si="8"/>
        <v>-20575.246099405798</v>
      </c>
      <c r="AR36" s="117">
        <f t="shared" si="8"/>
        <v>0</v>
      </c>
      <c r="AS36" s="117">
        <f t="shared" si="8"/>
        <v>-1670.0061207080521</v>
      </c>
      <c r="AT36" s="117">
        <f t="shared" si="8"/>
        <v>-1226.3395329553548</v>
      </c>
      <c r="AU36" s="164">
        <f>(($AK$25/SUM($AK$25:$AK$29))*AU$34)+AU32</f>
        <v>-2442.324935173589</v>
      </c>
      <c r="AV36" s="164">
        <f>(($AK$25/SUM($AK$25:$AK$29))*AV$34)+AV32</f>
        <v>0</v>
      </c>
      <c r="AW36" s="164">
        <f>(($AK$25/SUM($AK$25:$AK$29))*AW$34)+AW32</f>
        <v>0</v>
      </c>
      <c r="AX36" s="155">
        <f>(($AK$25/SUM($AK$25:$AK$29))*AX$34)+AX32</f>
        <v>0</v>
      </c>
      <c r="AY36" s="4"/>
    </row>
    <row r="37" spans="1:52" x14ac:dyDescent="0.25">
      <c r="A37" s="76" t="s">
        <v>4</v>
      </c>
      <c r="B37" s="116">
        <f>((B26/SUM(B$25:B$29))*B$34)+((B26/SUM(B$26:B$29))*B$33)</f>
        <v>-35057.678187130419</v>
      </c>
      <c r="C37" s="24">
        <f t="shared" ref="C37:AK40" si="9">((C26/SUM(C$25:C$29))*C$34)+((C26/SUM(C$26:C$29))*C$33)</f>
        <v>46392.737738000236</v>
      </c>
      <c r="D37" s="24">
        <f t="shared" si="9"/>
        <v>137645.82901581566</v>
      </c>
      <c r="E37" s="24">
        <f t="shared" si="9"/>
        <v>118229.83071375101</v>
      </c>
      <c r="F37" s="24">
        <f t="shared" si="9"/>
        <v>123368.90662676416</v>
      </c>
      <c r="G37" s="24">
        <f t="shared" si="9"/>
        <v>144220.52645997267</v>
      </c>
      <c r="H37" s="24">
        <f t="shared" si="9"/>
        <v>244138.64963968008</v>
      </c>
      <c r="I37" s="24">
        <f t="shared" si="9"/>
        <v>236564.60894035627</v>
      </c>
      <c r="J37" s="24">
        <f t="shared" si="9"/>
        <v>121247.77204774613</v>
      </c>
      <c r="K37" s="24">
        <f t="shared" si="9"/>
        <v>339151.51324000472</v>
      </c>
      <c r="L37" s="24">
        <f t="shared" si="9"/>
        <v>264761.75139884336</v>
      </c>
      <c r="M37" s="24">
        <f t="shared" si="9"/>
        <v>182790.39050600433</v>
      </c>
      <c r="N37" s="24">
        <f t="shared" si="9"/>
        <v>203677.82876121666</v>
      </c>
      <c r="O37" s="24">
        <f t="shared" si="9"/>
        <v>216102.56176436821</v>
      </c>
      <c r="P37" s="24">
        <f t="shared" si="9"/>
        <v>293572.99572096352</v>
      </c>
      <c r="Q37" s="24">
        <f t="shared" si="9"/>
        <v>89488.968218929906</v>
      </c>
      <c r="R37" s="24">
        <f t="shared" si="9"/>
        <v>325570.53304197692</v>
      </c>
      <c r="S37" s="24">
        <f t="shared" si="9"/>
        <v>135861.16747471632</v>
      </c>
      <c r="T37" s="24">
        <f t="shared" si="9"/>
        <v>197983.28405596456</v>
      </c>
      <c r="U37" s="24">
        <f t="shared" si="9"/>
        <v>378061.56134567637</v>
      </c>
      <c r="V37" s="24">
        <f t="shared" si="9"/>
        <v>281364.62347090215</v>
      </c>
      <c r="W37" s="117">
        <f t="shared" si="9"/>
        <v>353195.94089215802</v>
      </c>
      <c r="X37" s="117">
        <f t="shared" si="9"/>
        <v>158460.53264208589</v>
      </c>
      <c r="Y37" s="117">
        <f t="shared" si="9"/>
        <v>245513.45289889417</v>
      </c>
      <c r="Z37" s="117">
        <f t="shared" si="9"/>
        <v>312195.49045775383</v>
      </c>
      <c r="AA37" s="117">
        <f t="shared" si="9"/>
        <v>313893.48531187169</v>
      </c>
      <c r="AB37" s="117">
        <f t="shared" si="9"/>
        <v>321007.58037071856</v>
      </c>
      <c r="AC37" s="117">
        <f t="shared" si="9"/>
        <v>588899.91504152631</v>
      </c>
      <c r="AD37" s="117">
        <f t="shared" si="9"/>
        <v>361041.24988158798</v>
      </c>
      <c r="AE37" s="117">
        <f t="shared" si="9"/>
        <v>174065.26624386062</v>
      </c>
      <c r="AF37" s="117">
        <f t="shared" si="9"/>
        <v>150883.37634915364</v>
      </c>
      <c r="AG37" s="117">
        <f t="shared" si="9"/>
        <v>228890.29907271094</v>
      </c>
      <c r="AH37" s="117">
        <f t="shared" si="9"/>
        <v>375398.75789772405</v>
      </c>
      <c r="AI37" s="117">
        <f t="shared" si="9"/>
        <v>425395.87405067019</v>
      </c>
      <c r="AJ37" s="117">
        <f t="shared" si="9"/>
        <v>523807.01770229754</v>
      </c>
      <c r="AK37" s="117">
        <f t="shared" si="9"/>
        <v>923939.28253452375</v>
      </c>
      <c r="AL37" s="117">
        <f>(($AK$26/SUM($AK$25:$AK$29))*AL$34)+(($AK$26/SUM($AK$26:$AK$29))*AL$33)</f>
        <v>-37472.366355632221</v>
      </c>
      <c r="AM37" s="117">
        <f t="shared" ref="AM37:AT37" si="10">(($AK$26/SUM($AK$25:$AK$29))*AM$34)+(($AK$26/SUM($AK$26:$AK$29))*AM$33)</f>
        <v>21585.682720405501</v>
      </c>
      <c r="AN37" s="117">
        <f t="shared" si="10"/>
        <v>1616.9031935271814</v>
      </c>
      <c r="AO37" s="117">
        <f t="shared" si="10"/>
        <v>604.16473113214056</v>
      </c>
      <c r="AP37" s="117">
        <f t="shared" si="10"/>
        <v>-396.8519105446764</v>
      </c>
      <c r="AQ37" s="117">
        <f t="shared" si="10"/>
        <v>-1561.8170166138177</v>
      </c>
      <c r="AR37" s="117">
        <f t="shared" si="10"/>
        <v>0</v>
      </c>
      <c r="AS37" s="117">
        <f t="shared" si="10"/>
        <v>-126.7661132493764</v>
      </c>
      <c r="AT37" s="117">
        <f t="shared" si="10"/>
        <v>-93.088458891931737</v>
      </c>
      <c r="AU37" s="164">
        <f>(($AK$26/SUM($AK$25:$AK$29))*AU$34)+(($AK$26/SUM($AK$26:$AK$29))*AU$33)</f>
        <v>-185.39096083834986</v>
      </c>
      <c r="AV37" s="164">
        <f>(($AK$26/SUM($AK$25:$AK$29))*AV$34)+(($AK$26/SUM($AK$26:$AK$29))*AV$33)</f>
        <v>0</v>
      </c>
      <c r="AW37" s="164">
        <f>(($AK$26/SUM($AK$25:$AK$29))*AW$34)+(($AK$26/SUM($AK$26:$AK$29))*AW$33)</f>
        <v>0</v>
      </c>
      <c r="AX37" s="155">
        <f>(($AK$26/SUM($AK$25:$AK$29))*AX$34)+(($AK$26/SUM($AK$26:$AK$29))*AX$33)</f>
        <v>0</v>
      </c>
      <c r="AY37" s="4"/>
    </row>
    <row r="38" spans="1:52" x14ac:dyDescent="0.25">
      <c r="A38" s="76" t="s">
        <v>5</v>
      </c>
      <c r="B38" s="116">
        <f t="shared" ref="B38:Q40" si="11">((B27/SUM(B$25:B$29))*B$34)+((B27/SUM(B$26:B$29))*B$33)</f>
        <v>-35057.678187130419</v>
      </c>
      <c r="C38" s="24">
        <f t="shared" si="9"/>
        <v>389233.12850308808</v>
      </c>
      <c r="D38" s="24">
        <f t="shared" si="9"/>
        <v>203122.5037887881</v>
      </c>
      <c r="E38" s="24">
        <f t="shared" si="9"/>
        <v>430103.74309191073</v>
      </c>
      <c r="F38" s="24">
        <f t="shared" si="9"/>
        <v>1290663.8062125144</v>
      </c>
      <c r="G38" s="24">
        <f t="shared" si="9"/>
        <v>614281.64686217671</v>
      </c>
      <c r="H38" s="24">
        <f t="shared" si="9"/>
        <v>677871.30297244398</v>
      </c>
      <c r="I38" s="24">
        <f t="shared" si="9"/>
        <v>480432.23949530127</v>
      </c>
      <c r="J38" s="24">
        <f t="shared" si="9"/>
        <v>897801.61320918659</v>
      </c>
      <c r="K38" s="24">
        <f t="shared" si="9"/>
        <v>1814931.6263189826</v>
      </c>
      <c r="L38" s="24">
        <f t="shared" si="9"/>
        <v>1716447.6224225124</v>
      </c>
      <c r="M38" s="24">
        <f t="shared" si="9"/>
        <v>1113313.1262526622</v>
      </c>
      <c r="N38" s="24">
        <f t="shared" si="9"/>
        <v>700112.64030981332</v>
      </c>
      <c r="O38" s="24">
        <f t="shared" si="9"/>
        <v>673338.93840265344</v>
      </c>
      <c r="P38" s="24">
        <f t="shared" si="9"/>
        <v>705017.25415793457</v>
      </c>
      <c r="Q38" s="24">
        <f t="shared" si="9"/>
        <v>258696.50386037701</v>
      </c>
      <c r="R38" s="24">
        <f t="shared" si="9"/>
        <v>1120155.7405315624</v>
      </c>
      <c r="S38" s="24">
        <f t="shared" si="9"/>
        <v>1060612.2087265158</v>
      </c>
      <c r="T38" s="24">
        <f t="shared" si="9"/>
        <v>1486865.6094706971</v>
      </c>
      <c r="U38" s="24">
        <f t="shared" si="9"/>
        <v>1841270.5007989262</v>
      </c>
      <c r="V38" s="24">
        <f t="shared" si="9"/>
        <v>1016084.9627487032</v>
      </c>
      <c r="W38" s="117">
        <f t="shared" si="9"/>
        <v>1225671.7065853933</v>
      </c>
      <c r="X38" s="117">
        <f t="shared" si="9"/>
        <v>836377.60437312408</v>
      </c>
      <c r="Y38" s="117">
        <f t="shared" si="9"/>
        <v>1493648.0433041954</v>
      </c>
      <c r="Z38" s="117">
        <f t="shared" si="9"/>
        <v>822369.65251905273</v>
      </c>
      <c r="AA38" s="117">
        <f t="shared" si="9"/>
        <v>646537.89412884356</v>
      </c>
      <c r="AB38" s="117">
        <f t="shared" si="9"/>
        <v>582491.26223063085</v>
      </c>
      <c r="AC38" s="117">
        <f t="shared" si="9"/>
        <v>1053731.9442928049</v>
      </c>
      <c r="AD38" s="117">
        <f t="shared" si="9"/>
        <v>1428113.58328308</v>
      </c>
      <c r="AE38" s="117">
        <f t="shared" si="9"/>
        <v>995986.81495852652</v>
      </c>
      <c r="AF38" s="117">
        <f t="shared" si="9"/>
        <v>1379797.5415178239</v>
      </c>
      <c r="AG38" s="117">
        <f t="shared" si="9"/>
        <v>766101.96314993978</v>
      </c>
      <c r="AH38" s="117">
        <f t="shared" si="9"/>
        <v>1594356.3366560494</v>
      </c>
      <c r="AI38" s="117">
        <f t="shared" si="9"/>
        <v>1311661.8975353322</v>
      </c>
      <c r="AJ38" s="117">
        <f t="shared" si="9"/>
        <v>2393456.3370669871</v>
      </c>
      <c r="AK38" s="117">
        <f t="shared" si="9"/>
        <v>5178215.9555468969</v>
      </c>
      <c r="AL38" s="117">
        <f>(($AK$27/SUM($AK$25:$AK$29))*AL$34)+(($AK$27/SUM($AK$26:$AK$29))*AL$33)</f>
        <v>-210013.80612646806</v>
      </c>
      <c r="AM38" s="117">
        <f t="shared" ref="AM38:AT38" si="12">(($AK$27/SUM($AK$25:$AK$29))*AM$34)+(($AK$27/SUM($AK$26:$AK$29))*AM$33)</f>
        <v>120976.91784200132</v>
      </c>
      <c r="AN38" s="117">
        <f t="shared" si="12"/>
        <v>9061.9308796239329</v>
      </c>
      <c r="AO38" s="117">
        <f t="shared" si="12"/>
        <v>3386.0400890685719</v>
      </c>
      <c r="AP38" s="117">
        <f t="shared" si="12"/>
        <v>-2224.1557795167423</v>
      </c>
      <c r="AQ38" s="117">
        <f t="shared" si="12"/>
        <v>-8753.2005056534981</v>
      </c>
      <c r="AR38" s="117">
        <f t="shared" si="12"/>
        <v>0</v>
      </c>
      <c r="AS38" s="117">
        <f t="shared" si="12"/>
        <v>-710.46044113408277</v>
      </c>
      <c r="AT38" s="117">
        <f t="shared" si="12"/>
        <v>-521.71409119999259</v>
      </c>
      <c r="AU38" s="164">
        <f>(($AK$27/SUM($AK$25:$AK$29))*AU$34)+(($AK$27/SUM($AK$26:$AK$29))*AU$33)</f>
        <v>-1039.0232881904142</v>
      </c>
      <c r="AV38" s="164">
        <f>(($AK$27/SUM($AK$25:$AK$29))*AV$34)+(($AK$27/SUM($AK$26:$AK$29))*AV$33)</f>
        <v>0</v>
      </c>
      <c r="AW38" s="164">
        <f>(($AK$27/SUM($AK$25:$AK$29))*AW$34)+(($AK$27/SUM($AK$26:$AK$29))*AW$33)</f>
        <v>0</v>
      </c>
      <c r="AX38" s="155">
        <f>(($AK$27/SUM($AK$25:$AK$29))*AX$34)+(($AK$27/SUM($AK$26:$AK$29))*AX$33)</f>
        <v>0</v>
      </c>
      <c r="AY38" s="4"/>
    </row>
    <row r="39" spans="1:52" x14ac:dyDescent="0.25">
      <c r="A39" s="76" t="s">
        <v>6</v>
      </c>
      <c r="B39" s="116">
        <f t="shared" si="11"/>
        <v>-35057.678187130419</v>
      </c>
      <c r="C39" s="24">
        <f t="shared" si="11"/>
        <v>15063.081374346522</v>
      </c>
      <c r="D39" s="24">
        <f t="shared" si="11"/>
        <v>75931.559283539027</v>
      </c>
      <c r="E39" s="24">
        <f t="shared" si="11"/>
        <v>99145.848252934069</v>
      </c>
      <c r="F39" s="24">
        <f t="shared" si="11"/>
        <v>75460.074193223787</v>
      </c>
      <c r="G39" s="24">
        <f t="shared" si="11"/>
        <v>264088.52302328619</v>
      </c>
      <c r="H39" s="24">
        <f t="shared" si="11"/>
        <v>691622.85258516239</v>
      </c>
      <c r="I39" s="24">
        <f t="shared" si="11"/>
        <v>326083.59640329191</v>
      </c>
      <c r="J39" s="24">
        <f t="shared" si="11"/>
        <v>634718.19388042286</v>
      </c>
      <c r="K39" s="24">
        <f t="shared" si="11"/>
        <v>910201.13739700965</v>
      </c>
      <c r="L39" s="24">
        <f t="shared" si="11"/>
        <v>138147.62677046692</v>
      </c>
      <c r="M39" s="24">
        <f t="shared" si="11"/>
        <v>703642.64324590378</v>
      </c>
      <c r="N39" s="24">
        <f t="shared" si="11"/>
        <v>54192.613107314013</v>
      </c>
      <c r="O39" s="24">
        <f t="shared" si="11"/>
        <v>497261.59819464292</v>
      </c>
      <c r="P39" s="24">
        <f t="shared" si="11"/>
        <v>223868.90829414022</v>
      </c>
      <c r="Q39" s="24">
        <f t="shared" si="11"/>
        <v>38702.790322174311</v>
      </c>
      <c r="R39" s="24">
        <f t="shared" ref="R39:W40" si="13">((R28/SUM(R$25:R$29))*R$34)+((R28/SUM(R$26:R$29))*R$33)</f>
        <v>402653.30134383374</v>
      </c>
      <c r="S39" s="24">
        <f t="shared" si="13"/>
        <v>753641.91531761712</v>
      </c>
      <c r="T39" s="24">
        <f t="shared" si="13"/>
        <v>327465.43577196245</v>
      </c>
      <c r="U39" s="24">
        <f t="shared" si="13"/>
        <v>249609.39644097944</v>
      </c>
      <c r="V39" s="24">
        <f t="shared" si="13"/>
        <v>661217.01838004868</v>
      </c>
      <c r="W39" s="117">
        <f t="shared" si="13"/>
        <v>143967.56688647083</v>
      </c>
      <c r="X39" s="117">
        <f t="shared" si="9"/>
        <v>1372582.4635714961</v>
      </c>
      <c r="Y39" s="117">
        <f t="shared" si="9"/>
        <v>582596.89822057344</v>
      </c>
      <c r="Z39" s="117">
        <f t="shared" si="9"/>
        <v>298420.87543244642</v>
      </c>
      <c r="AA39" s="117">
        <f t="shared" si="9"/>
        <v>271857.51494134875</v>
      </c>
      <c r="AB39" s="117">
        <f t="shared" si="9"/>
        <v>483039.10546966997</v>
      </c>
      <c r="AC39" s="117">
        <f t="shared" si="9"/>
        <v>776693.22175649251</v>
      </c>
      <c r="AD39" s="117">
        <f t="shared" si="9"/>
        <v>359733.30416560953</v>
      </c>
      <c r="AE39" s="117">
        <f t="shared" si="9"/>
        <v>150368.91343861626</v>
      </c>
      <c r="AF39" s="117">
        <f t="shared" si="9"/>
        <v>911353.73794637551</v>
      </c>
      <c r="AG39" s="117">
        <f t="shared" si="9"/>
        <v>496034.49630847404</v>
      </c>
      <c r="AH39" s="117">
        <f t="shared" si="9"/>
        <v>675153.7245799693</v>
      </c>
      <c r="AI39" s="117">
        <f t="shared" si="9"/>
        <v>769670.43827108864</v>
      </c>
      <c r="AJ39" s="117">
        <f t="shared" si="9"/>
        <v>972382.87160477624</v>
      </c>
      <c r="AK39" s="117">
        <f t="shared" si="9"/>
        <v>2276848.6790552828</v>
      </c>
      <c r="AL39" s="117">
        <f>(($AK$28/SUM($AK$25:$AK$29))*AL$34)+(($AK$28/SUM($AK$26:$AK$29))*AL$33)</f>
        <v>-92342.548315352993</v>
      </c>
      <c r="AM39" s="117">
        <f t="shared" ref="AM39:AT39" si="14">(($AK$28/SUM($AK$25:$AK$29))*AM$34)+(($AK$28/SUM($AK$26:$AK$29))*AM$33)</f>
        <v>53193.249943483468</v>
      </c>
      <c r="AN39" s="117">
        <f t="shared" si="14"/>
        <v>3984.5084735912515</v>
      </c>
      <c r="AO39" s="117">
        <f t="shared" si="14"/>
        <v>1488.8334071439422</v>
      </c>
      <c r="AP39" s="117">
        <f t="shared" si="14"/>
        <v>-977.95576547580015</v>
      </c>
      <c r="AQ39" s="117">
        <f t="shared" si="14"/>
        <v>-3848.7604958720435</v>
      </c>
      <c r="AR39" s="117">
        <f t="shared" si="14"/>
        <v>0</v>
      </c>
      <c r="AS39" s="117">
        <f t="shared" si="14"/>
        <v>-312.38768927440884</v>
      </c>
      <c r="AT39" s="117">
        <f t="shared" si="14"/>
        <v>-229.39638856135238</v>
      </c>
      <c r="AU39" s="164">
        <f>(($AK$28/SUM($AK$25:$AK$29))*AU$34)+(($AK$28/SUM($AK$26:$AK$29))*AU$33)</f>
        <v>-456.8559560923465</v>
      </c>
      <c r="AV39" s="164">
        <f>(($AK$28/SUM($AK$25:$AK$29))*AV$34)+(($AK$28/SUM($AK$26:$AK$29))*AV$33)</f>
        <v>0</v>
      </c>
      <c r="AW39" s="164">
        <f>(($AK$28/SUM($AK$25:$AK$29))*AW$34)+(($AK$28/SUM($AK$26:$AK$29))*AW$33)</f>
        <v>0</v>
      </c>
      <c r="AX39" s="155">
        <f>(($AK$28/SUM($AK$25:$AK$29))*AX$34)+(($AK$28/SUM($AK$26:$AK$29))*AX$33)</f>
        <v>0</v>
      </c>
      <c r="AY39" s="4"/>
    </row>
    <row r="40" spans="1:52" x14ac:dyDescent="0.25">
      <c r="A40" s="76" t="s">
        <v>7</v>
      </c>
      <c r="B40" s="116">
        <f t="shared" si="11"/>
        <v>-35057.678187130419</v>
      </c>
      <c r="C40" s="24">
        <f t="shared" si="11"/>
        <v>0</v>
      </c>
      <c r="D40" s="24">
        <f t="shared" si="11"/>
        <v>104569.14585228843</v>
      </c>
      <c r="E40" s="24">
        <f t="shared" si="11"/>
        <v>1029.5349332346868</v>
      </c>
      <c r="F40" s="24">
        <f t="shared" si="11"/>
        <v>37845.163423397673</v>
      </c>
      <c r="G40" s="24">
        <f t="shared" si="11"/>
        <v>19939.236568077562</v>
      </c>
      <c r="H40" s="24">
        <f t="shared" si="11"/>
        <v>20231.384770800691</v>
      </c>
      <c r="I40" s="24">
        <f t="shared" si="11"/>
        <v>170521.87338874393</v>
      </c>
      <c r="J40" s="24">
        <f t="shared" si="11"/>
        <v>346346.35804618185</v>
      </c>
      <c r="K40" s="24">
        <f t="shared" si="11"/>
        <v>98420.026568556787</v>
      </c>
      <c r="L40" s="24">
        <f t="shared" si="11"/>
        <v>78906.444774181451</v>
      </c>
      <c r="M40" s="24">
        <f t="shared" si="11"/>
        <v>283711.89446665259</v>
      </c>
      <c r="N40" s="24">
        <f t="shared" si="11"/>
        <v>104881.53163227699</v>
      </c>
      <c r="O40" s="24">
        <f t="shared" si="11"/>
        <v>211636.23562608028</v>
      </c>
      <c r="P40" s="24">
        <f t="shared" si="11"/>
        <v>205925.48571954609</v>
      </c>
      <c r="Q40" s="24">
        <f t="shared" si="11"/>
        <v>1283734.4016150886</v>
      </c>
      <c r="R40" s="24">
        <f t="shared" si="13"/>
        <v>64519.496020359671</v>
      </c>
      <c r="S40" s="24">
        <f t="shared" si="13"/>
        <v>93934.596351480432</v>
      </c>
      <c r="T40" s="24">
        <f t="shared" si="13"/>
        <v>141824.79020861443</v>
      </c>
      <c r="U40" s="24">
        <f t="shared" si="13"/>
        <v>173620.18571066271</v>
      </c>
      <c r="V40" s="24">
        <f t="shared" si="13"/>
        <v>73476.245635276427</v>
      </c>
      <c r="W40" s="117">
        <f t="shared" si="13"/>
        <v>150610.53262606866</v>
      </c>
      <c r="X40" s="117">
        <f t="shared" si="9"/>
        <v>72434.712233692917</v>
      </c>
      <c r="Y40" s="117">
        <f t="shared" si="9"/>
        <v>168755.37867201382</v>
      </c>
      <c r="Z40" s="117">
        <f t="shared" si="9"/>
        <v>110225.44276495519</v>
      </c>
      <c r="AA40" s="117">
        <f t="shared" si="9"/>
        <v>210751.05568077948</v>
      </c>
      <c r="AB40" s="117">
        <f t="shared" si="9"/>
        <v>501197.97113101103</v>
      </c>
      <c r="AC40" s="117">
        <f t="shared" si="9"/>
        <v>27814.54436600846</v>
      </c>
      <c r="AD40" s="117">
        <f t="shared" si="9"/>
        <v>129208.5810225095</v>
      </c>
      <c r="AE40" s="117">
        <f t="shared" si="9"/>
        <v>757863.21058428148</v>
      </c>
      <c r="AF40" s="117">
        <f t="shared" si="9"/>
        <v>571263.92158899433</v>
      </c>
      <c r="AG40" s="117">
        <f t="shared" si="9"/>
        <v>792156.04772665387</v>
      </c>
      <c r="AH40" s="117">
        <f t="shared" si="9"/>
        <v>548385.24319278926</v>
      </c>
      <c r="AI40" s="117">
        <f t="shared" si="9"/>
        <v>976164.33376348333</v>
      </c>
      <c r="AJ40" s="117">
        <f t="shared" si="9"/>
        <v>528458.76670949266</v>
      </c>
      <c r="AK40" s="117">
        <f t="shared" si="9"/>
        <v>1749464.4558400239</v>
      </c>
      <c r="AL40" s="117">
        <f>(($AK$29/SUM($AK$25:$AK$29))*AL$34)+(($AK$29/SUM($AK$26:$AK$29))*AL$33)</f>
        <v>-70953.334547656894</v>
      </c>
      <c r="AM40" s="117">
        <f t="shared" ref="AM40:AT40" si="15">(($AK$29/SUM($AK$25:$AK$29))*AM$34)+(($AK$29/SUM($AK$26:$AK$29))*AM$33)</f>
        <v>40872.14970533365</v>
      </c>
      <c r="AN40" s="117">
        <f t="shared" si="15"/>
        <v>3061.5806894262341</v>
      </c>
      <c r="AO40" s="117">
        <f t="shared" si="15"/>
        <v>1143.9763873751415</v>
      </c>
      <c r="AP40" s="117">
        <f t="shared" si="15"/>
        <v>-751.43283206402032</v>
      </c>
      <c r="AQ40" s="117">
        <f t="shared" si="15"/>
        <v>-2957.2758824548473</v>
      </c>
      <c r="AR40" s="117">
        <f t="shared" si="15"/>
        <v>0</v>
      </c>
      <c r="AS40" s="117">
        <f t="shared" si="15"/>
        <v>-240.02963563408011</v>
      </c>
      <c r="AT40" s="117">
        <f t="shared" si="15"/>
        <v>-176.26152839136867</v>
      </c>
      <c r="AU40" s="164">
        <f>(($AK$29/SUM($AK$25:$AK$29))*AU$34)+(($AK$29/SUM($AK$26:$AK$29))*AU$33)</f>
        <v>-351.03485970530085</v>
      </c>
      <c r="AV40" s="164">
        <f>(($AK$29/SUM($AK$25:$AK$29))*AV$34)+(($AK$29/SUM($AK$26:$AK$29))*AV$33)</f>
        <v>0</v>
      </c>
      <c r="AW40" s="164">
        <f>(($AK$29/SUM($AK$25:$AK$29))*AW$34)+(($AK$29/SUM($AK$26:$AK$29))*AW$33)</f>
        <v>0</v>
      </c>
      <c r="AX40" s="155">
        <f>(($AK$29/SUM($AK$25:$AK$29))*AX$34)+(($AK$29/SUM($AK$26:$AK$29))*AX$33)</f>
        <v>0</v>
      </c>
      <c r="AY40" s="4"/>
    </row>
    <row r="41" spans="1:52" x14ac:dyDescent="0.25">
      <c r="B41" s="186">
        <f>SUM(B36:B40)-B15</f>
        <v>0</v>
      </c>
      <c r="C41" s="187">
        <f t="shared" ref="C41:W41" si="16">SUM(C36:C40)-C15</f>
        <v>0</v>
      </c>
      <c r="D41" s="187">
        <f t="shared" si="16"/>
        <v>0</v>
      </c>
      <c r="E41" s="187">
        <f t="shared" si="16"/>
        <v>0</v>
      </c>
      <c r="F41" s="187">
        <f t="shared" si="16"/>
        <v>0</v>
      </c>
      <c r="G41" s="187">
        <f t="shared" si="16"/>
        <v>0</v>
      </c>
      <c r="H41" s="187">
        <f t="shared" si="16"/>
        <v>0</v>
      </c>
      <c r="I41" s="187">
        <f t="shared" si="16"/>
        <v>0</v>
      </c>
      <c r="J41" s="187">
        <f t="shared" si="16"/>
        <v>0</v>
      </c>
      <c r="K41" s="187">
        <f t="shared" si="16"/>
        <v>0</v>
      </c>
      <c r="L41" s="187">
        <f t="shared" si="16"/>
        <v>0</v>
      </c>
      <c r="M41" s="187">
        <f t="shared" si="16"/>
        <v>0</v>
      </c>
      <c r="N41" s="187">
        <f t="shared" si="16"/>
        <v>0</v>
      </c>
      <c r="O41" s="187">
        <f t="shared" si="16"/>
        <v>0</v>
      </c>
      <c r="P41" s="187">
        <f t="shared" si="16"/>
        <v>0</v>
      </c>
      <c r="Q41" s="187">
        <f t="shared" si="16"/>
        <v>0</v>
      </c>
      <c r="R41" s="187">
        <f t="shared" si="16"/>
        <v>0</v>
      </c>
      <c r="S41" s="187">
        <f t="shared" si="16"/>
        <v>0</v>
      </c>
      <c r="T41" s="187">
        <f t="shared" si="16"/>
        <v>0</v>
      </c>
      <c r="U41" s="187">
        <f t="shared" si="16"/>
        <v>0</v>
      </c>
      <c r="V41" s="187">
        <f t="shared" si="16"/>
        <v>0</v>
      </c>
      <c r="W41" s="188">
        <f t="shared" si="16"/>
        <v>0</v>
      </c>
      <c r="X41" s="188">
        <f t="shared" ref="X41:AI41" si="17">SUM(X36:X40)-X15</f>
        <v>0</v>
      </c>
      <c r="Y41" s="188">
        <f t="shared" si="17"/>
        <v>0</v>
      </c>
      <c r="Z41" s="188">
        <f t="shared" si="17"/>
        <v>0</v>
      </c>
      <c r="AA41" s="188">
        <f t="shared" si="17"/>
        <v>0</v>
      </c>
      <c r="AB41" s="188">
        <f t="shared" si="17"/>
        <v>0</v>
      </c>
      <c r="AC41" s="188">
        <f t="shared" si="17"/>
        <v>0</v>
      </c>
      <c r="AD41" s="188">
        <f t="shared" si="17"/>
        <v>0</v>
      </c>
      <c r="AE41" s="188">
        <f t="shared" si="17"/>
        <v>0</v>
      </c>
      <c r="AF41" s="188">
        <f t="shared" si="17"/>
        <v>0</v>
      </c>
      <c r="AG41" s="188">
        <f t="shared" si="17"/>
        <v>0</v>
      </c>
      <c r="AH41" s="188">
        <f t="shared" si="17"/>
        <v>0</v>
      </c>
      <c r="AI41" s="188">
        <f t="shared" si="17"/>
        <v>0</v>
      </c>
      <c r="AJ41" s="188">
        <f t="shared" ref="AJ41:AU41" si="18">SUM(AJ36:AJ40)-AJ15</f>
        <v>0</v>
      </c>
      <c r="AK41" s="188">
        <f t="shared" si="18"/>
        <v>0</v>
      </c>
      <c r="AL41" s="188">
        <f t="shared" si="18"/>
        <v>0</v>
      </c>
      <c r="AM41" s="188">
        <f>SUM(AM36:AM40)-AM15</f>
        <v>0</v>
      </c>
      <c r="AN41" s="188">
        <f t="shared" si="18"/>
        <v>0</v>
      </c>
      <c r="AO41" s="188">
        <f t="shared" si="18"/>
        <v>0</v>
      </c>
      <c r="AP41" s="188">
        <f t="shared" si="18"/>
        <v>0</v>
      </c>
      <c r="AQ41" s="188">
        <f t="shared" si="18"/>
        <v>0</v>
      </c>
      <c r="AR41" s="188">
        <f t="shared" si="18"/>
        <v>0</v>
      </c>
      <c r="AS41" s="188">
        <f t="shared" si="18"/>
        <v>0</v>
      </c>
      <c r="AT41" s="188">
        <f t="shared" si="18"/>
        <v>0</v>
      </c>
      <c r="AU41" s="188">
        <f t="shared" si="18"/>
        <v>0</v>
      </c>
      <c r="AV41" s="188">
        <f>SUM(AV36:AV40)-AV15</f>
        <v>0</v>
      </c>
      <c r="AW41" s="188">
        <f>SUM(AW36:AW40)-AW15</f>
        <v>0</v>
      </c>
      <c r="AX41" s="189">
        <f>SUM(AX36:AX40)-AX15</f>
        <v>0</v>
      </c>
      <c r="AY41" s="4"/>
    </row>
    <row r="42" spans="1:52" x14ac:dyDescent="0.25">
      <c r="B42" s="112"/>
      <c r="C42" s="113"/>
      <c r="D42" s="108" t="s">
        <v>72</v>
      </c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90"/>
      <c r="AW42" s="190"/>
      <c r="AX42" s="118"/>
      <c r="AY42" s="4"/>
    </row>
    <row r="43" spans="1:52" ht="15.75" thickBot="1" x14ac:dyDescent="0.3">
      <c r="A43" s="122" t="s">
        <v>92</v>
      </c>
      <c r="B43" s="123">
        <v>-9249.09</v>
      </c>
      <c r="C43" s="124">
        <v>-19652.04</v>
      </c>
      <c r="D43" s="124">
        <v>-28678.6</v>
      </c>
      <c r="E43" s="124">
        <v>-34323.35</v>
      </c>
      <c r="F43" s="124">
        <v>-24876.36</v>
      </c>
      <c r="G43" s="124">
        <v>-24308.82</v>
      </c>
      <c r="H43" s="124">
        <v>-18421.18</v>
      </c>
      <c r="I43" s="124">
        <v>-17733.03</v>
      </c>
      <c r="J43" s="124">
        <v>-6707.27</v>
      </c>
      <c r="K43" s="125">
        <v>24818.27</v>
      </c>
      <c r="L43" s="125">
        <v>43365.16</v>
      </c>
      <c r="M43" s="125">
        <v>57091.38</v>
      </c>
      <c r="N43" s="125">
        <v>44149.81</v>
      </c>
      <c r="O43" s="125">
        <v>2739.92</v>
      </c>
      <c r="P43" s="125">
        <v>1732.61</v>
      </c>
      <c r="Q43" s="125">
        <v>1715.01</v>
      </c>
      <c r="R43" s="125">
        <v>1867</v>
      </c>
      <c r="S43" s="125">
        <v>2110.96</v>
      </c>
      <c r="T43" s="125">
        <v>2163.7800000000002</v>
      </c>
      <c r="U43" s="125">
        <v>2723.07</v>
      </c>
      <c r="V43" s="125">
        <v>2343.8200000000002</v>
      </c>
      <c r="W43" s="125">
        <v>2630.02</v>
      </c>
      <c r="X43" s="125">
        <v>3670.94</v>
      </c>
      <c r="Y43" s="125">
        <v>5065.7700000000004</v>
      </c>
      <c r="Z43" s="125">
        <v>5509.53</v>
      </c>
      <c r="AA43" s="125">
        <v>3784.4</v>
      </c>
      <c r="AB43" s="125">
        <v>2885.8</v>
      </c>
      <c r="AC43" s="125">
        <v>2348.54</v>
      </c>
      <c r="AD43" s="125">
        <v>732.38</v>
      </c>
      <c r="AE43" s="125">
        <v>1553.16</v>
      </c>
      <c r="AF43" s="125">
        <v>3813.91</v>
      </c>
      <c r="AG43" s="125">
        <v>3912.99</v>
      </c>
      <c r="AH43" s="125">
        <v>4492.09</v>
      </c>
      <c r="AI43" s="125">
        <v>5791.41</v>
      </c>
      <c r="AJ43" s="125">
        <v>7854.73</v>
      </c>
      <c r="AK43" s="125">
        <v>19889.189999999999</v>
      </c>
      <c r="AL43" s="125">
        <v>19407.32</v>
      </c>
      <c r="AM43" s="125">
        <v>19083.98</v>
      </c>
      <c r="AN43" s="125">
        <v>16541.59</v>
      </c>
      <c r="AO43" s="125">
        <v>16084.53</v>
      </c>
      <c r="AP43" s="125">
        <v>15494.56</v>
      </c>
      <c r="AQ43" s="125">
        <v>12112.21</v>
      </c>
      <c r="AR43" s="125">
        <v>11396.09</v>
      </c>
      <c r="AS43" s="125">
        <v>12920.88</v>
      </c>
      <c r="AT43" s="125">
        <v>11791.81</v>
      </c>
      <c r="AU43" s="125">
        <v>10983.76</v>
      </c>
      <c r="AV43" s="125">
        <v>10211.950000000001</v>
      </c>
      <c r="AW43" s="125">
        <v>11854.52</v>
      </c>
      <c r="AX43" s="272">
        <v>10148.83</v>
      </c>
    </row>
    <row r="44" spans="1:52" x14ac:dyDescent="0.25">
      <c r="B44" s="19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7"/>
    </row>
    <row r="45" spans="1:52" x14ac:dyDescent="0.25">
      <c r="A45" s="76" t="s">
        <v>73</v>
      </c>
      <c r="B45" s="128"/>
      <c r="C45" s="51"/>
      <c r="D45" s="51"/>
      <c r="E45" s="51"/>
      <c r="F45" s="51"/>
      <c r="G45" s="51"/>
      <c r="H45" s="51"/>
      <c r="I45" s="51"/>
      <c r="J45" s="51"/>
      <c r="K45" s="52"/>
      <c r="L45" s="192"/>
      <c r="M45" s="193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7"/>
    </row>
    <row r="46" spans="1:52" x14ac:dyDescent="0.25">
      <c r="A46" s="76" t="s">
        <v>0</v>
      </c>
      <c r="B46" s="116">
        <f>B36-B18</f>
        <v>-993725.75725147827</v>
      </c>
      <c r="C46" s="120">
        <f t="shared" ref="C46:AX50" si="19">C36-C18</f>
        <v>-1185227.607615435</v>
      </c>
      <c r="D46" s="120">
        <f t="shared" si="19"/>
        <v>-1079160.3779404312</v>
      </c>
      <c r="E46" s="120">
        <f t="shared" si="19"/>
        <v>-634581.00699183054</v>
      </c>
      <c r="F46" s="120">
        <f t="shared" si="19"/>
        <v>775718.85954410001</v>
      </c>
      <c r="G46" s="120">
        <f t="shared" si="19"/>
        <v>-18705.542913513025</v>
      </c>
      <c r="H46" s="120">
        <f t="shared" si="19"/>
        <v>273295.74003191339</v>
      </c>
      <c r="I46" s="120">
        <f t="shared" si="19"/>
        <v>-112649.24822769314</v>
      </c>
      <c r="J46" s="120">
        <f t="shared" si="19"/>
        <v>688868.84281646344</v>
      </c>
      <c r="K46" s="120">
        <f t="shared" si="19"/>
        <v>2674428.786475447</v>
      </c>
      <c r="L46" s="120">
        <f t="shared" si="19"/>
        <v>1553957.9046339961</v>
      </c>
      <c r="M46" s="120">
        <f t="shared" si="19"/>
        <v>1020230.4955287781</v>
      </c>
      <c r="N46" s="120">
        <f t="shared" si="19"/>
        <v>-1060862.9538106211</v>
      </c>
      <c r="O46" s="120">
        <f t="shared" si="19"/>
        <v>-1144315.9239877448</v>
      </c>
      <c r="P46" s="120">
        <f t="shared" si="19"/>
        <v>-835034.1038925841</v>
      </c>
      <c r="Q46" s="120">
        <f t="shared" si="19"/>
        <v>184964.24598343042</v>
      </c>
      <c r="R46" s="120">
        <f t="shared" si="19"/>
        <v>751178.1790622673</v>
      </c>
      <c r="S46" s="120">
        <f t="shared" si="19"/>
        <v>435311.59212967055</v>
      </c>
      <c r="T46" s="120">
        <f t="shared" si="19"/>
        <v>133661.88049276266</v>
      </c>
      <c r="U46" s="120">
        <f t="shared" si="19"/>
        <v>919837.35570375482</v>
      </c>
      <c r="V46" s="120">
        <f t="shared" si="19"/>
        <v>6339.3897650702856</v>
      </c>
      <c r="W46" s="117">
        <f t="shared" si="19"/>
        <v>706294.65300990921</v>
      </c>
      <c r="X46" s="120">
        <f t="shared" si="19"/>
        <v>1258304.1771796015</v>
      </c>
      <c r="Y46" s="120">
        <f t="shared" si="19"/>
        <v>458808.9869043231</v>
      </c>
      <c r="Z46" s="120">
        <f t="shared" si="19"/>
        <v>-1306513.6111742083</v>
      </c>
      <c r="AA46" s="120">
        <f t="shared" si="19"/>
        <v>-2740944.0000628429</v>
      </c>
      <c r="AB46" s="120">
        <f t="shared" si="19"/>
        <v>-2142309.9792020302</v>
      </c>
      <c r="AC46" s="120">
        <f t="shared" si="19"/>
        <v>154815.41454316815</v>
      </c>
      <c r="AD46" s="120">
        <f t="shared" si="19"/>
        <v>318885.90164721292</v>
      </c>
      <c r="AE46" s="120">
        <f t="shared" si="19"/>
        <v>-761878.5852252841</v>
      </c>
      <c r="AF46" s="120">
        <f t="shared" si="19"/>
        <v>-595455.04740234651</v>
      </c>
      <c r="AG46" s="120">
        <f t="shared" si="19"/>
        <v>-1782451.2762577794</v>
      </c>
      <c r="AH46" s="120">
        <f t="shared" si="19"/>
        <v>7594.5176734682173</v>
      </c>
      <c r="AI46" s="120">
        <f t="shared" si="19"/>
        <v>1435913.5163794258</v>
      </c>
      <c r="AJ46" s="120">
        <f t="shared" si="19"/>
        <v>2834300.5569164469</v>
      </c>
      <c r="AK46" s="120">
        <f t="shared" si="19"/>
        <v>8690667.8470232747</v>
      </c>
      <c r="AL46" s="120">
        <f t="shared" si="19"/>
        <v>-4595184.2046548901</v>
      </c>
      <c r="AM46" s="120">
        <f t="shared" si="19"/>
        <v>581850.26978877606</v>
      </c>
      <c r="AN46" s="120">
        <f t="shared" si="19"/>
        <v>256057.81676383139</v>
      </c>
      <c r="AO46" s="120">
        <f t="shared" si="19"/>
        <v>197914.61538528019</v>
      </c>
      <c r="AP46" s="120">
        <f t="shared" si="19"/>
        <v>160953.35628760126</v>
      </c>
      <c r="AQ46" s="120">
        <f t="shared" si="19"/>
        <v>228232.5139005942</v>
      </c>
      <c r="AR46" s="120">
        <f t="shared" si="19"/>
        <v>334863.63</v>
      </c>
      <c r="AS46" s="120">
        <f t="shared" si="19"/>
        <v>334278.29387929192</v>
      </c>
      <c r="AT46" s="120">
        <f t="shared" si="19"/>
        <v>302701.91046704462</v>
      </c>
      <c r="AU46" s="117">
        <f t="shared" si="19"/>
        <v>214208.23506482641</v>
      </c>
      <c r="AV46" s="120">
        <f>AV36-AV18</f>
        <v>177606.55</v>
      </c>
      <c r="AW46" s="120">
        <f>AW36-AW18</f>
        <v>273240.15000000002</v>
      </c>
      <c r="AX46" s="121">
        <f t="shared" si="19"/>
        <v>326101.98</v>
      </c>
    </row>
    <row r="47" spans="1:52" x14ac:dyDescent="0.25">
      <c r="A47" s="76" t="s">
        <v>4</v>
      </c>
      <c r="B47" s="116">
        <f>B37-B19</f>
        <v>-60276.64818713042</v>
      </c>
      <c r="C47" s="120">
        <f t="shared" si="19"/>
        <v>-12606.372261999764</v>
      </c>
      <c r="D47" s="120">
        <f t="shared" si="19"/>
        <v>79203.859015815658</v>
      </c>
      <c r="E47" s="120">
        <f t="shared" si="19"/>
        <v>63538.550713751014</v>
      </c>
      <c r="F47" s="120">
        <f t="shared" si="19"/>
        <v>75037.536626764166</v>
      </c>
      <c r="G47" s="120">
        <f t="shared" si="19"/>
        <v>89637.476459972662</v>
      </c>
      <c r="H47" s="120">
        <f t="shared" si="19"/>
        <v>180441.76963968007</v>
      </c>
      <c r="I47" s="120">
        <f t="shared" si="19"/>
        <v>175935.82894035627</v>
      </c>
      <c r="J47" s="120">
        <f t="shared" si="19"/>
        <v>57164.392047746129</v>
      </c>
      <c r="K47" s="120">
        <f t="shared" si="19"/>
        <v>285051.1232400047</v>
      </c>
      <c r="L47" s="120">
        <f t="shared" si="19"/>
        <v>215033.68139884336</v>
      </c>
      <c r="M47" s="120">
        <f t="shared" si="19"/>
        <v>122280.02050600434</v>
      </c>
      <c r="N47" s="120">
        <f t="shared" si="19"/>
        <v>109093.37876121666</v>
      </c>
      <c r="O47" s="120">
        <f t="shared" si="19"/>
        <v>-134667.1982356318</v>
      </c>
      <c r="P47" s="120">
        <f t="shared" si="19"/>
        <v>-20104.504279036482</v>
      </c>
      <c r="Q47" s="120">
        <f t="shared" si="19"/>
        <v>-176244.81178107014</v>
      </c>
      <c r="R47" s="120">
        <f t="shared" si="19"/>
        <v>72011.303041976906</v>
      </c>
      <c r="S47" s="120">
        <f t="shared" si="19"/>
        <v>-154027.2925252837</v>
      </c>
      <c r="T47" s="120">
        <f t="shared" si="19"/>
        <v>-125320.02594403544</v>
      </c>
      <c r="U47" s="120">
        <f t="shared" si="19"/>
        <v>72031.311345676368</v>
      </c>
      <c r="V47" s="120">
        <f t="shared" si="19"/>
        <v>-41068.806529097841</v>
      </c>
      <c r="W47" s="117">
        <f t="shared" si="19"/>
        <v>95449.430892158009</v>
      </c>
      <c r="X47" s="120">
        <f t="shared" si="19"/>
        <v>-97845.867357914103</v>
      </c>
      <c r="Y47" s="120">
        <f t="shared" si="19"/>
        <v>-67736.197101105849</v>
      </c>
      <c r="Z47" s="120">
        <f t="shared" si="19"/>
        <v>-21813.959542246186</v>
      </c>
      <c r="AA47" s="120">
        <f t="shared" si="19"/>
        <v>130405.33531187169</v>
      </c>
      <c r="AB47" s="120">
        <f t="shared" si="19"/>
        <v>137645.34037071856</v>
      </c>
      <c r="AC47" s="120">
        <f t="shared" si="19"/>
        <v>441542.51504152629</v>
      </c>
      <c r="AD47" s="120">
        <f t="shared" si="19"/>
        <v>221529.97988158799</v>
      </c>
      <c r="AE47" s="120">
        <f t="shared" si="19"/>
        <v>12449.976243860612</v>
      </c>
      <c r="AF47" s="120">
        <f t="shared" si="19"/>
        <v>-33112.213650846359</v>
      </c>
      <c r="AG47" s="120">
        <f t="shared" si="19"/>
        <v>37219.419072710938</v>
      </c>
      <c r="AH47" s="120">
        <f t="shared" si="19"/>
        <v>195982.55789772404</v>
      </c>
      <c r="AI47" s="120">
        <f t="shared" si="19"/>
        <v>271151.15405067021</v>
      </c>
      <c r="AJ47" s="120">
        <f t="shared" si="19"/>
        <v>384449.26770229754</v>
      </c>
      <c r="AK47" s="120">
        <f t="shared" si="19"/>
        <v>766609.29253452376</v>
      </c>
      <c r="AL47" s="120">
        <f t="shared" si="19"/>
        <v>-226359.94635563222</v>
      </c>
      <c r="AM47" s="120">
        <f t="shared" si="19"/>
        <v>-203447.23727959453</v>
      </c>
      <c r="AN47" s="120">
        <f t="shared" si="19"/>
        <v>-195388.69680647281</v>
      </c>
      <c r="AO47" s="120">
        <f t="shared" si="19"/>
        <v>-178380.48526886787</v>
      </c>
      <c r="AP47" s="120">
        <f t="shared" si="19"/>
        <v>-171896.61191054469</v>
      </c>
      <c r="AQ47" s="120">
        <f t="shared" si="19"/>
        <v>-211132.02701661381</v>
      </c>
      <c r="AR47" s="120">
        <f t="shared" si="19"/>
        <v>-248620.79</v>
      </c>
      <c r="AS47" s="120">
        <f t="shared" si="19"/>
        <v>-248414.82611324938</v>
      </c>
      <c r="AT47" s="120">
        <f t="shared" si="19"/>
        <v>-238847.37845889194</v>
      </c>
      <c r="AU47" s="117">
        <f t="shared" si="19"/>
        <v>-203267.51096083835</v>
      </c>
      <c r="AV47" s="120">
        <f t="shared" si="19"/>
        <v>-180358.45</v>
      </c>
      <c r="AW47" s="120">
        <f t="shared" si="19"/>
        <v>-209284.95</v>
      </c>
      <c r="AX47" s="121">
        <f t="shared" si="19"/>
        <v>-231388.25</v>
      </c>
    </row>
    <row r="48" spans="1:52" x14ac:dyDescent="0.25">
      <c r="A48" s="76" t="s">
        <v>5</v>
      </c>
      <c r="B48" s="116">
        <f t="shared" ref="B48:M50" si="20">B38-B20</f>
        <v>-208513.36818713043</v>
      </c>
      <c r="C48" s="120">
        <f t="shared" si="20"/>
        <v>-49807.421496911906</v>
      </c>
      <c r="D48" s="120">
        <f t="shared" si="20"/>
        <v>-233214.70621121192</v>
      </c>
      <c r="E48" s="120">
        <f t="shared" si="20"/>
        <v>-3501.086908089288</v>
      </c>
      <c r="F48" s="120">
        <f t="shared" si="20"/>
        <v>876047.45621251443</v>
      </c>
      <c r="G48" s="120">
        <f t="shared" si="20"/>
        <v>149259.4468621767</v>
      </c>
      <c r="H48" s="120">
        <f t="shared" si="20"/>
        <v>174186.33297244401</v>
      </c>
      <c r="I48" s="120">
        <f t="shared" si="20"/>
        <v>-12885.890504698735</v>
      </c>
      <c r="J48" s="120">
        <f t="shared" si="20"/>
        <v>373120.19320918655</v>
      </c>
      <c r="K48" s="120">
        <f t="shared" si="20"/>
        <v>1352164.9263189826</v>
      </c>
      <c r="L48" s="120">
        <f t="shared" si="20"/>
        <v>1296239.6524225124</v>
      </c>
      <c r="M48" s="120">
        <f t="shared" si="20"/>
        <v>652809.57625266211</v>
      </c>
      <c r="N48" s="120">
        <f t="shared" si="19"/>
        <v>164762.01030981331</v>
      </c>
      <c r="O48" s="120">
        <f t="shared" si="19"/>
        <v>-299469.40159734653</v>
      </c>
      <c r="P48" s="120">
        <f t="shared" si="19"/>
        <v>-214479.13584206544</v>
      </c>
      <c r="Q48" s="120">
        <f t="shared" si="19"/>
        <v>-595054.03613962303</v>
      </c>
      <c r="R48" s="120">
        <f t="shared" si="19"/>
        <v>244702.06053156231</v>
      </c>
      <c r="S48" s="120">
        <f t="shared" si="19"/>
        <v>81792.888726515812</v>
      </c>
      <c r="T48" s="120">
        <f t="shared" si="19"/>
        <v>445981.75947069714</v>
      </c>
      <c r="U48" s="120">
        <f t="shared" si="19"/>
        <v>840992.20079892618</v>
      </c>
      <c r="V48" s="120">
        <f t="shared" si="19"/>
        <v>-56397.4272512967</v>
      </c>
      <c r="W48" s="117">
        <f t="shared" si="19"/>
        <v>315706.91658539325</v>
      </c>
      <c r="X48" s="120">
        <f t="shared" si="19"/>
        <v>-31092.075626875972</v>
      </c>
      <c r="Y48" s="120">
        <f t="shared" si="19"/>
        <v>550877.89330419537</v>
      </c>
      <c r="Z48" s="120">
        <f t="shared" si="19"/>
        <v>-201285.45748094725</v>
      </c>
      <c r="AA48" s="120">
        <f t="shared" si="19"/>
        <v>-456602.74587115634</v>
      </c>
      <c r="AB48" s="120">
        <f t="shared" si="19"/>
        <v>-517056.25776936917</v>
      </c>
      <c r="AC48" s="120">
        <f t="shared" si="19"/>
        <v>20493.424292804906</v>
      </c>
      <c r="AD48" s="120">
        <f t="shared" si="19"/>
        <v>400039.75328308006</v>
      </c>
      <c r="AE48" s="120">
        <f t="shared" si="19"/>
        <v>-138102.18504147348</v>
      </c>
      <c r="AF48" s="120">
        <f t="shared" si="19"/>
        <v>143485.0015178239</v>
      </c>
      <c r="AG48" s="120">
        <f t="shared" si="19"/>
        <v>-498446.06685006025</v>
      </c>
      <c r="AH48" s="120">
        <f t="shared" si="19"/>
        <v>364960.29665604932</v>
      </c>
      <c r="AI48" s="120">
        <f t="shared" si="19"/>
        <v>204209.68753533228</v>
      </c>
      <c r="AJ48" s="120">
        <f t="shared" si="19"/>
        <v>1381981.6570669869</v>
      </c>
      <c r="AK48" s="120">
        <f t="shared" si="19"/>
        <v>4119267.015546897</v>
      </c>
      <c r="AL48" s="120">
        <f t="shared" si="19"/>
        <v>-1323240.6561264682</v>
      </c>
      <c r="AM48" s="120">
        <f t="shared" si="19"/>
        <v>-588616.43215799867</v>
      </c>
      <c r="AN48" s="120">
        <f t="shared" si="19"/>
        <v>-653996.97912037605</v>
      </c>
      <c r="AO48" s="120">
        <f t="shared" si="19"/>
        <v>-647413.50991093146</v>
      </c>
      <c r="AP48" s="120">
        <f t="shared" si="19"/>
        <v>-651667.61577951675</v>
      </c>
      <c r="AQ48" s="120">
        <f t="shared" si="19"/>
        <v>-744173.09050565353</v>
      </c>
      <c r="AR48" s="120">
        <f t="shared" si="19"/>
        <v>-827429.77</v>
      </c>
      <c r="AS48" s="120">
        <f t="shared" si="19"/>
        <v>-830081.650441134</v>
      </c>
      <c r="AT48" s="120">
        <f t="shared" si="19"/>
        <v>-833149.11409120006</v>
      </c>
      <c r="AU48" s="117">
        <f t="shared" si="19"/>
        <v>-733738.21328819031</v>
      </c>
      <c r="AV48" s="120">
        <f t="shared" si="19"/>
        <v>-666717.75</v>
      </c>
      <c r="AW48" s="120">
        <f t="shared" si="19"/>
        <v>-694609.06</v>
      </c>
      <c r="AX48" s="121">
        <f t="shared" si="19"/>
        <v>-722225.81</v>
      </c>
    </row>
    <row r="49" spans="1:51" x14ac:dyDescent="0.25">
      <c r="A49" s="76" t="s">
        <v>6</v>
      </c>
      <c r="B49" s="116">
        <f t="shared" si="20"/>
        <v>-99017.228187130415</v>
      </c>
      <c r="C49" s="120">
        <f t="shared" si="20"/>
        <v>-194908.84862565348</v>
      </c>
      <c r="D49" s="120">
        <f t="shared" si="20"/>
        <v>-136593.67071646097</v>
      </c>
      <c r="E49" s="120">
        <f t="shared" si="20"/>
        <v>-107598.84174706593</v>
      </c>
      <c r="F49" s="120">
        <f t="shared" si="20"/>
        <v>-132411.12580677622</v>
      </c>
      <c r="G49" s="120">
        <f t="shared" si="20"/>
        <v>37851.573023286182</v>
      </c>
      <c r="H49" s="120">
        <f t="shared" si="20"/>
        <v>451233.10258516239</v>
      </c>
      <c r="I49" s="120">
        <f t="shared" si="20"/>
        <v>89381.186403291911</v>
      </c>
      <c r="J49" s="120">
        <f t="shared" si="20"/>
        <v>381317.89388042287</v>
      </c>
      <c r="K49" s="120">
        <f t="shared" si="20"/>
        <v>679196.14739700966</v>
      </c>
      <c r="L49" s="120">
        <f t="shared" si="20"/>
        <v>-71768.293229533097</v>
      </c>
      <c r="M49" s="120">
        <f t="shared" si="20"/>
        <v>484593.28324590379</v>
      </c>
      <c r="N49" s="120">
        <f t="shared" si="19"/>
        <v>-172676.71689268597</v>
      </c>
      <c r="O49" s="120">
        <f t="shared" si="19"/>
        <v>203038.90819464292</v>
      </c>
      <c r="P49" s="120">
        <f t="shared" si="19"/>
        <v>-75371.121705859812</v>
      </c>
      <c r="Q49" s="120">
        <f t="shared" si="19"/>
        <v>-253063.62967782567</v>
      </c>
      <c r="R49" s="120">
        <f t="shared" si="19"/>
        <v>117018.32134383376</v>
      </c>
      <c r="S49" s="120">
        <f t="shared" si="19"/>
        <v>439755.2653176171</v>
      </c>
      <c r="T49" s="120">
        <f t="shared" si="19"/>
        <v>-1600.1142280375352</v>
      </c>
      <c r="U49" s="120">
        <f t="shared" si="19"/>
        <v>-83656.923559020564</v>
      </c>
      <c r="V49" s="120">
        <f t="shared" si="19"/>
        <v>329846.19838004868</v>
      </c>
      <c r="W49" s="117">
        <f t="shared" si="19"/>
        <v>-167840.72311352915</v>
      </c>
      <c r="X49" s="120">
        <f t="shared" si="19"/>
        <v>1074505.103571496</v>
      </c>
      <c r="Y49" s="120">
        <f t="shared" si="19"/>
        <v>283561.70822057343</v>
      </c>
      <c r="Z49" s="120">
        <f t="shared" si="19"/>
        <v>-7361.9745675535523</v>
      </c>
      <c r="AA49" s="120">
        <f t="shared" si="19"/>
        <v>4800.8049413487315</v>
      </c>
      <c r="AB49" s="120">
        <f t="shared" si="19"/>
        <v>216922.69546967</v>
      </c>
      <c r="AC49" s="120">
        <f t="shared" si="19"/>
        <v>492707.70175649249</v>
      </c>
      <c r="AD49" s="120">
        <f t="shared" si="19"/>
        <v>94021.284165609512</v>
      </c>
      <c r="AE49" s="120">
        <f t="shared" si="19"/>
        <v>-126293.64656138374</v>
      </c>
      <c r="AF49" s="120">
        <f t="shared" si="19"/>
        <v>583400.23794637551</v>
      </c>
      <c r="AG49" s="120">
        <f t="shared" si="19"/>
        <v>198493.87630847405</v>
      </c>
      <c r="AH49" s="120">
        <f t="shared" si="19"/>
        <v>367356.36457996932</v>
      </c>
      <c r="AI49" s="120">
        <f t="shared" si="19"/>
        <v>483028.33827108867</v>
      </c>
      <c r="AJ49" s="120">
        <f t="shared" si="19"/>
        <v>712230.08160477621</v>
      </c>
      <c r="AK49" s="120">
        <f t="shared" si="19"/>
        <v>2006628.2190552829</v>
      </c>
      <c r="AL49" s="120">
        <f t="shared" si="19"/>
        <v>-377280.57831535302</v>
      </c>
      <c r="AM49" s="120">
        <f t="shared" si="19"/>
        <v>-364839.19005651656</v>
      </c>
      <c r="AN49" s="120">
        <f t="shared" si="19"/>
        <v>-391179.98152640875</v>
      </c>
      <c r="AO49" s="120">
        <f t="shared" si="19"/>
        <v>-419359.80659285607</v>
      </c>
      <c r="AP49" s="120">
        <f t="shared" si="19"/>
        <v>-438252.73576547584</v>
      </c>
      <c r="AQ49" s="120">
        <f t="shared" si="19"/>
        <v>-452765.27049587207</v>
      </c>
      <c r="AR49" s="120">
        <f t="shared" si="19"/>
        <v>-498562.21</v>
      </c>
      <c r="AS49" s="120">
        <f t="shared" si="19"/>
        <v>-486059.54768927436</v>
      </c>
      <c r="AT49" s="120">
        <f t="shared" si="19"/>
        <v>-527467.9663885613</v>
      </c>
      <c r="AU49" s="117">
        <f t="shared" si="19"/>
        <v>-447764.18595609238</v>
      </c>
      <c r="AV49" s="120">
        <f t="shared" si="19"/>
        <v>-429363</v>
      </c>
      <c r="AW49" s="120">
        <f t="shared" si="19"/>
        <v>-430477</v>
      </c>
      <c r="AX49" s="121">
        <f t="shared" si="19"/>
        <v>-437279.07</v>
      </c>
    </row>
    <row r="50" spans="1:51" x14ac:dyDescent="0.25">
      <c r="A50" s="76" t="s">
        <v>7</v>
      </c>
      <c r="B50" s="116">
        <f t="shared" si="20"/>
        <v>-55951.998187130419</v>
      </c>
      <c r="C50" s="120">
        <f t="shared" si="20"/>
        <v>-142523.31</v>
      </c>
      <c r="D50" s="120">
        <f t="shared" si="20"/>
        <v>-22212.584147711561</v>
      </c>
      <c r="E50" s="120">
        <f t="shared" si="20"/>
        <v>-139498.8250667653</v>
      </c>
      <c r="F50" s="120">
        <f t="shared" si="20"/>
        <v>-118354.90657660234</v>
      </c>
      <c r="G50" s="120">
        <f t="shared" si="20"/>
        <v>-140942.32343192244</v>
      </c>
      <c r="H50" s="120">
        <f t="shared" si="20"/>
        <v>-145429.64522919932</v>
      </c>
      <c r="I50" s="120">
        <f t="shared" si="20"/>
        <v>-8666.6766112560581</v>
      </c>
      <c r="J50" s="120">
        <f t="shared" si="20"/>
        <v>209651.19804618185</v>
      </c>
      <c r="K50" s="120">
        <f t="shared" si="20"/>
        <v>-65755.343431443209</v>
      </c>
      <c r="L50" s="120">
        <f t="shared" si="20"/>
        <v>-73202.685225818554</v>
      </c>
      <c r="M50" s="120">
        <f t="shared" si="20"/>
        <v>134323.63446665258</v>
      </c>
      <c r="N50" s="120">
        <f t="shared" si="19"/>
        <v>-36714.188367723007</v>
      </c>
      <c r="O50" s="120">
        <f t="shared" si="19"/>
        <v>91856.255626080281</v>
      </c>
      <c r="P50" s="120">
        <f t="shared" si="19"/>
        <v>78959.515719546092</v>
      </c>
      <c r="Q50" s="120">
        <f t="shared" si="19"/>
        <v>1154969.8316150885</v>
      </c>
      <c r="R50" s="120">
        <f t="shared" si="19"/>
        <v>-63801.753979640329</v>
      </c>
      <c r="S50" s="120">
        <f t="shared" si="19"/>
        <v>-45487.413648519578</v>
      </c>
      <c r="T50" s="120">
        <f t="shared" si="19"/>
        <v>-8934.1097913855629</v>
      </c>
      <c r="U50" s="120">
        <f t="shared" si="19"/>
        <v>24971.28571066272</v>
      </c>
      <c r="V50" s="120">
        <f t="shared" si="19"/>
        <v>-82560.294364723581</v>
      </c>
      <c r="W50" s="117">
        <f t="shared" si="19"/>
        <v>5154.5426260686654</v>
      </c>
      <c r="X50" s="120">
        <f t="shared" si="19"/>
        <v>-67772.287766307083</v>
      </c>
      <c r="Y50" s="120">
        <f t="shared" si="19"/>
        <v>44070.118672013821</v>
      </c>
      <c r="Z50" s="120">
        <f t="shared" si="19"/>
        <v>-25458.367235044803</v>
      </c>
      <c r="AA50" s="120">
        <f t="shared" si="19"/>
        <v>46905.455680779472</v>
      </c>
      <c r="AB50" s="120">
        <f t="shared" si="19"/>
        <v>294695.41113101103</v>
      </c>
      <c r="AC50" s="120">
        <f t="shared" si="19"/>
        <v>-195664.16563399154</v>
      </c>
      <c r="AD50" s="120">
        <f t="shared" si="19"/>
        <v>-90740.768977490501</v>
      </c>
      <c r="AE50" s="120">
        <f t="shared" si="19"/>
        <v>519229.72058428149</v>
      </c>
      <c r="AF50" s="120">
        <f t="shared" si="19"/>
        <v>296270.09158899431</v>
      </c>
      <c r="AG50" s="120">
        <f t="shared" si="19"/>
        <v>537283.97772665392</v>
      </c>
      <c r="AH50" s="120">
        <f t="shared" si="19"/>
        <v>283586.73319278925</v>
      </c>
      <c r="AI50" s="120">
        <f t="shared" si="19"/>
        <v>733672.73376348335</v>
      </c>
      <c r="AJ50" s="120">
        <f t="shared" si="19"/>
        <v>304634.64670949266</v>
      </c>
      <c r="AK50" s="120">
        <f t="shared" si="19"/>
        <v>1533223.8258400238</v>
      </c>
      <c r="AL50" s="120">
        <f t="shared" si="19"/>
        <v>-293889.52454765688</v>
      </c>
      <c r="AM50" s="120">
        <f t="shared" si="19"/>
        <v>-170339.51029466634</v>
      </c>
      <c r="AN50" s="120">
        <f t="shared" si="19"/>
        <v>-188358.11931057379</v>
      </c>
      <c r="AO50" s="120">
        <f t="shared" si="19"/>
        <v>-199513.57361262484</v>
      </c>
      <c r="AP50" s="120">
        <f t="shared" si="19"/>
        <v>-202167.26283206401</v>
      </c>
      <c r="AQ50" s="120">
        <f t="shared" si="19"/>
        <v>-230543.13588245484</v>
      </c>
      <c r="AR50" s="120">
        <f t="shared" si="19"/>
        <v>-238853.83</v>
      </c>
      <c r="AS50" s="120">
        <f t="shared" si="19"/>
        <v>-241433.17963563406</v>
      </c>
      <c r="AT50" s="120">
        <f t="shared" si="19"/>
        <v>-265172.54152839142</v>
      </c>
      <c r="AU50" s="117">
        <f t="shared" si="19"/>
        <v>-232876.25485970531</v>
      </c>
      <c r="AV50" s="120">
        <f t="shared" si="19"/>
        <v>-214374.52</v>
      </c>
      <c r="AW50" s="120">
        <f t="shared" si="19"/>
        <v>-201542.96</v>
      </c>
      <c r="AX50" s="121">
        <f t="shared" si="19"/>
        <v>-199499.63</v>
      </c>
    </row>
    <row r="51" spans="1:51" x14ac:dyDescent="0.25">
      <c r="B51" s="103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7"/>
    </row>
    <row r="52" spans="1:51" x14ac:dyDescent="0.25">
      <c r="A52" s="76" t="s">
        <v>74</v>
      </c>
      <c r="B52" s="103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7"/>
    </row>
    <row r="53" spans="1:51" x14ac:dyDescent="0.25">
      <c r="A53" s="76" t="s">
        <v>0</v>
      </c>
      <c r="B53" s="116">
        <f>B46</f>
        <v>-993725.75725147827</v>
      </c>
      <c r="C53" s="120">
        <f>B53+C46+B60</f>
        <v>-2185437.4254329791</v>
      </c>
      <c r="D53" s="120">
        <f t="shared" ref="D53:AU57" si="21">C53+D46+C60</f>
        <v>-3278857.7825743607</v>
      </c>
      <c r="E53" s="120">
        <f t="shared" si="21"/>
        <v>-3934696.706593689</v>
      </c>
      <c r="F53" s="120">
        <f t="shared" si="21"/>
        <v>-3184586.151666014</v>
      </c>
      <c r="G53" s="120">
        <f t="shared" si="21"/>
        <v>-3223964.9769627126</v>
      </c>
      <c r="H53" s="120">
        <f t="shared" si="21"/>
        <v>-2971625.0092810569</v>
      </c>
      <c r="I53" s="120">
        <f t="shared" si="21"/>
        <v>-3103614.5737054041</v>
      </c>
      <c r="J53" s="120">
        <f t="shared" si="21"/>
        <v>-2434996.8159823683</v>
      </c>
      <c r="K53" s="120">
        <f t="shared" si="21"/>
        <v>223503.04922183946</v>
      </c>
      <c r="L53" s="120">
        <f t="shared" si="21"/>
        <v>1778885.7857946248</v>
      </c>
      <c r="M53" s="120">
        <f t="shared" si="21"/>
        <v>2810397.3701557457</v>
      </c>
      <c r="N53" s="120">
        <f t="shared" si="21"/>
        <v>1766794.949561489</v>
      </c>
      <c r="O53" s="120">
        <f>N53+O46+N60</f>
        <v>631813.58633461094</v>
      </c>
      <c r="P53" s="120">
        <f>O53+P46+O60</f>
        <v>-202977.28143699473</v>
      </c>
      <c r="Q53" s="120">
        <f t="shared" si="21"/>
        <v>-18071.128397250253</v>
      </c>
      <c r="R53" s="120">
        <f t="shared" si="21"/>
        <v>733102.18614314171</v>
      </c>
      <c r="S53" s="120">
        <f t="shared" si="21"/>
        <v>1168596.4215187125</v>
      </c>
      <c r="T53" s="120">
        <f t="shared" si="21"/>
        <v>1302557.2036565104</v>
      </c>
      <c r="U53" s="120">
        <f t="shared" si="21"/>
        <v>2222718.5563536384</v>
      </c>
      <c r="V53" s="120">
        <f t="shared" si="21"/>
        <v>2229635.7436596984</v>
      </c>
      <c r="W53" s="117">
        <f t="shared" si="21"/>
        <v>2936421.817677659</v>
      </c>
      <c r="X53" s="120">
        <f t="shared" si="21"/>
        <v>4195392.2567326007</v>
      </c>
      <c r="Y53" s="120">
        <f t="shared" si="21"/>
        <v>4655322.9481838057</v>
      </c>
      <c r="Z53" s="120">
        <f t="shared" si="21"/>
        <v>3350381.1796470014</v>
      </c>
      <c r="AA53" s="120">
        <f t="shared" si="21"/>
        <v>610810.01502442488</v>
      </c>
      <c r="AB53" s="120">
        <f t="shared" si="21"/>
        <v>-1531278.4666508653</v>
      </c>
      <c r="AC53" s="120">
        <f t="shared" si="21"/>
        <v>-1376987.2661497742</v>
      </c>
      <c r="AD53" s="120">
        <f t="shared" si="21"/>
        <v>-1058447.3681253525</v>
      </c>
      <c r="AE53" s="120">
        <f t="shared" si="21"/>
        <v>-1820401.2689371945</v>
      </c>
      <c r="AF53" s="120">
        <f t="shared" si="21"/>
        <v>-2416144.8620766765</v>
      </c>
      <c r="AG53" s="120">
        <f t="shared" si="21"/>
        <v>-4199500.0241677212</v>
      </c>
      <c r="AH53" s="120">
        <f t="shared" si="21"/>
        <v>-4193796.3243809678</v>
      </c>
      <c r="AI53" s="120">
        <f t="shared" si="21"/>
        <v>-2759783.0171161192</v>
      </c>
      <c r="AJ53" s="120">
        <f t="shared" si="21"/>
        <v>73292.467519391532</v>
      </c>
      <c r="AK53" s="120">
        <f t="shared" si="21"/>
        <v>8763991.1497220621</v>
      </c>
      <c r="AL53" s="120">
        <f t="shared" si="21"/>
        <v>4173676.685962819</v>
      </c>
      <c r="AM53" s="120">
        <f t="shared" si="21"/>
        <v>4758320.2306104423</v>
      </c>
      <c r="AN53" s="120">
        <f t="shared" si="21"/>
        <v>5017589.9571478711</v>
      </c>
      <c r="AO53" s="120">
        <f t="shared" si="21"/>
        <v>5218565.1853299122</v>
      </c>
      <c r="AP53" s="120">
        <f t="shared" si="21"/>
        <v>5382760.8753063977</v>
      </c>
      <c r="AQ53" s="120">
        <f t="shared" si="21"/>
        <v>5614383.6045178175</v>
      </c>
      <c r="AR53" s="120">
        <f t="shared" si="21"/>
        <v>5952177.5778244417</v>
      </c>
      <c r="AS53" s="120">
        <f t="shared" si="21"/>
        <v>6289576.0180704733</v>
      </c>
      <c r="AT53" s="120">
        <f t="shared" si="21"/>
        <v>6596285.2585190441</v>
      </c>
      <c r="AU53" s="117">
        <f>AT53+AU46+AT60</f>
        <v>6814646.1849683709</v>
      </c>
      <c r="AV53" s="120">
        <f>AU53+AV46+AU60</f>
        <v>6996569.6429603938</v>
      </c>
      <c r="AW53" s="120">
        <f>AV53+AW46+AV60</f>
        <v>7274265.1210519113</v>
      </c>
      <c r="AX53" s="155">
        <f>AW53+AX46+AW60</f>
        <v>7606199.8735490255</v>
      </c>
      <c r="AY53" s="4"/>
    </row>
    <row r="54" spans="1:51" x14ac:dyDescent="0.25">
      <c r="A54" s="76" t="s">
        <v>4</v>
      </c>
      <c r="B54" s="116">
        <f>B47</f>
        <v>-60276.64818713042</v>
      </c>
      <c r="C54" s="120">
        <f t="shared" ref="C54:M57" si="22">B54+C47+B61</f>
        <v>-73276.325578551216</v>
      </c>
      <c r="D54" s="120">
        <f t="shared" si="22"/>
        <v>5449.4054128643966</v>
      </c>
      <c r="E54" s="120">
        <f t="shared" si="22"/>
        <v>69023.286420210788</v>
      </c>
      <c r="F54" s="120">
        <f t="shared" si="22"/>
        <v>144510.0493726822</v>
      </c>
      <c r="G54" s="120">
        <f t="shared" si="22"/>
        <v>235085.63738486602</v>
      </c>
      <c r="H54" s="120">
        <f t="shared" si="22"/>
        <v>417055.46366754768</v>
      </c>
      <c r="I54" s="120">
        <f t="shared" si="22"/>
        <v>595705.62719375535</v>
      </c>
      <c r="J54" s="120">
        <f t="shared" si="22"/>
        <v>656756.99845894077</v>
      </c>
      <c r="K54" s="120">
        <f t="shared" si="22"/>
        <v>946104.4026854845</v>
      </c>
      <c r="L54" s="120">
        <f t="shared" si="22"/>
        <v>1167169.4996514479</v>
      </c>
      <c r="M54" s="120">
        <f t="shared" si="22"/>
        <v>1296851.3122866119</v>
      </c>
      <c r="N54" s="120">
        <f t="shared" si="21"/>
        <v>1413909.5238469599</v>
      </c>
      <c r="O54" s="120">
        <f t="shared" si="21"/>
        <v>1286712.4762159546</v>
      </c>
      <c r="P54" s="120">
        <f t="shared" si="21"/>
        <v>1267103.3315782722</v>
      </c>
      <c r="Q54" s="120">
        <f t="shared" si="21"/>
        <v>1091221.1700502969</v>
      </c>
      <c r="R54" s="120">
        <f t="shared" si="21"/>
        <v>1163526.2161909868</v>
      </c>
      <c r="S54" s="120">
        <f t="shared" si="21"/>
        <v>1009788.8016783893</v>
      </c>
      <c r="T54" s="120">
        <f t="shared" si="21"/>
        <v>884727.05783106573</v>
      </c>
      <c r="U54" s="120">
        <f t="shared" si="21"/>
        <v>956978.43544783455</v>
      </c>
      <c r="V54" s="120">
        <f t="shared" si="21"/>
        <v>916158.39626051346</v>
      </c>
      <c r="W54" s="117">
        <f t="shared" si="21"/>
        <v>1011809.752280534</v>
      </c>
      <c r="X54" s="120">
        <f t="shared" si="21"/>
        <v>914193.4603395384</v>
      </c>
      <c r="Y54" s="120">
        <f t="shared" si="21"/>
        <v>846701.68733478419</v>
      </c>
      <c r="Z54" s="120">
        <f t="shared" si="21"/>
        <v>825173.61167817342</v>
      </c>
      <c r="AA54" s="120">
        <f t="shared" si="21"/>
        <v>955917.06600329827</v>
      </c>
      <c r="AB54" s="120">
        <f t="shared" si="21"/>
        <v>1093909.0497830641</v>
      </c>
      <c r="AC54" s="120">
        <f t="shared" si="21"/>
        <v>1535826.0509139206</v>
      </c>
      <c r="AD54" s="120">
        <f t="shared" si="21"/>
        <v>1757741.9467663069</v>
      </c>
      <c r="AE54" s="120">
        <f t="shared" si="21"/>
        <v>1770316.9980679594</v>
      </c>
      <c r="AF54" s="120">
        <f t="shared" si="21"/>
        <v>1737485.3914634201</v>
      </c>
      <c r="AG54" s="120">
        <f t="shared" si="21"/>
        <v>1775354.808164791</v>
      </c>
      <c r="AH54" s="120">
        <f t="shared" si="21"/>
        <v>1972136.7166059664</v>
      </c>
      <c r="AI54" s="120">
        <f t="shared" si="21"/>
        <v>2244181.4458029307</v>
      </c>
      <c r="AJ54" s="120">
        <f t="shared" si="21"/>
        <v>2629626.9093893222</v>
      </c>
      <c r="AK54" s="120">
        <f t="shared" si="21"/>
        <v>3397342.5232176739</v>
      </c>
      <c r="AL54" s="120">
        <f t="shared" si="21"/>
        <v>3172870.3215595428</v>
      </c>
      <c r="AM54" s="120">
        <f t="shared" si="21"/>
        <v>2971546.5594713553</v>
      </c>
      <c r="AN54" s="120">
        <f t="shared" si="21"/>
        <v>2778163.6838317025</v>
      </c>
      <c r="AO54" s="120">
        <f t="shared" si="21"/>
        <v>2601477.8135861526</v>
      </c>
      <c r="AP54" s="120">
        <f t="shared" si="21"/>
        <v>2431197.5193522726</v>
      </c>
      <c r="AQ54" s="120">
        <f t="shared" si="21"/>
        <v>2221596.7294172766</v>
      </c>
      <c r="AR54" s="120">
        <f t="shared" si="21"/>
        <v>1974135.4685062449</v>
      </c>
      <c r="AS54" s="120">
        <f t="shared" si="21"/>
        <v>1726755.4891409252</v>
      </c>
      <c r="AT54" s="120">
        <f t="shared" si="21"/>
        <v>1489008.2927964586</v>
      </c>
      <c r="AU54" s="117">
        <f t="shared" si="21"/>
        <v>1286678.1870063504</v>
      </c>
      <c r="AV54" s="120">
        <f>AU54+AV47+AU61</f>
        <v>1107134.8154708643</v>
      </c>
      <c r="AW54" s="120">
        <f t="shared" ref="AW54:AX57" si="23">AV54+AW47+AV61</f>
        <v>898554.87508217094</v>
      </c>
      <c r="AX54" s="155">
        <f t="shared" si="23"/>
        <v>667887.11932802387</v>
      </c>
      <c r="AY54" s="4"/>
    </row>
    <row r="55" spans="1:51" x14ac:dyDescent="0.25">
      <c r="A55" s="76" t="s">
        <v>5</v>
      </c>
      <c r="B55" s="116">
        <f>B48</f>
        <v>-208513.36818713043</v>
      </c>
      <c r="C55" s="120">
        <f t="shared" si="22"/>
        <v>-259681.33941146336</v>
      </c>
      <c r="D55" s="120">
        <f t="shared" si="22"/>
        <v>-494590.46636233508</v>
      </c>
      <c r="E55" s="120">
        <f t="shared" si="22"/>
        <v>-501298.14647870528</v>
      </c>
      <c r="F55" s="120">
        <f t="shared" si="22"/>
        <v>371486.69596813741</v>
      </c>
      <c r="G55" s="120">
        <f t="shared" si="22"/>
        <v>523157.71186992957</v>
      </c>
      <c r="H55" s="120">
        <f t="shared" si="22"/>
        <v>700744.56996952812</v>
      </c>
      <c r="I55" s="120">
        <f t="shared" si="22"/>
        <v>692419.35637189914</v>
      </c>
      <c r="J55" s="120">
        <f t="shared" si="22"/>
        <v>1070057.5858814125</v>
      </c>
      <c r="K55" s="120">
        <f t="shared" si="22"/>
        <v>2429222.4651076519</v>
      </c>
      <c r="L55" s="120">
        <f t="shared" si="22"/>
        <v>3740948.4107452254</v>
      </c>
      <c r="M55" s="120">
        <f t="shared" si="22"/>
        <v>4417481.8098963741</v>
      </c>
      <c r="N55" s="120">
        <f t="shared" si="21"/>
        <v>4609374.5357135739</v>
      </c>
      <c r="O55" s="120">
        <f t="shared" si="21"/>
        <v>4334257.9808819992</v>
      </c>
      <c r="P55" s="120">
        <f t="shared" si="21"/>
        <v>4121447.4512892957</v>
      </c>
      <c r="Q55" s="120">
        <f t="shared" si="21"/>
        <v>3527572.9905829295</v>
      </c>
      <c r="R55" s="120">
        <f t="shared" si="21"/>
        <v>3773224.6296688942</v>
      </c>
      <c r="S55" s="120">
        <f t="shared" si="21"/>
        <v>3855957.570146584</v>
      </c>
      <c r="T55" s="120">
        <f t="shared" si="21"/>
        <v>4302925.6000179779</v>
      </c>
      <c r="U55" s="120">
        <f t="shared" si="21"/>
        <v>5144988.1069448814</v>
      </c>
      <c r="V55" s="120">
        <f t="shared" si="21"/>
        <v>5089928.1236394746</v>
      </c>
      <c r="W55" s="117">
        <f t="shared" si="21"/>
        <v>5406756.8815913517</v>
      </c>
      <c r="X55" s="120">
        <f t="shared" si="21"/>
        <v>5376891.5765727554</v>
      </c>
      <c r="Y55" s="120">
        <f t="shared" si="21"/>
        <v>5929207.0669740643</v>
      </c>
      <c r="Z55" s="120">
        <f t="shared" si="21"/>
        <v>5729923.5716722393</v>
      </c>
      <c r="AA55" s="120">
        <f t="shared" si="21"/>
        <v>5275668.6906341938</v>
      </c>
      <c r="AB55" s="120">
        <f t="shared" si="21"/>
        <v>4760525.5442057187</v>
      </c>
      <c r="AC55" s="120">
        <f t="shared" si="21"/>
        <v>4782648.6749120131</v>
      </c>
      <c r="AD55" s="120">
        <f t="shared" si="21"/>
        <v>5183890.192226422</v>
      </c>
      <c r="AE55" s="120">
        <f t="shared" si="21"/>
        <v>5046156.875531394</v>
      </c>
      <c r="AF55" s="120">
        <f t="shared" si="21"/>
        <v>5190441.7265550354</v>
      </c>
      <c r="AG55" s="120">
        <f t="shared" si="21"/>
        <v>4693937.4169309838</v>
      </c>
      <c r="AH55" s="120">
        <f t="shared" si="21"/>
        <v>5061011.1510857772</v>
      </c>
      <c r="AI55" s="120">
        <f t="shared" si="21"/>
        <v>5267513.9827736663</v>
      </c>
      <c r="AJ55" s="120">
        <f t="shared" si="21"/>
        <v>6651833.898076796</v>
      </c>
      <c r="AK55" s="120">
        <f t="shared" si="21"/>
        <v>10773899.434378928</v>
      </c>
      <c r="AL55" s="120">
        <f t="shared" si="21"/>
        <v>9456645.3313861713</v>
      </c>
      <c r="AM55" s="120">
        <f t="shared" si="21"/>
        <v>8874357.8536826558</v>
      </c>
      <c r="AN55" s="120">
        <f t="shared" si="21"/>
        <v>8226351.1474617962</v>
      </c>
      <c r="AO55" s="120">
        <f t="shared" si="21"/>
        <v>7583955.5198026225</v>
      </c>
      <c r="AP55" s="120">
        <f t="shared" si="21"/>
        <v>6936999.8724672254</v>
      </c>
      <c r="AQ55" s="120">
        <f t="shared" si="21"/>
        <v>6197195.9010295812</v>
      </c>
      <c r="AR55" s="120">
        <f t="shared" si="21"/>
        <v>5373000.6644721851</v>
      </c>
      <c r="AS55" s="120">
        <f t="shared" si="21"/>
        <v>4545735.5544118686</v>
      </c>
      <c r="AT55" s="120">
        <f t="shared" si="21"/>
        <v>3715482.7026955807</v>
      </c>
      <c r="AU55" s="117">
        <f t="shared" si="21"/>
        <v>2984083.5715428726</v>
      </c>
      <c r="AV55" s="120">
        <f>AU55+AV48+AU62</f>
        <v>2319256.1638833559</v>
      </c>
      <c r="AW55" s="120">
        <f t="shared" si="23"/>
        <v>1626123.9772178147</v>
      </c>
      <c r="AX55" s="155">
        <f t="shared" si="23"/>
        <v>905202.05304729368</v>
      </c>
      <c r="AY55" s="4"/>
    </row>
    <row r="56" spans="1:51" x14ac:dyDescent="0.25">
      <c r="A56" s="76" t="s">
        <v>6</v>
      </c>
      <c r="B56" s="116">
        <f>B49</f>
        <v>-99017.228187130415</v>
      </c>
      <c r="C56" s="120">
        <f t="shared" si="22"/>
        <v>-294572.16422670492</v>
      </c>
      <c r="D56" s="120">
        <f t="shared" si="22"/>
        <v>-433087.91831474513</v>
      </c>
      <c r="E56" s="120">
        <f t="shared" si="22"/>
        <v>-543494.61195525865</v>
      </c>
      <c r="F56" s="120">
        <f t="shared" si="22"/>
        <v>-679442.9800498616</v>
      </c>
      <c r="G56" s="120">
        <f t="shared" si="22"/>
        <v>-646002.12663687568</v>
      </c>
      <c r="H56" s="120">
        <f t="shared" si="22"/>
        <v>-198968.03787485298</v>
      </c>
      <c r="I56" s="120">
        <f t="shared" si="22"/>
        <v>-110881.8011215031</v>
      </c>
      <c r="J56" s="120">
        <f t="shared" si="22"/>
        <v>269712.58900660195</v>
      </c>
      <c r="K56" s="120">
        <f t="shared" si="22"/>
        <v>950673.10445861251</v>
      </c>
      <c r="L56" s="120">
        <f t="shared" si="22"/>
        <v>884965.35227000306</v>
      </c>
      <c r="M56" s="120">
        <f t="shared" si="22"/>
        <v>1375170.7848917835</v>
      </c>
      <c r="N56" s="120">
        <f t="shared" si="21"/>
        <v>1210939.9131535438</v>
      </c>
      <c r="O56" s="120">
        <f t="shared" si="21"/>
        <v>1420376.6165195482</v>
      </c>
      <c r="P56" s="120">
        <f t="shared" si="21"/>
        <v>1345552.3125871632</v>
      </c>
      <c r="Q56" s="120">
        <f t="shared" si="21"/>
        <v>1092873.785587668</v>
      </c>
      <c r="R56" s="120">
        <f t="shared" si="21"/>
        <v>1210186.2948936597</v>
      </c>
      <c r="S56" s="120">
        <f t="shared" si="21"/>
        <v>1650243.0629993207</v>
      </c>
      <c r="T56" s="120">
        <f t="shared" si="21"/>
        <v>1649065.045191532</v>
      </c>
      <c r="U56" s="120">
        <f t="shared" si="21"/>
        <v>1565818.3086976316</v>
      </c>
      <c r="V56" s="120">
        <f t="shared" si="21"/>
        <v>1896071.5428518748</v>
      </c>
      <c r="W56" s="117">
        <f t="shared" si="21"/>
        <v>1728648.7218066882</v>
      </c>
      <c r="X56" s="120">
        <f t="shared" si="21"/>
        <v>2803546.0485704592</v>
      </c>
      <c r="Y56" s="120">
        <f t="shared" si="21"/>
        <v>3087857.3292165971</v>
      </c>
      <c r="Z56" s="120">
        <f t="shared" si="21"/>
        <v>3081537.9516637526</v>
      </c>
      <c r="AA56" s="120">
        <f t="shared" si="21"/>
        <v>3087601.4321884853</v>
      </c>
      <c r="AB56" s="120">
        <f t="shared" si="21"/>
        <v>3305643.7819925086</v>
      </c>
      <c r="AC56" s="120">
        <f t="shared" si="21"/>
        <v>3799483.129577219</v>
      </c>
      <c r="AD56" s="120">
        <f t="shared" si="21"/>
        <v>3894459.1320324489</v>
      </c>
      <c r="AE56" s="120">
        <f t="shared" si="21"/>
        <v>3768442.6022013701</v>
      </c>
      <c r="AF56" s="120">
        <f t="shared" si="21"/>
        <v>4352440.1634231452</v>
      </c>
      <c r="AG56" s="120">
        <f t="shared" si="21"/>
        <v>4552562.2984778555</v>
      </c>
      <c r="AH56" s="120">
        <f t="shared" si="21"/>
        <v>4921968.4466451108</v>
      </c>
      <c r="AI56" s="120">
        <f t="shared" si="21"/>
        <v>5407226.9288193742</v>
      </c>
      <c r="AJ56" s="120">
        <f t="shared" si="21"/>
        <v>6121857.2874698984</v>
      </c>
      <c r="AK56" s="120">
        <f t="shared" si="21"/>
        <v>8131061.0586123317</v>
      </c>
      <c r="AL56" s="120">
        <f t="shared" si="21"/>
        <v>7758298.5314777335</v>
      </c>
      <c r="AM56" s="120">
        <f t="shared" si="21"/>
        <v>7398651.6602963936</v>
      </c>
      <c r="AN56" s="120">
        <f t="shared" si="21"/>
        <v>7012465.8364616586</v>
      </c>
      <c r="AO56" s="120">
        <f t="shared" si="21"/>
        <v>6597383.470404841</v>
      </c>
      <c r="AP56" s="120">
        <f t="shared" si="21"/>
        <v>6163229.7384699034</v>
      </c>
      <c r="AQ56" s="120">
        <f t="shared" si="21"/>
        <v>5714346.2446881626</v>
      </c>
      <c r="AR56" s="120">
        <f t="shared" si="21"/>
        <v>5218766.5519953836</v>
      </c>
      <c r="AS56" s="120">
        <f t="shared" si="21"/>
        <v>4735442.6947795823</v>
      </c>
      <c r="AT56" s="120">
        <f t="shared" si="21"/>
        <v>4210991.8604571689</v>
      </c>
      <c r="AU56" s="117">
        <f t="shared" si="21"/>
        <v>3765878.7044268274</v>
      </c>
      <c r="AV56" s="120">
        <f>AU56+AV49+AU63</f>
        <v>3338901.2944391142</v>
      </c>
      <c r="AW56" s="120">
        <f t="shared" si="23"/>
        <v>2910550.4650471467</v>
      </c>
      <c r="AX56" s="155">
        <f t="shared" si="23"/>
        <v>2475605.1811302053</v>
      </c>
      <c r="AY56" s="4"/>
    </row>
    <row r="57" spans="1:51" x14ac:dyDescent="0.25">
      <c r="A57" s="76" t="s">
        <v>7</v>
      </c>
      <c r="B57" s="116">
        <f>B50</f>
        <v>-55951.998187130419</v>
      </c>
      <c r="C57" s="120">
        <f t="shared" si="22"/>
        <v>-198840.39497530146</v>
      </c>
      <c r="D57" s="120">
        <f t="shared" si="22"/>
        <v>-222350.41270022688</v>
      </c>
      <c r="E57" s="120">
        <f t="shared" si="22"/>
        <v>-363290.80886816396</v>
      </c>
      <c r="F57" s="120">
        <f t="shared" si="22"/>
        <v>-484010.1319148473</v>
      </c>
      <c r="G57" s="120">
        <f t="shared" si="22"/>
        <v>-628094.48939981742</v>
      </c>
      <c r="H57" s="120">
        <f t="shared" si="22"/>
        <v>-777606.7488101155</v>
      </c>
      <c r="I57" s="120">
        <f t="shared" si="22"/>
        <v>-791334.34675285488</v>
      </c>
      <c r="J57" s="120">
        <f t="shared" si="22"/>
        <v>-586846.60531923547</v>
      </c>
      <c r="K57" s="120">
        <f t="shared" si="22"/>
        <v>-656440.89971483126</v>
      </c>
      <c r="L57" s="120">
        <f t="shared" si="22"/>
        <v>-733828.39567633183</v>
      </c>
      <c r="M57" s="120">
        <f t="shared" si="22"/>
        <v>-604158.45139340404</v>
      </c>
      <c r="N57" s="120">
        <f t="shared" si="21"/>
        <v>-644583.18159729638</v>
      </c>
      <c r="O57" s="120">
        <f t="shared" si="21"/>
        <v>-556132.47163204453</v>
      </c>
      <c r="P57" s="120">
        <f t="shared" si="21"/>
        <v>-477387.05625487101</v>
      </c>
      <c r="Q57" s="120">
        <f t="shared" si="21"/>
        <v>677446.14519560465</v>
      </c>
      <c r="R57" s="120">
        <f t="shared" si="21"/>
        <v>613826.75125017413</v>
      </c>
      <c r="S57" s="120">
        <f t="shared" si="21"/>
        <v>568492.2648638942</v>
      </c>
      <c r="T57" s="120">
        <f t="shared" si="21"/>
        <v>559703.56307652837</v>
      </c>
      <c r="U57" s="120">
        <f t="shared" si="21"/>
        <v>584814.06898505113</v>
      </c>
      <c r="V57" s="120">
        <f t="shared" si="21"/>
        <v>502405.79752490524</v>
      </c>
      <c r="W57" s="117">
        <f t="shared" si="21"/>
        <v>507671.07248210587</v>
      </c>
      <c r="X57" s="120">
        <f t="shared" si="21"/>
        <v>440013.97316684888</v>
      </c>
      <c r="Y57" s="120">
        <f t="shared" si="21"/>
        <v>484201.73654147674</v>
      </c>
      <c r="Z57" s="120">
        <f t="shared" si="21"/>
        <v>458906.85719826509</v>
      </c>
      <c r="AA57" s="120">
        <f t="shared" si="21"/>
        <v>506000.35225831583</v>
      </c>
      <c r="AB57" s="120">
        <f t="shared" si="21"/>
        <v>800879.25387539936</v>
      </c>
      <c r="AC57" s="120">
        <f t="shared" si="21"/>
        <v>605489.25924298144</v>
      </c>
      <c r="AD57" s="120">
        <f t="shared" si="21"/>
        <v>514900.63508368161</v>
      </c>
      <c r="AE57" s="120">
        <f t="shared" si="21"/>
        <v>1034166.9942808202</v>
      </c>
      <c r="AF57" s="120">
        <f t="shared" si="21"/>
        <v>1330601.0082328545</v>
      </c>
      <c r="AG57" s="120">
        <f t="shared" si="21"/>
        <v>1868382.7671231909</v>
      </c>
      <c r="AH57" s="120">
        <f t="shared" si="21"/>
        <v>2152810.7365429061</v>
      </c>
      <c r="AI57" s="120">
        <f t="shared" si="21"/>
        <v>2887458.9088511169</v>
      </c>
      <c r="AJ57" s="120">
        <f t="shared" si="21"/>
        <v>3193375.3033826798</v>
      </c>
      <c r="AK57" s="120">
        <f t="shared" si="21"/>
        <v>4727942.6274523204</v>
      </c>
      <c r="AL57" s="120">
        <f t="shared" si="21"/>
        <v>4436680.1999854157</v>
      </c>
      <c r="AM57" s="120">
        <f t="shared" si="21"/>
        <v>4269309.9822813915</v>
      </c>
      <c r="AN57" s="120">
        <f t="shared" si="21"/>
        <v>4083833.6863441993</v>
      </c>
      <c r="AO57" s="120">
        <f t="shared" si="21"/>
        <v>3886811.155990792</v>
      </c>
      <c r="AP57" s="120">
        <f t="shared" si="21"/>
        <v>3687058.7980810287</v>
      </c>
      <c r="AQ57" s="120">
        <f t="shared" si="21"/>
        <v>3458837.8762962711</v>
      </c>
      <c r="AR57" s="120">
        <f t="shared" si="21"/>
        <v>3221789.3348432356</v>
      </c>
      <c r="AS57" s="120">
        <f t="shared" si="21"/>
        <v>2982045.0252313996</v>
      </c>
      <c r="AT57" s="120">
        <f t="shared" si="21"/>
        <v>2718772.4589003087</v>
      </c>
      <c r="AU57" s="117">
        <f t="shared" si="21"/>
        <v>2487607.8072421039</v>
      </c>
      <c r="AV57" s="120">
        <f>AU57+AV50+AU64</f>
        <v>2274809.1245977967</v>
      </c>
      <c r="AW57" s="120">
        <f t="shared" si="23"/>
        <v>2074714.7346132265</v>
      </c>
      <c r="AX57" s="155">
        <f t="shared" si="23"/>
        <v>1876878.6869603128</v>
      </c>
      <c r="AY57" s="4"/>
    </row>
    <row r="58" spans="1:51" x14ac:dyDescent="0.25">
      <c r="B58" s="103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7"/>
    </row>
    <row r="59" spans="1:51" x14ac:dyDescent="0.25">
      <c r="A59" s="76" t="s">
        <v>69</v>
      </c>
      <c r="B59" s="129">
        <v>6.5250000000000004E-3</v>
      </c>
      <c r="C59" s="130">
        <v>6.5250000000000004E-3</v>
      </c>
      <c r="D59" s="130">
        <v>6.483329999999999E-3</v>
      </c>
      <c r="E59" s="130">
        <v>6.5083299999999997E-3</v>
      </c>
      <c r="F59" s="130">
        <v>6.4916699999999997E-3</v>
      </c>
      <c r="G59" s="130">
        <v>6.4999999999999997E-3</v>
      </c>
      <c r="H59" s="130">
        <v>6.5083299999999997E-3</v>
      </c>
      <c r="I59" s="130">
        <v>6.5250000000000004E-3</v>
      </c>
      <c r="J59" s="130">
        <v>6.5416600000000004E-3</v>
      </c>
      <c r="K59" s="131">
        <v>6.3749999999999996E-3</v>
      </c>
      <c r="L59" s="263">
        <v>6.3416599999999998E-3</v>
      </c>
      <c r="M59" s="263">
        <v>6.1416700000000001E-3</v>
      </c>
      <c r="N59" s="263">
        <v>5.2833300000000001E-3</v>
      </c>
      <c r="O59" s="263">
        <f>'PCR (M1 Final)'!O57</f>
        <v>3.8498083333333337E-4</v>
      </c>
      <c r="P59" s="263">
        <f>'PCR (M1 Final)'!P57</f>
        <v>2.8620416666666666E-4</v>
      </c>
      <c r="Q59" s="263">
        <f>'PCR (M1 Final)'!Q57</f>
        <v>2.691875E-4</v>
      </c>
      <c r="R59" s="263">
        <f>'PCR (M1 Final)'!R57</f>
        <v>2.4913749999999998E-4</v>
      </c>
      <c r="S59" s="263">
        <f>'PCR (M1 Final)'!S57</f>
        <v>2.5577833333333334E-4</v>
      </c>
      <c r="T59" s="263">
        <f>'PCR (M1 Final)'!T57</f>
        <v>2.4873916666666668E-4</v>
      </c>
      <c r="U59" s="263">
        <f>'PCR (M1 Final)'!U57</f>
        <v>2.5995083333333339E-4</v>
      </c>
      <c r="V59" s="263">
        <f>'PCR (M1 Final)'!V57</f>
        <v>2.2040416666666669E-4</v>
      </c>
      <c r="W59" s="263">
        <f>'PCR (M1 Final)'!W57</f>
        <v>2.2689583333333332E-4</v>
      </c>
      <c r="X59" s="263">
        <f>'PCR (M1 Final)'!X57</f>
        <v>2.6736583333333331E-4</v>
      </c>
      <c r="Y59" s="263">
        <f>'PCR (M1 Final)'!Y57</f>
        <v>3.3764416666666664E-4</v>
      </c>
      <c r="Z59" s="263">
        <f>'PCR (M1 Final)'!Z57</f>
        <v>4.0975499999999998E-4</v>
      </c>
      <c r="AA59" s="263">
        <f>'PCR (M1 Final)'!AA57</f>
        <v>3.6262916666666669E-4</v>
      </c>
      <c r="AB59" s="263">
        <f>'PCR (M1 Final)'!AB57</f>
        <v>3.4233749999999997E-4</v>
      </c>
      <c r="AC59" s="263">
        <f>'PCR (M1 Final)'!AC57</f>
        <v>2.512758333333333E-4</v>
      </c>
      <c r="AD59" s="263">
        <f>'PCR (M1 Final)'!AD57</f>
        <v>7.1156666666666662E-5</v>
      </c>
      <c r="AE59" s="263">
        <f>'PCR (M1 Final)'!AE57</f>
        <v>1.5850666666666666E-4</v>
      </c>
      <c r="AF59" s="263">
        <f>'PCR (M1 Final)'!AF57</f>
        <v>3.7410250000000003E-4</v>
      </c>
      <c r="AG59" s="263">
        <f>'PCR (M1 Final)'!AG57</f>
        <v>4.5024833333333326E-4</v>
      </c>
      <c r="AH59" s="263">
        <f>'PCR (M1 Final)'!AH57</f>
        <v>4.5309999999999995E-4</v>
      </c>
      <c r="AI59" s="263">
        <f>'PCR (M1 Final)'!AI57</f>
        <v>4.439016666666666E-4</v>
      </c>
      <c r="AJ59" s="263">
        <f>'PCR (M1 Final)'!AJ57</f>
        <v>4.2071416666666662E-4</v>
      </c>
      <c r="AK59" s="263">
        <f>'PCR (M1 Final)'!AK57</f>
        <v>5.556533333333334E-4</v>
      </c>
      <c r="AL59" s="263">
        <f>'PCR (M1 Final)'!AL57</f>
        <v>6.6926000000000008E-4</v>
      </c>
      <c r="AM59" s="263">
        <f>'PCR (M1 Final)'!AM57</f>
        <v>6.7500916666666676E-4</v>
      </c>
      <c r="AN59" s="263">
        <f>'PCR (M1 Final)'!AN57</f>
        <v>6.0997666666666656E-4</v>
      </c>
      <c r="AO59" s="263">
        <f>'PCR (M1 Final)'!AO57</f>
        <v>6.2130750000000004E-4</v>
      </c>
      <c r="AP59" s="263">
        <f>'PCR (M1 Final)'!AP57</f>
        <v>6.2982833333333329E-4</v>
      </c>
      <c r="AQ59" s="263">
        <f>'PCR (M1 Final)'!AQ57</f>
        <v>5.2193500000000006E-4</v>
      </c>
      <c r="AR59" s="263">
        <f>'PCR (M1 Final)'!AR57</f>
        <v>5.2420250000000004E-4</v>
      </c>
      <c r="AS59" s="263">
        <f>'PCR (M1 Final)'!AS57</f>
        <v>6.3713833333333325E-4</v>
      </c>
      <c r="AT59" s="263">
        <f>'PCR (M1 Final)'!AT57</f>
        <v>6.2954999999999999E-4</v>
      </c>
      <c r="AU59" s="263">
        <f>'PCR (M1 Final)'!AU57</f>
        <v>6.3347499999999999E-4</v>
      </c>
      <c r="AV59" s="263">
        <f>'PCR (M1 Final)'!AV57</f>
        <v>6.3678749999999994E-4</v>
      </c>
      <c r="AW59" s="263">
        <f>'PCR (M1 Final)'!AW57</f>
        <v>8.0183666666666664E-4</v>
      </c>
      <c r="AX59" s="262">
        <f>'PCR (M1 Final)'!AX57</f>
        <v>7.5000000000000012E-4</v>
      </c>
    </row>
    <row r="60" spans="1:51" x14ac:dyDescent="0.25">
      <c r="A60" s="76" t="s">
        <v>0</v>
      </c>
      <c r="B60" s="116">
        <f>B53*B$59</f>
        <v>-6484.0605660658957</v>
      </c>
      <c r="C60" s="120">
        <f>C53*C$59</f>
        <v>-14259.979200950189</v>
      </c>
      <c r="D60" s="120">
        <f t="shared" ref="D60:AX64" si="24">D53*D$59</f>
        <v>-21257.917027497828</v>
      </c>
      <c r="E60" s="120">
        <f t="shared" si="24"/>
        <v>-25608.304616424903</v>
      </c>
      <c r="F60" s="120">
        <f t="shared" si="24"/>
        <v>-20673.282383185713</v>
      </c>
      <c r="G60" s="120">
        <f t="shared" si="24"/>
        <v>-20955.77235025763</v>
      </c>
      <c r="H60" s="120">
        <f t="shared" si="24"/>
        <v>-19340.316196654181</v>
      </c>
      <c r="I60" s="120">
        <f t="shared" si="24"/>
        <v>-20251.085093427762</v>
      </c>
      <c r="J60" s="120">
        <f t="shared" si="24"/>
        <v>-15928.92127123922</v>
      </c>
      <c r="K60" s="120">
        <f t="shared" si="24"/>
        <v>1424.8319387892266</v>
      </c>
      <c r="L60" s="120">
        <f t="shared" si="24"/>
        <v>11281.088832342341</v>
      </c>
      <c r="M60" s="120">
        <f t="shared" si="24"/>
        <v>17260.533216364438</v>
      </c>
      <c r="N60" s="120">
        <f t="shared" si="24"/>
        <v>9334.5607608667015</v>
      </c>
      <c r="O60" s="120">
        <f t="shared" si="24"/>
        <v>243.2361209784205</v>
      </c>
      <c r="P60" s="120">
        <f t="shared" si="24"/>
        <v>-58.092943685940547</v>
      </c>
      <c r="Q60" s="120">
        <f t="shared" si="24"/>
        <v>-4.8645218754348027</v>
      </c>
      <c r="R60" s="120">
        <f t="shared" si="24"/>
        <v>182.64324590023696</v>
      </c>
      <c r="S60" s="120">
        <f t="shared" si="24"/>
        <v>298.90164503535374</v>
      </c>
      <c r="T60" s="120">
        <f t="shared" si="24"/>
        <v>323.99699337318407</v>
      </c>
      <c r="U60" s="120">
        <f t="shared" si="24"/>
        <v>577.79754098959199</v>
      </c>
      <c r="V60" s="120">
        <f t="shared" si="24"/>
        <v>491.4210080515295</v>
      </c>
      <c r="W60" s="117">
        <f t="shared" si="24"/>
        <v>666.26187534015378</v>
      </c>
      <c r="X60" s="120">
        <f t="shared" si="24"/>
        <v>1121.7045468815256</v>
      </c>
      <c r="Y60" s="120">
        <f t="shared" si="24"/>
        <v>1571.8426374037308</v>
      </c>
      <c r="Z60" s="120">
        <f t="shared" si="24"/>
        <v>1372.8354402662569</v>
      </c>
      <c r="AA60" s="120">
        <f t="shared" si="24"/>
        <v>221.49752673996136</v>
      </c>
      <c r="AB60" s="120">
        <f t="shared" si="24"/>
        <v>-524.21404207709054</v>
      </c>
      <c r="AC60" s="120">
        <f t="shared" si="24"/>
        <v>-346.00362279117292</v>
      </c>
      <c r="AD60" s="120">
        <f t="shared" si="24"/>
        <v>-75.315586557906329</v>
      </c>
      <c r="AE60" s="120">
        <f t="shared" si="24"/>
        <v>-288.54573713500491</v>
      </c>
      <c r="AF60" s="120">
        <f t="shared" si="24"/>
        <v>-903.88583326503988</v>
      </c>
      <c r="AG60" s="120">
        <f t="shared" si="24"/>
        <v>-1890.8178867148092</v>
      </c>
      <c r="AH60" s="120">
        <f t="shared" si="24"/>
        <v>-1900.2091145770164</v>
      </c>
      <c r="AI60" s="120">
        <f t="shared" si="24"/>
        <v>-1225.0722809362069</v>
      </c>
      <c r="AJ60" s="120">
        <f t="shared" si="24"/>
        <v>30.835179395364538</v>
      </c>
      <c r="AK60" s="120">
        <f t="shared" si="24"/>
        <v>4869.7408956468971</v>
      </c>
      <c r="AL60" s="120">
        <f t="shared" si="24"/>
        <v>2793.2748588474765</v>
      </c>
      <c r="AM60" s="120">
        <f t="shared" si="24"/>
        <v>3211.9097735974965</v>
      </c>
      <c r="AN60" s="120">
        <f t="shared" si="24"/>
        <v>3060.6127967612006</v>
      </c>
      <c r="AO60" s="120">
        <f t="shared" si="24"/>
        <v>3242.3336888843646</v>
      </c>
      <c r="AP60" s="120">
        <f t="shared" si="24"/>
        <v>3390.2153108261027</v>
      </c>
      <c r="AQ60" s="120">
        <f t="shared" si="24"/>
        <v>2930.3433066240073</v>
      </c>
      <c r="AR60" s="120">
        <f t="shared" si="24"/>
        <v>3120.1463667395174</v>
      </c>
      <c r="AS60" s="120">
        <f t="shared" si="24"/>
        <v>4007.3299815267242</v>
      </c>
      <c r="AT60" s="120">
        <f>AT53*AT$59</f>
        <v>4152.6913845006638</v>
      </c>
      <c r="AU60" s="117">
        <f>AU53*AU$59</f>
        <v>4316.9079920228387</v>
      </c>
      <c r="AV60" s="120">
        <f>AV53*AV$59</f>
        <v>4455.3280915166415</v>
      </c>
      <c r="AW60" s="120">
        <f>AW53*AW$59</f>
        <v>5832.7724971138605</v>
      </c>
      <c r="AX60" s="155">
        <f t="shared" si="24"/>
        <v>5704.6499051617702</v>
      </c>
    </row>
    <row r="61" spans="1:51" x14ac:dyDescent="0.25">
      <c r="A61" s="76" t="s">
        <v>4</v>
      </c>
      <c r="B61" s="116">
        <f t="shared" ref="B61:M64" si="25">B54*B$59</f>
        <v>-393.30512942102604</v>
      </c>
      <c r="C61" s="120">
        <f t="shared" si="25"/>
        <v>-478.12802440004674</v>
      </c>
      <c r="D61" s="120">
        <f t="shared" si="25"/>
        <v>35.330293595386124</v>
      </c>
      <c r="E61" s="120">
        <f t="shared" si="25"/>
        <v>449.22632570725045</v>
      </c>
      <c r="F61" s="120">
        <f t="shared" si="25"/>
        <v>938.11155221115985</v>
      </c>
      <c r="G61" s="120">
        <f t="shared" si="25"/>
        <v>1528.056643001629</v>
      </c>
      <c r="H61" s="120">
        <f t="shared" si="25"/>
        <v>2714.3345858514103</v>
      </c>
      <c r="I61" s="120">
        <f t="shared" si="25"/>
        <v>3886.9792174392537</v>
      </c>
      <c r="J61" s="120">
        <f t="shared" si="25"/>
        <v>4296.2809865389145</v>
      </c>
      <c r="K61" s="120">
        <f t="shared" si="25"/>
        <v>6031.4155671199633</v>
      </c>
      <c r="L61" s="120">
        <f t="shared" si="25"/>
        <v>7401.7921291596003</v>
      </c>
      <c r="M61" s="120">
        <f t="shared" si="25"/>
        <v>7964.8327991313154</v>
      </c>
      <c r="N61" s="120">
        <f t="shared" si="24"/>
        <v>7470.1506046263594</v>
      </c>
      <c r="O61" s="120">
        <f t="shared" si="24"/>
        <v>495.35964135401514</v>
      </c>
      <c r="P61" s="120">
        <f t="shared" si="24"/>
        <v>362.65025309491637</v>
      </c>
      <c r="Q61" s="120">
        <f t="shared" si="24"/>
        <v>293.74309871291433</v>
      </c>
      <c r="R61" s="120">
        <f t="shared" si="24"/>
        <v>289.87801268628192</v>
      </c>
      <c r="S61" s="120">
        <f t="shared" si="24"/>
        <v>258.28209671196231</v>
      </c>
      <c r="T61" s="120">
        <f t="shared" si="24"/>
        <v>220.06627109235112</v>
      </c>
      <c r="U61" s="120">
        <f t="shared" si="24"/>
        <v>248.76734177669417</v>
      </c>
      <c r="V61" s="120">
        <f t="shared" si="24"/>
        <v>201.92512786246826</v>
      </c>
      <c r="W61" s="117">
        <f t="shared" si="24"/>
        <v>229.5754169184853</v>
      </c>
      <c r="X61" s="120">
        <f t="shared" si="24"/>
        <v>244.42409635156429</v>
      </c>
      <c r="Y61" s="120">
        <f t="shared" si="24"/>
        <v>285.88388563541372</v>
      </c>
      <c r="Z61" s="120">
        <f t="shared" si="24"/>
        <v>338.11901325318996</v>
      </c>
      <c r="AA61" s="120">
        <f t="shared" si="24"/>
        <v>346.64340904722104</v>
      </c>
      <c r="AB61" s="120">
        <f t="shared" si="24"/>
        <v>374.48608933010968</v>
      </c>
      <c r="AC61" s="120">
        <f t="shared" si="24"/>
        <v>385.9159707984378</v>
      </c>
      <c r="AD61" s="120">
        <f t="shared" si="24"/>
        <v>125.07505779206784</v>
      </c>
      <c r="AE61" s="120">
        <f t="shared" si="24"/>
        <v>280.60704630709199</v>
      </c>
      <c r="AF61" s="120">
        <f t="shared" si="24"/>
        <v>649.99762865994421</v>
      </c>
      <c r="AG61" s="120">
        <f t="shared" si="24"/>
        <v>799.35054345151673</v>
      </c>
      <c r="AH61" s="120">
        <f t="shared" si="24"/>
        <v>893.57514629416335</v>
      </c>
      <c r="AI61" s="120">
        <f t="shared" si="24"/>
        <v>996.19588409433049</v>
      </c>
      <c r="AJ61" s="120">
        <f t="shared" si="24"/>
        <v>1106.3212938279707</v>
      </c>
      <c r="AK61" s="120">
        <f t="shared" si="24"/>
        <v>1887.7446975009782</v>
      </c>
      <c r="AL61" s="120">
        <f t="shared" si="24"/>
        <v>2123.4751914069398</v>
      </c>
      <c r="AM61" s="120">
        <f t="shared" si="24"/>
        <v>2005.8211668199601</v>
      </c>
      <c r="AN61" s="120">
        <f t="shared" si="24"/>
        <v>1694.6150233180488</v>
      </c>
      <c r="AO61" s="120">
        <f t="shared" si="24"/>
        <v>1616.3176766646786</v>
      </c>
      <c r="AP61" s="120">
        <f t="shared" si="24"/>
        <v>1531.2370816177761</v>
      </c>
      <c r="AQ61" s="120">
        <f t="shared" si="24"/>
        <v>1159.5290889684063</v>
      </c>
      <c r="AR61" s="120">
        <f t="shared" si="24"/>
        <v>1034.8467479296448</v>
      </c>
      <c r="AS61" s="120">
        <f t="shared" si="24"/>
        <v>1100.1821144254336</v>
      </c>
      <c r="AT61" s="120">
        <f t="shared" si="24"/>
        <v>937.40517073001047</v>
      </c>
      <c r="AU61" s="117">
        <f t="shared" si="24"/>
        <v>815.07846451384773</v>
      </c>
      <c r="AV61" s="120">
        <f t="shared" si="24"/>
        <v>705.00961130665291</v>
      </c>
      <c r="AW61" s="120">
        <f t="shared" si="24"/>
        <v>720.49424585297095</v>
      </c>
      <c r="AX61" s="155">
        <f t="shared" si="24"/>
        <v>500.91533949601796</v>
      </c>
    </row>
    <row r="62" spans="1:51" x14ac:dyDescent="0.25">
      <c r="A62" s="76" t="s">
        <v>5</v>
      </c>
      <c r="B62" s="116">
        <f t="shared" si="25"/>
        <v>-1360.5497274210261</v>
      </c>
      <c r="C62" s="120">
        <f t="shared" si="25"/>
        <v>-1694.4207396597985</v>
      </c>
      <c r="D62" s="120">
        <f t="shared" si="25"/>
        <v>-3206.5932082809172</v>
      </c>
      <c r="E62" s="120">
        <f t="shared" si="25"/>
        <v>-3262.6137656717519</v>
      </c>
      <c r="F62" s="120">
        <f t="shared" si="25"/>
        <v>2411.5690396154787</v>
      </c>
      <c r="G62" s="120">
        <f t="shared" si="25"/>
        <v>3400.5251271545421</v>
      </c>
      <c r="H62" s="120">
        <f t="shared" si="25"/>
        <v>4560.6769070697783</v>
      </c>
      <c r="I62" s="120">
        <f t="shared" si="25"/>
        <v>4518.036300326642</v>
      </c>
      <c r="J62" s="120">
        <f t="shared" si="25"/>
        <v>6999.9529072570012</v>
      </c>
      <c r="K62" s="120">
        <f>K55*K$59</f>
        <v>15486.29321506128</v>
      </c>
      <c r="L62" s="120">
        <f t="shared" si="25"/>
        <v>23723.822898486564</v>
      </c>
      <c r="M62" s="120">
        <f t="shared" si="25"/>
        <v>27130.715507386263</v>
      </c>
      <c r="N62" s="120">
        <f t="shared" si="24"/>
        <v>24352.846765771596</v>
      </c>
      <c r="O62" s="120">
        <f t="shared" si="24"/>
        <v>1668.606249361603</v>
      </c>
      <c r="P62" s="120">
        <f t="shared" si="24"/>
        <v>1179.5754332567101</v>
      </c>
      <c r="Q62" s="120">
        <f t="shared" si="24"/>
        <v>949.5785544025423</v>
      </c>
      <c r="R62" s="120">
        <f t="shared" si="24"/>
        <v>940.0517511741341</v>
      </c>
      <c r="S62" s="120">
        <f t="shared" si="24"/>
        <v>986.27040069614304</v>
      </c>
      <c r="T62" s="120">
        <f t="shared" si="24"/>
        <v>1070.3061279771384</v>
      </c>
      <c r="U62" s="120">
        <f t="shared" si="24"/>
        <v>1337.4439458904112</v>
      </c>
      <c r="V62" s="120">
        <f t="shared" si="24"/>
        <v>1121.8413664839888</v>
      </c>
      <c r="W62" s="117">
        <f t="shared" si="24"/>
        <v>1226.7706082794043</v>
      </c>
      <c r="X62" s="120">
        <f t="shared" si="24"/>
        <v>1437.5970971133552</v>
      </c>
      <c r="Y62" s="120">
        <f t="shared" si="24"/>
        <v>2001.9621791225686</v>
      </c>
      <c r="Z62" s="120">
        <f t="shared" si="24"/>
        <v>2347.8648331105583</v>
      </c>
      <c r="AA62" s="120">
        <f t="shared" si="24"/>
        <v>1913.1113408941023</v>
      </c>
      <c r="AB62" s="120">
        <f t="shared" si="24"/>
        <v>1629.7064134895249</v>
      </c>
      <c r="AC62" s="120">
        <f t="shared" si="24"/>
        <v>1201.7640313290783</v>
      </c>
      <c r="AD62" s="120">
        <f t="shared" si="24"/>
        <v>368.8683464448581</v>
      </c>
      <c r="AE62" s="120">
        <f t="shared" si="24"/>
        <v>799.84950581756277</v>
      </c>
      <c r="AF62" s="120">
        <f t="shared" si="24"/>
        <v>1941.7572260085553</v>
      </c>
      <c r="AG62" s="120">
        <f t="shared" si="24"/>
        <v>2113.437498744147</v>
      </c>
      <c r="AH62" s="120">
        <f t="shared" si="24"/>
        <v>2293.1441525569653</v>
      </c>
      <c r="AI62" s="120">
        <f t="shared" si="24"/>
        <v>2338.2582361432014</v>
      </c>
      <c r="AJ62" s="120">
        <f t="shared" si="24"/>
        <v>2798.5207552344636</v>
      </c>
      <c r="AK62" s="120">
        <f t="shared" si="24"/>
        <v>5986.5531337107668</v>
      </c>
      <c r="AL62" s="120">
        <f t="shared" si="24"/>
        <v>6328.9544544835098</v>
      </c>
      <c r="AM62" s="120">
        <f t="shared" si="24"/>
        <v>5990.2728995161187</v>
      </c>
      <c r="AN62" s="120">
        <f t="shared" si="24"/>
        <v>5017.8822517582539</v>
      </c>
      <c r="AO62" s="120">
        <f t="shared" si="24"/>
        <v>4711.9684441197678</v>
      </c>
      <c r="AP62" s="120">
        <f t="shared" si="24"/>
        <v>4369.1190680095779</v>
      </c>
      <c r="AQ62" s="120">
        <f t="shared" si="24"/>
        <v>3234.5334426038748</v>
      </c>
      <c r="AR62" s="120">
        <f t="shared" si="24"/>
        <v>2816.5403808179808</v>
      </c>
      <c r="AS62" s="120">
        <f t="shared" si="24"/>
        <v>2896.2623749120535</v>
      </c>
      <c r="AT62" s="120">
        <f t="shared" si="24"/>
        <v>2339.0821354820027</v>
      </c>
      <c r="AU62" s="117">
        <f t="shared" si="24"/>
        <v>1890.3423404831212</v>
      </c>
      <c r="AV62" s="120">
        <f t="shared" si="24"/>
        <v>1476.8733344588725</v>
      </c>
      <c r="AW62" s="120">
        <f t="shared" si="24"/>
        <v>1303.885829479075</v>
      </c>
      <c r="AX62" s="155">
        <f t="shared" si="24"/>
        <v>678.90153978547039</v>
      </c>
    </row>
    <row r="63" spans="1:51" x14ac:dyDescent="0.25">
      <c r="A63" s="76" t="s">
        <v>6</v>
      </c>
      <c r="B63" s="116">
        <f t="shared" si="25"/>
        <v>-646.08741392102604</v>
      </c>
      <c r="C63" s="120">
        <f t="shared" si="25"/>
        <v>-1922.0833715792496</v>
      </c>
      <c r="D63" s="120">
        <f t="shared" si="25"/>
        <v>-2807.851893447536</v>
      </c>
      <c r="E63" s="120">
        <f t="shared" si="25"/>
        <v>-3537.2422878267685</v>
      </c>
      <c r="F63" s="120">
        <f t="shared" si="25"/>
        <v>-4410.7196103002852</v>
      </c>
      <c r="G63" s="120">
        <f t="shared" si="25"/>
        <v>-4199.0138231396913</v>
      </c>
      <c r="H63" s="120">
        <f t="shared" si="25"/>
        <v>-1294.9496499420418</v>
      </c>
      <c r="I63" s="120">
        <f t="shared" si="25"/>
        <v>-723.50375231780777</v>
      </c>
      <c r="J63" s="120">
        <f t="shared" si="25"/>
        <v>1764.3680550009278</v>
      </c>
      <c r="K63" s="120">
        <f t="shared" si="25"/>
        <v>6060.5410409236547</v>
      </c>
      <c r="L63" s="120">
        <f t="shared" si="25"/>
        <v>5612.1493758765873</v>
      </c>
      <c r="M63" s="120">
        <f t="shared" si="25"/>
        <v>8445.8451544463205</v>
      </c>
      <c r="N63" s="120">
        <f t="shared" si="24"/>
        <v>6397.795171361513</v>
      </c>
      <c r="O63" s="120">
        <f t="shared" si="24"/>
        <v>546.81777347487616</v>
      </c>
      <c r="P63" s="120">
        <f t="shared" si="24"/>
        <v>385.10267833041519</v>
      </c>
      <c r="Q63" s="120">
        <f t="shared" si="24"/>
        <v>294.18796215788035</v>
      </c>
      <c r="R63" s="120">
        <f t="shared" si="24"/>
        <v>301.50278804406912</v>
      </c>
      <c r="S63" s="120">
        <f t="shared" si="24"/>
        <v>422.09642024886125</v>
      </c>
      <c r="T63" s="120">
        <f t="shared" si="24"/>
        <v>410.18706512007071</v>
      </c>
      <c r="U63" s="120">
        <f t="shared" si="24"/>
        <v>407.03577419454001</v>
      </c>
      <c r="V63" s="120">
        <f t="shared" si="24"/>
        <v>417.90206834264848</v>
      </c>
      <c r="W63" s="117">
        <f t="shared" si="24"/>
        <v>392.22319227493</v>
      </c>
      <c r="X63" s="120">
        <f t="shared" si="24"/>
        <v>749.57242556441463</v>
      </c>
      <c r="Y63" s="120">
        <f t="shared" si="24"/>
        <v>1042.5970147088969</v>
      </c>
      <c r="Z63" s="120">
        <f t="shared" si="24"/>
        <v>1262.6755833839809</v>
      </c>
      <c r="AA63" s="120">
        <f t="shared" si="24"/>
        <v>1119.6543343533169</v>
      </c>
      <c r="AB63" s="120">
        <f t="shared" si="24"/>
        <v>1131.6458282178603</v>
      </c>
      <c r="AC63" s="120">
        <f t="shared" si="24"/>
        <v>954.71828962045686</v>
      </c>
      <c r="AD63" s="120">
        <f t="shared" si="24"/>
        <v>277.11673030498895</v>
      </c>
      <c r="AE63" s="120">
        <f t="shared" si="24"/>
        <v>597.32327539959851</v>
      </c>
      <c r="AF63" s="120">
        <f t="shared" si="24"/>
        <v>1628.2587462370072</v>
      </c>
      <c r="AG63" s="120">
        <f t="shared" si="24"/>
        <v>2049.7835872858232</v>
      </c>
      <c r="AH63" s="120">
        <f t="shared" si="24"/>
        <v>2230.1439031748996</v>
      </c>
      <c r="AI63" s="120">
        <f t="shared" si="24"/>
        <v>2400.2770457478014</v>
      </c>
      <c r="AJ63" s="120">
        <f t="shared" si="24"/>
        <v>2575.5520871501585</v>
      </c>
      <c r="AK63" s="120">
        <f t="shared" si="24"/>
        <v>4518.0511807548046</v>
      </c>
      <c r="AL63" s="120">
        <f t="shared" si="24"/>
        <v>5192.3188751767884</v>
      </c>
      <c r="AM63" s="120">
        <f t="shared" si="24"/>
        <v>4994.1576916736194</v>
      </c>
      <c r="AN63" s="120">
        <f t="shared" si="24"/>
        <v>4277.44053603876</v>
      </c>
      <c r="AO63" s="120">
        <f t="shared" si="24"/>
        <v>4099.003830538556</v>
      </c>
      <c r="AP63" s="120">
        <f t="shared" si="24"/>
        <v>3881.776714130935</v>
      </c>
      <c r="AQ63" s="120">
        <f t="shared" si="24"/>
        <v>2982.5173072213165</v>
      </c>
      <c r="AR63" s="120">
        <f t="shared" si="24"/>
        <v>2735.6904734723603</v>
      </c>
      <c r="AS63" s="120">
        <f t="shared" si="24"/>
        <v>3017.1320661473715</v>
      </c>
      <c r="AT63" s="120">
        <f t="shared" si="24"/>
        <v>2651.0299257508104</v>
      </c>
      <c r="AU63" s="117">
        <f t="shared" si="24"/>
        <v>2385.5900122867843</v>
      </c>
      <c r="AV63" s="120">
        <f t="shared" si="24"/>
        <v>2126.1706080326471</v>
      </c>
      <c r="AW63" s="120">
        <f t="shared" si="24"/>
        <v>2333.7860830585205</v>
      </c>
      <c r="AX63" s="155">
        <f t="shared" si="24"/>
        <v>1856.7038858476542</v>
      </c>
    </row>
    <row r="64" spans="1:51" ht="15.75" thickBot="1" x14ac:dyDescent="0.3">
      <c r="A64" s="76" t="s">
        <v>7</v>
      </c>
      <c r="B64" s="116">
        <f t="shared" si="25"/>
        <v>-365.086788171026</v>
      </c>
      <c r="C64" s="120">
        <f t="shared" si="25"/>
        <v>-1297.433577213842</v>
      </c>
      <c r="D64" s="120">
        <f t="shared" si="25"/>
        <v>-1441.5711011717617</v>
      </c>
      <c r="E64" s="120">
        <f t="shared" si="25"/>
        <v>-2364.4164700809374</v>
      </c>
      <c r="F64" s="120">
        <f t="shared" si="25"/>
        <v>-3142.0340530476565</v>
      </c>
      <c r="G64" s="120">
        <f t="shared" si="25"/>
        <v>-4082.6141810988129</v>
      </c>
      <c r="H64" s="120">
        <f t="shared" si="25"/>
        <v>-5060.9213314833387</v>
      </c>
      <c r="I64" s="120">
        <f t="shared" si="25"/>
        <v>-5163.4566125623787</v>
      </c>
      <c r="J64" s="120">
        <f t="shared" si="25"/>
        <v>-3838.9509641526301</v>
      </c>
      <c r="K64" s="120">
        <f t="shared" si="25"/>
        <v>-4184.8107356820492</v>
      </c>
      <c r="L64" s="120">
        <f t="shared" si="25"/>
        <v>-4653.690183724766</v>
      </c>
      <c r="M64" s="120">
        <f t="shared" si="25"/>
        <v>-3710.5418361693278</v>
      </c>
      <c r="N64" s="120">
        <f t="shared" si="24"/>
        <v>-3405.5456608284439</v>
      </c>
      <c r="O64" s="120">
        <f t="shared" si="24"/>
        <v>-214.10034237263088</v>
      </c>
      <c r="P64" s="120">
        <f t="shared" si="24"/>
        <v>-136.63016461287847</v>
      </c>
      <c r="Q64" s="120">
        <f t="shared" si="24"/>
        <v>182.36003420984184</v>
      </c>
      <c r="R64" s="120">
        <f t="shared" si="24"/>
        <v>152.92726223959025</v>
      </c>
      <c r="S64" s="120">
        <f t="shared" si="24"/>
        <v>145.40800401977876</v>
      </c>
      <c r="T64" s="120">
        <f t="shared" si="24"/>
        <v>139.22019786001977</v>
      </c>
      <c r="U64" s="120">
        <f t="shared" si="24"/>
        <v>152.02290457772156</v>
      </c>
      <c r="V64" s="120">
        <f t="shared" si="24"/>
        <v>110.73233113197881</v>
      </c>
      <c r="W64" s="117">
        <f t="shared" si="24"/>
        <v>115.18845105005447</v>
      </c>
      <c r="X64" s="120">
        <f t="shared" si="24"/>
        <v>117.64470261406551</v>
      </c>
      <c r="Y64" s="194">
        <f t="shared" si="24"/>
        <v>163.48789183309978</v>
      </c>
      <c r="Z64" s="194">
        <f t="shared" si="24"/>
        <v>188.0393792712751</v>
      </c>
      <c r="AA64" s="194">
        <f t="shared" si="24"/>
        <v>183.49048607247286</v>
      </c>
      <c r="AB64" s="194">
        <f t="shared" si="24"/>
        <v>274.17100157356953</v>
      </c>
      <c r="AC64" s="194">
        <f t="shared" si="24"/>
        <v>152.14481819066285</v>
      </c>
      <c r="AD64" s="194">
        <f t="shared" si="24"/>
        <v>36.638612857104505</v>
      </c>
      <c r="AE64" s="194">
        <f t="shared" si="24"/>
        <v>163.92236304013855</v>
      </c>
      <c r="AF64" s="194">
        <f t="shared" si="24"/>
        <v>497.7811636824315</v>
      </c>
      <c r="AG64" s="194">
        <f t="shared" si="24"/>
        <v>841.23622692593801</v>
      </c>
      <c r="AH64" s="194">
        <f t="shared" si="24"/>
        <v>975.43854472759062</v>
      </c>
      <c r="AI64" s="194">
        <f t="shared" si="24"/>
        <v>1281.7478220705254</v>
      </c>
      <c r="AJ64" s="194">
        <f t="shared" si="24"/>
        <v>1343.4982296165579</v>
      </c>
      <c r="AK64" s="194">
        <f t="shared" si="24"/>
        <v>2627.0970807526405</v>
      </c>
      <c r="AL64" s="194">
        <f t="shared" si="24"/>
        <v>2969.2925906422397</v>
      </c>
      <c r="AM64" s="194">
        <f t="shared" si="24"/>
        <v>2881.8233733814441</v>
      </c>
      <c r="AN64" s="194">
        <f t="shared" si="24"/>
        <v>2491.0432592172797</v>
      </c>
      <c r="AO64" s="194">
        <f t="shared" si="24"/>
        <v>2414.9049223007491</v>
      </c>
      <c r="AP64" s="194">
        <f t="shared" si="24"/>
        <v>2322.2140976973774</v>
      </c>
      <c r="AQ64" s="194">
        <f t="shared" si="24"/>
        <v>1805.2885469646944</v>
      </c>
      <c r="AR64" s="194">
        <f t="shared" si="24"/>
        <v>1688.8700237981614</v>
      </c>
      <c r="AS64" s="194">
        <f t="shared" si="24"/>
        <v>1899.9751973008915</v>
      </c>
      <c r="AT64" s="194">
        <f t="shared" si="24"/>
        <v>1711.6032015006892</v>
      </c>
      <c r="AU64" s="267">
        <f t="shared" si="24"/>
        <v>1575.8373556926917</v>
      </c>
      <c r="AV64" s="120">
        <f t="shared" si="24"/>
        <v>1448.5700154298193</v>
      </c>
      <c r="AW64" s="120">
        <f t="shared" si="24"/>
        <v>1663.5823470864875</v>
      </c>
      <c r="AX64" s="155">
        <f t="shared" si="24"/>
        <v>1407.6590152202348</v>
      </c>
    </row>
    <row r="65" spans="1:50" ht="16.5" thickTop="1" thickBot="1" x14ac:dyDescent="0.3">
      <c r="A65" s="132" t="s">
        <v>75</v>
      </c>
      <c r="B65" s="133">
        <f>SUM(B60:B64)+SUM(B53:B57)-B68</f>
        <v>0</v>
      </c>
      <c r="C65" s="134">
        <f>SUM(C60:C64)+SUM(C53:C57)-C68</f>
        <v>0</v>
      </c>
      <c r="D65" s="134">
        <f t="shared" ref="D65:M65" si="26">SUM(D60:D64)+SUM(D53:D57)-D68</f>
        <v>0</v>
      </c>
      <c r="E65" s="134">
        <f t="shared" si="26"/>
        <v>0</v>
      </c>
      <c r="F65" s="134">
        <f t="shared" si="26"/>
        <v>0</v>
      </c>
      <c r="G65" s="134">
        <f t="shared" si="26"/>
        <v>0</v>
      </c>
      <c r="H65" s="134">
        <f t="shared" si="26"/>
        <v>0</v>
      </c>
      <c r="I65" s="134">
        <f t="shared" si="26"/>
        <v>0</v>
      </c>
      <c r="J65" s="137">
        <f t="shared" si="26"/>
        <v>1.280568540096283E-9</v>
      </c>
      <c r="K65" s="134">
        <f>SUM(K60:K64)+SUM(K53:K57)-K68</f>
        <v>0</v>
      </c>
      <c r="L65" s="134">
        <f t="shared" si="26"/>
        <v>0</v>
      </c>
      <c r="M65" s="134">
        <f t="shared" si="26"/>
        <v>0</v>
      </c>
      <c r="N65" s="134">
        <f>SUM(N60:N64)+SUM(N53:N57)-N68</f>
        <v>0</v>
      </c>
      <c r="O65" s="134">
        <f>SUM(O60:O64)+SUM(O53:O57)-O68</f>
        <v>0</v>
      </c>
      <c r="P65" s="134">
        <f t="shared" ref="P65:AW65" si="27">SUM(P60:P64)+SUM(P53:P57)-P68</f>
        <v>0</v>
      </c>
      <c r="Q65" s="134">
        <f t="shared" si="27"/>
        <v>0</v>
      </c>
      <c r="R65" s="134">
        <f t="shared" si="27"/>
        <v>0</v>
      </c>
      <c r="S65" s="134">
        <f t="shared" si="27"/>
        <v>0</v>
      </c>
      <c r="T65" s="134">
        <f t="shared" si="27"/>
        <v>0</v>
      </c>
      <c r="U65" s="134">
        <f t="shared" si="27"/>
        <v>0</v>
      </c>
      <c r="V65" s="134">
        <f t="shared" si="27"/>
        <v>0</v>
      </c>
      <c r="W65" s="170">
        <f t="shared" si="27"/>
        <v>0</v>
      </c>
      <c r="X65" s="195">
        <f t="shared" si="27"/>
        <v>0</v>
      </c>
      <c r="Y65" s="195">
        <f t="shared" si="27"/>
        <v>0</v>
      </c>
      <c r="Z65" s="195">
        <f t="shared" si="27"/>
        <v>0</v>
      </c>
      <c r="AA65" s="195">
        <f t="shared" si="27"/>
        <v>0</v>
      </c>
      <c r="AB65" s="195">
        <f t="shared" si="27"/>
        <v>0</v>
      </c>
      <c r="AC65" s="195">
        <f t="shared" si="27"/>
        <v>0</v>
      </c>
      <c r="AD65" s="195">
        <f t="shared" si="27"/>
        <v>0</v>
      </c>
      <c r="AE65" s="195">
        <f t="shared" si="27"/>
        <v>0</v>
      </c>
      <c r="AF65" s="195">
        <f t="shared" si="27"/>
        <v>0</v>
      </c>
      <c r="AG65" s="195">
        <f t="shared" si="27"/>
        <v>0</v>
      </c>
      <c r="AH65" s="195">
        <f t="shared" si="27"/>
        <v>0</v>
      </c>
      <c r="AI65" s="195">
        <f t="shared" si="27"/>
        <v>0</v>
      </c>
      <c r="AJ65" s="195">
        <f t="shared" si="27"/>
        <v>0</v>
      </c>
      <c r="AK65" s="195">
        <f t="shared" si="27"/>
        <v>0</v>
      </c>
      <c r="AL65" s="195">
        <f t="shared" si="27"/>
        <v>0</v>
      </c>
      <c r="AM65" s="195">
        <f t="shared" si="27"/>
        <v>0</v>
      </c>
      <c r="AN65" s="195">
        <f t="shared" si="27"/>
        <v>0</v>
      </c>
      <c r="AO65" s="195">
        <f t="shared" si="27"/>
        <v>0</v>
      </c>
      <c r="AP65" s="195">
        <f t="shared" si="27"/>
        <v>0</v>
      </c>
      <c r="AQ65" s="195">
        <f t="shared" si="27"/>
        <v>0</v>
      </c>
      <c r="AR65" s="195">
        <f t="shared" si="27"/>
        <v>0</v>
      </c>
      <c r="AS65" s="195">
        <f t="shared" si="27"/>
        <v>0</v>
      </c>
      <c r="AT65" s="195">
        <f t="shared" si="27"/>
        <v>0</v>
      </c>
      <c r="AU65" s="195">
        <f>SUM(AU60:AU64)+SUM(AU53:AU57)-AU68</f>
        <v>0</v>
      </c>
      <c r="AV65" s="137">
        <f>SUM(AV60:AV64)+SUM(AV53:AV57)-AV68</f>
        <v>1.862645149230957E-8</v>
      </c>
      <c r="AW65" s="137">
        <f t="shared" si="27"/>
        <v>1.862645149230957E-8</v>
      </c>
      <c r="AX65" s="138">
        <f>SUM(AX60:AX64)+SUM(AX53:AX57)-AX68</f>
        <v>2.0489096641540527E-8</v>
      </c>
    </row>
    <row r="66" spans="1:50" ht="16.5" thickTop="1" thickBot="1" x14ac:dyDescent="0.3">
      <c r="A66" s="132" t="s">
        <v>76</v>
      </c>
      <c r="B66" s="136">
        <f>SUM(B60:B64)-B43</f>
        <v>3.749999996216502E-4</v>
      </c>
      <c r="C66" s="137">
        <f t="shared" ref="C66:W66" si="28">SUM(C60:C64)-C43</f>
        <v>-4.9138031245092861E-3</v>
      </c>
      <c r="D66" s="137">
        <f t="shared" si="28"/>
        <v>-2.9368026553129312E-3</v>
      </c>
      <c r="E66" s="137">
        <f t="shared" si="28"/>
        <v>-8.1429710553493351E-4</v>
      </c>
      <c r="F66" s="137">
        <f t="shared" si="28"/>
        <v>4.5452929844032042E-3</v>
      </c>
      <c r="G66" s="137">
        <f t="shared" si="28"/>
        <v>1.4156600373098627E-3</v>
      </c>
      <c r="H66" s="137">
        <f t="shared" si="28"/>
        <v>4.314841626182897E-3</v>
      </c>
      <c r="I66" s="137">
        <f t="shared" si="28"/>
        <v>5.9457946917973459E-5</v>
      </c>
      <c r="J66" s="137">
        <f t="shared" si="28"/>
        <v>-2.8659500549110817E-4</v>
      </c>
      <c r="K66" s="137">
        <f>SUM(K60:K64)-K43</f>
        <v>1.0262120740662795E-3</v>
      </c>
      <c r="L66" s="137">
        <f>SUM(L60:L64)-L43</f>
        <v>3.0521403241436929E-3</v>
      </c>
      <c r="M66" s="137">
        <f t="shared" si="28"/>
        <v>4.8411590032628737E-3</v>
      </c>
      <c r="N66" s="137">
        <f t="shared" si="28"/>
        <v>-2.3582022768096067E-3</v>
      </c>
      <c r="O66" s="137">
        <f t="shared" si="28"/>
        <v>-5.5720371665302082E-4</v>
      </c>
      <c r="P66" s="137">
        <f t="shared" si="28"/>
        <v>-4.7436167774321802E-3</v>
      </c>
      <c r="Q66" s="137">
        <f t="shared" si="28"/>
        <v>-4.8723922559474886E-3</v>
      </c>
      <c r="R66" s="137">
        <f t="shared" si="28"/>
        <v>3.0600443121784338E-3</v>
      </c>
      <c r="S66" s="137">
        <f t="shared" si="28"/>
        <v>-1.4332879009089083E-3</v>
      </c>
      <c r="T66" s="137">
        <f t="shared" si="28"/>
        <v>-3.3445772360209958E-3</v>
      </c>
      <c r="U66" s="137">
        <f t="shared" si="28"/>
        <v>-2.4925710413299385E-3</v>
      </c>
      <c r="V66" s="137">
        <f t="shared" si="28"/>
        <v>1.9018726134163444E-3</v>
      </c>
      <c r="W66" s="196">
        <f t="shared" si="28"/>
        <v>-4.5613697193402913E-4</v>
      </c>
      <c r="X66" s="197">
        <f t="shared" ref="X66:AI66" si="29">SUM(X60:X64)-X43</f>
        <v>2.8685249249065237E-3</v>
      </c>
      <c r="Y66" s="197">
        <f t="shared" si="29"/>
        <v>3.6087037096876884E-3</v>
      </c>
      <c r="Z66" s="197">
        <f t="shared" si="29"/>
        <v>4.2492852608120302E-3</v>
      </c>
      <c r="AA66" s="197">
        <f t="shared" si="29"/>
        <v>-2.902892926158529E-3</v>
      </c>
      <c r="AB66" s="197">
        <f t="shared" si="29"/>
        <v>-4.7094660262700927E-3</v>
      </c>
      <c r="AC66" s="197">
        <f t="shared" si="29"/>
        <v>-5.1285253675814602E-4</v>
      </c>
      <c r="AD66" s="197">
        <f t="shared" si="29"/>
        <v>3.1608411129582237E-3</v>
      </c>
      <c r="AE66" s="197">
        <f t="shared" si="29"/>
        <v>-3.5465706130253238E-3</v>
      </c>
      <c r="AF66" s="197">
        <f t="shared" si="29"/>
        <v>-1.0686771011023666E-3</v>
      </c>
      <c r="AG66" s="197">
        <f t="shared" si="29"/>
        <v>-3.0307384349725908E-5</v>
      </c>
      <c r="AH66" s="197">
        <f t="shared" si="29"/>
        <v>2.6321766026740079E-3</v>
      </c>
      <c r="AI66" s="197">
        <f t="shared" si="29"/>
        <v>-3.2928803484537639E-3</v>
      </c>
      <c r="AJ66" s="197">
        <f t="shared" ref="AJ66:AT66" si="30">SUM(AJ60:AJ64)-AJ43</f>
        <v>-2.454775483784033E-3</v>
      </c>
      <c r="AK66" s="197">
        <f t="shared" si="30"/>
        <v>-3.0116339148662519E-3</v>
      </c>
      <c r="AL66" s="197">
        <f t="shared" si="30"/>
        <v>-4.0294430473295506E-3</v>
      </c>
      <c r="AM66" s="197">
        <f t="shared" si="30"/>
        <v>4.904988640191732E-3</v>
      </c>
      <c r="AN66" s="197">
        <f t="shared" si="30"/>
        <v>3.8670935427944642E-3</v>
      </c>
      <c r="AO66" s="197">
        <f t="shared" si="30"/>
        <v>-1.4374918846442597E-3</v>
      </c>
      <c r="AP66" s="197">
        <f t="shared" si="30"/>
        <v>2.2722817702742759E-3</v>
      </c>
      <c r="AQ66" s="197">
        <f t="shared" si="30"/>
        <v>1.6923822986427695E-3</v>
      </c>
      <c r="AR66" s="197">
        <f t="shared" si="30"/>
        <v>3.992757665400859E-3</v>
      </c>
      <c r="AS66" s="197">
        <f t="shared" si="30"/>
        <v>1.7343124745821115E-3</v>
      </c>
      <c r="AT66" s="197">
        <f t="shared" si="30"/>
        <v>1.8179641774622723E-3</v>
      </c>
      <c r="AU66" s="197">
        <f>SUM(AU60:AU64)-AU43</f>
        <v>-3.835000718027004E-3</v>
      </c>
      <c r="AV66" s="137">
        <f>SUM(AV60:AV64)-AV43</f>
        <v>1.660744632317801E-3</v>
      </c>
      <c r="AW66" s="137">
        <f>SUM(AW60:AW64)-AW43</f>
        <v>1.0025909141404554E-3</v>
      </c>
      <c r="AX66" s="138">
        <f>SUM(AX60:AX64)-AX43</f>
        <v>-3.1448885238205548E-4</v>
      </c>
    </row>
    <row r="67" spans="1:50" ht="15.75" thickTop="1" x14ac:dyDescent="0.25">
      <c r="B67" s="103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7"/>
    </row>
    <row r="68" spans="1:50" x14ac:dyDescent="0.25">
      <c r="A68" s="76" t="s">
        <v>77</v>
      </c>
      <c r="B68" s="116">
        <f>(B15-SUM(B18:B22))+SUM(B60:B64)+A70</f>
        <v>-1426734.089625</v>
      </c>
      <c r="C68" s="120">
        <f t="shared" ref="C68:W68" si="31">(C15-SUM(C18:C22))+SUM(C60:C64)+B68</f>
        <v>-3031459.6945388033</v>
      </c>
      <c r="D68" s="120">
        <f t="shared" si="31"/>
        <v>-4452115.7774756057</v>
      </c>
      <c r="E68" s="120">
        <f t="shared" si="31"/>
        <v>-5308080.3382899035</v>
      </c>
      <c r="F68" s="120">
        <f t="shared" si="31"/>
        <v>-3856918.8737446107</v>
      </c>
      <c r="G68" s="120">
        <f t="shared" si="31"/>
        <v>-3764127.062328951</v>
      </c>
      <c r="H68" s="120">
        <f t="shared" si="31"/>
        <v>-2848820.9380141087</v>
      </c>
      <c r="I68" s="120">
        <f t="shared" si="31"/>
        <v>-2735438.7679546503</v>
      </c>
      <c r="J68" s="120">
        <f t="shared" si="31"/>
        <v>-1032023.5182412448</v>
      </c>
      <c r="K68" s="120">
        <f t="shared" si="31"/>
        <v>3917880.3927849676</v>
      </c>
      <c r="L68" s="120">
        <f t="shared" si="31"/>
        <v>6881505.8158371076</v>
      </c>
      <c r="M68" s="120">
        <f t="shared" si="31"/>
        <v>9352834.2106782682</v>
      </c>
      <c r="N68" s="120">
        <f t="shared" si="31"/>
        <v>8400585.5483200662</v>
      </c>
      <c r="O68" s="120">
        <f t="shared" si="31"/>
        <v>7119768.107762862</v>
      </c>
      <c r="P68" s="120">
        <f t="shared" si="31"/>
        <v>6055471.3630192447</v>
      </c>
      <c r="Q68" s="120">
        <f t="shared" si="31"/>
        <v>6372757.9681468522</v>
      </c>
      <c r="R68" s="120">
        <f t="shared" si="31"/>
        <v>7495733.0812068963</v>
      </c>
      <c r="S68" s="120">
        <f t="shared" si="31"/>
        <v>8255189.0797736086</v>
      </c>
      <c r="T68" s="120">
        <f t="shared" si="31"/>
        <v>8701142.2464290317</v>
      </c>
      <c r="U68" s="120">
        <f t="shared" si="31"/>
        <v>10478040.543936461</v>
      </c>
      <c r="V68" s="120">
        <f t="shared" si="31"/>
        <v>10636543.425838333</v>
      </c>
      <c r="W68" s="117">
        <f t="shared" si="31"/>
        <v>11593938.265382195</v>
      </c>
      <c r="X68" s="198">
        <f t="shared" ref="X68:AT68" si="32">(X15-SUM(X18:X22))+SUM(X60:X64)+W68</f>
        <v>13733708.258250721</v>
      </c>
      <c r="Y68" s="198">
        <f t="shared" si="32"/>
        <v>15008356.541859424</v>
      </c>
      <c r="Z68" s="198">
        <f t="shared" si="32"/>
        <v>13451432.706108708</v>
      </c>
      <c r="AA68" s="198">
        <f t="shared" si="32"/>
        <v>10439781.953205816</v>
      </c>
      <c r="AB68" s="198">
        <f t="shared" si="32"/>
        <v>8432564.9584963508</v>
      </c>
      <c r="AC68" s="198">
        <f t="shared" si="32"/>
        <v>9348808.3879834972</v>
      </c>
      <c r="AD68" s="198">
        <f t="shared" si="32"/>
        <v>10293276.921144338</v>
      </c>
      <c r="AE68" s="198">
        <f t="shared" si="32"/>
        <v>9800235.3575977683</v>
      </c>
      <c r="AF68" s="198">
        <f t="shared" si="32"/>
        <v>10198637.336529091</v>
      </c>
      <c r="AG68" s="198">
        <f t="shared" si="32"/>
        <v>8694650.256498782</v>
      </c>
      <c r="AH68" s="198">
        <f t="shared" si="32"/>
        <v>9918622.819130959</v>
      </c>
      <c r="AI68" s="198">
        <f t="shared" si="32"/>
        <v>13052389.65583808</v>
      </c>
      <c r="AJ68" s="198">
        <f t="shared" si="32"/>
        <v>18677840.593383305</v>
      </c>
      <c r="AK68" s="198">
        <f t="shared" si="32"/>
        <v>35814125.980371669</v>
      </c>
      <c r="AL68" s="198">
        <f t="shared" si="32"/>
        <v>29017578.386342224</v>
      </c>
      <c r="AM68" s="198">
        <f t="shared" si="32"/>
        <v>28291270.271247212</v>
      </c>
      <c r="AN68" s="198">
        <f t="shared" si="32"/>
        <v>27134945.905114304</v>
      </c>
      <c r="AO68" s="198">
        <f t="shared" si="32"/>
        <v>25904277.673676811</v>
      </c>
      <c r="AP68" s="198">
        <f t="shared" si="32"/>
        <v>24616741.365949094</v>
      </c>
      <c r="AQ68" s="198">
        <f t="shared" si="32"/>
        <v>23218472.567641478</v>
      </c>
      <c r="AR68" s="198">
        <f t="shared" si="32"/>
        <v>21751265.691634234</v>
      </c>
      <c r="AS68" s="198">
        <f t="shared" si="32"/>
        <v>20292475.663368545</v>
      </c>
      <c r="AT68" s="198">
        <f t="shared" si="32"/>
        <v>18742332.385186508</v>
      </c>
      <c r="AU68" s="198">
        <f>(AU15-SUM(AU18:AU22))+SUM(AU60:AU64)+AT68</f>
        <v>17349878.211351506</v>
      </c>
      <c r="AV68" s="120">
        <f>(AV15-SUM(AV18:AV22))+SUM(AV60:AV64)+AU68</f>
        <v>16046882.993012251</v>
      </c>
      <c r="AW68" s="120">
        <f>(AW15-SUM(AW18:AW22))+SUM(AW60:AW64)+AV68</f>
        <v>14796063.694014842</v>
      </c>
      <c r="AX68" s="121">
        <f>(AX15-SUM(AX18:AX22))+SUM(AX60:AX64)+AW68</f>
        <v>13541921.743700352</v>
      </c>
    </row>
    <row r="69" spans="1:50" x14ac:dyDescent="0.25">
      <c r="A69" s="76" t="s">
        <v>78</v>
      </c>
      <c r="B69" s="103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7"/>
    </row>
    <row r="70" spans="1:50" ht="15.75" thickBot="1" x14ac:dyDescent="0.3">
      <c r="A70" s="109">
        <v>0</v>
      </c>
      <c r="B70" s="139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1"/>
    </row>
    <row r="72" spans="1:50" s="50" customFormat="1" x14ac:dyDescent="0.25">
      <c r="B72" s="172"/>
      <c r="C72" s="172"/>
      <c r="D72" s="172"/>
      <c r="E72" s="172"/>
      <c r="F72" s="172"/>
      <c r="G72" s="172"/>
      <c r="H72" s="173"/>
      <c r="I72" s="172"/>
      <c r="J72" s="172"/>
      <c r="K72" s="172"/>
      <c r="L72" s="199"/>
      <c r="M72" s="199"/>
      <c r="N72" s="199"/>
      <c r="O72" s="172"/>
      <c r="Q72" s="199"/>
      <c r="R72" s="199"/>
      <c r="T72" s="199"/>
      <c r="U72" s="199"/>
    </row>
    <row r="73" spans="1:50" s="50" customFormat="1" x14ac:dyDescent="0.25">
      <c r="B73" s="172"/>
      <c r="C73" s="172"/>
      <c r="D73" s="172"/>
      <c r="E73" s="172"/>
      <c r="F73" s="172"/>
      <c r="G73" s="172"/>
      <c r="H73" s="172"/>
      <c r="I73" s="172"/>
      <c r="J73" s="172"/>
      <c r="P73" s="199"/>
      <c r="S73" s="199"/>
      <c r="V73" s="199"/>
      <c r="W73" s="172"/>
      <c r="X73" s="172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200"/>
      <c r="AW73" s="200"/>
      <c r="AX73" s="200"/>
    </row>
    <row r="74" spans="1:50" s="50" customFormat="1" x14ac:dyDescent="0.25">
      <c r="C74" s="174"/>
      <c r="D74" s="174"/>
      <c r="E74" s="174"/>
      <c r="F74" s="174"/>
      <c r="G74" s="174"/>
      <c r="H74" s="174"/>
      <c r="S74" s="199"/>
    </row>
    <row r="75" spans="1:50" s="50" customFormat="1" x14ac:dyDescent="0.25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</row>
    <row r="76" spans="1:50" s="50" customFormat="1" x14ac:dyDescent="0.25">
      <c r="K76" s="200"/>
    </row>
    <row r="78" spans="1:50" x14ac:dyDescent="0.25"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</row>
    <row r="79" spans="1:50" x14ac:dyDescent="0.25">
      <c r="B79" s="56"/>
      <c r="C79" s="56"/>
      <c r="D79" s="56"/>
      <c r="E79" s="56"/>
      <c r="F79" s="56"/>
      <c r="G79" s="56"/>
      <c r="H79" s="56"/>
    </row>
    <row r="83" spans="3:8" x14ac:dyDescent="0.25">
      <c r="C83" s="56"/>
      <c r="D83" s="56"/>
      <c r="E83" s="56"/>
      <c r="F83" s="56"/>
      <c r="G83" s="56"/>
      <c r="H83" s="56"/>
    </row>
  </sheetData>
  <mergeCells count="1">
    <mergeCell ref="AV13:AX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4"/>
  <sheetViews>
    <sheetView workbookViewId="0">
      <selection activeCell="J23" sqref="J23"/>
    </sheetView>
  </sheetViews>
  <sheetFormatPr defaultColWidth="9.140625" defaultRowHeight="15" x14ac:dyDescent="0.25"/>
  <cols>
    <col min="1" max="1" width="13.85546875" style="76" customWidth="1"/>
    <col min="2" max="2" width="25" style="76" customWidth="1"/>
    <col min="3" max="3" width="17.28515625" style="76" customWidth="1"/>
    <col min="4" max="4" width="17.28515625" style="223" customWidth="1"/>
    <col min="5" max="5" width="14.7109375" style="76" customWidth="1"/>
    <col min="6" max="6" width="14.42578125" style="76" bestFit="1" customWidth="1"/>
    <col min="7" max="7" width="14" style="76" customWidth="1"/>
    <col min="8" max="8" width="12.5703125" style="76" bestFit="1" customWidth="1"/>
    <col min="9" max="9" width="13.28515625" style="76" bestFit="1" customWidth="1"/>
    <col min="10" max="10" width="14" style="76" customWidth="1"/>
    <col min="11" max="11" width="9.140625" style="76" customWidth="1"/>
    <col min="12" max="16384" width="9.140625" style="76"/>
  </cols>
  <sheetData>
    <row r="1" spans="1:19" x14ac:dyDescent="0.25">
      <c r="A1" s="8" t="s">
        <v>139</v>
      </c>
      <c r="E1" s="50"/>
    </row>
    <row r="2" spans="1:19" ht="15.75" thickBot="1" x14ac:dyDescent="0.3">
      <c r="B2" s="160" t="s">
        <v>109</v>
      </c>
      <c r="C2" s="160"/>
      <c r="D2" s="295"/>
      <c r="L2" s="50"/>
      <c r="M2" s="50"/>
      <c r="N2" s="50"/>
    </row>
    <row r="3" spans="1:19" ht="15.75" thickBot="1" x14ac:dyDescent="0.3">
      <c r="E3" s="329" t="s">
        <v>8</v>
      </c>
      <c r="F3" s="330"/>
      <c r="G3" s="330"/>
      <c r="H3" s="331"/>
      <c r="L3" s="50"/>
    </row>
    <row r="4" spans="1:19" ht="15.75" thickBot="1" x14ac:dyDescent="0.3">
      <c r="A4" s="226" t="s">
        <v>110</v>
      </c>
      <c r="B4" s="201">
        <v>28246578.739999998</v>
      </c>
      <c r="C4" s="76" t="s">
        <v>9</v>
      </c>
      <c r="E4" s="225"/>
      <c r="F4" s="233" t="s">
        <v>0</v>
      </c>
      <c r="G4" s="233" t="s">
        <v>1</v>
      </c>
      <c r="H4" s="234" t="s">
        <v>2</v>
      </c>
      <c r="I4" s="205" t="s">
        <v>9</v>
      </c>
      <c r="L4" s="58" t="s">
        <v>27</v>
      </c>
    </row>
    <row r="5" spans="1:19" ht="16.5" thickTop="1" thickBot="1" x14ac:dyDescent="0.3">
      <c r="A5" s="60"/>
      <c r="B5" s="50"/>
      <c r="C5" s="4"/>
      <c r="D5" s="4"/>
      <c r="E5" s="227" t="s">
        <v>120</v>
      </c>
      <c r="F5" s="204">
        <v>609232</v>
      </c>
      <c r="G5" s="204">
        <v>528092</v>
      </c>
      <c r="H5" s="210">
        <v>15591</v>
      </c>
      <c r="I5" s="202">
        <f>SUM(F5:H5)</f>
        <v>1152915</v>
      </c>
      <c r="L5" s="58" t="s">
        <v>118</v>
      </c>
      <c r="M5" s="50"/>
      <c r="N5" s="50"/>
    </row>
    <row r="6" spans="1:19" ht="15.75" thickTop="1" x14ac:dyDescent="0.25">
      <c r="A6" s="60"/>
      <c r="B6" s="201">
        <v>14737345.43</v>
      </c>
      <c r="C6" s="76" t="s">
        <v>111</v>
      </c>
      <c r="E6" s="227"/>
      <c r="F6" s="229">
        <f>F5/I5</f>
        <v>0.52842750766535262</v>
      </c>
      <c r="G6" s="229">
        <f>+G5/I5</f>
        <v>0.45804937918233346</v>
      </c>
      <c r="H6" s="230">
        <f>+H5/I5</f>
        <v>1.3523113152313916E-2</v>
      </c>
      <c r="L6" s="3" t="s">
        <v>119</v>
      </c>
    </row>
    <row r="7" spans="1:19" x14ac:dyDescent="0.25">
      <c r="A7" s="60"/>
      <c r="B7" s="201">
        <v>13509233.310000001</v>
      </c>
      <c r="C7" s="76" t="s">
        <v>112</v>
      </c>
      <c r="E7" s="227"/>
      <c r="F7" s="249"/>
      <c r="G7" s="249"/>
      <c r="H7" s="250"/>
      <c r="K7" s="3"/>
      <c r="L7" s="3" t="s">
        <v>133</v>
      </c>
    </row>
    <row r="8" spans="1:19" x14ac:dyDescent="0.25">
      <c r="A8" s="60"/>
      <c r="B8" s="52"/>
      <c r="C8" s="223"/>
      <c r="E8" s="227" t="s">
        <v>132</v>
      </c>
      <c r="F8" s="253"/>
      <c r="G8" s="255">
        <v>0.11899999999999999</v>
      </c>
      <c r="H8" s="254"/>
      <c r="I8" s="223"/>
      <c r="J8" s="223"/>
      <c r="L8" s="58" t="s">
        <v>173</v>
      </c>
      <c r="M8" s="50"/>
      <c r="N8" s="50"/>
      <c r="O8" s="50"/>
      <c r="P8" s="50"/>
      <c r="Q8" s="50"/>
      <c r="R8" s="50"/>
      <c r="S8" s="50"/>
    </row>
    <row r="9" spans="1:19" x14ac:dyDescent="0.25">
      <c r="A9" s="60"/>
      <c r="B9" s="4"/>
      <c r="C9" s="223"/>
      <c r="E9" s="227" t="s">
        <v>5</v>
      </c>
      <c r="F9" s="253"/>
      <c r="G9" s="255">
        <v>0.503</v>
      </c>
      <c r="H9" s="254"/>
      <c r="I9" s="223"/>
      <c r="J9" s="223"/>
    </row>
    <row r="10" spans="1:19" x14ac:dyDescent="0.25">
      <c r="B10" s="296" t="s">
        <v>162</v>
      </c>
      <c r="C10" s="161" t="s">
        <v>113</v>
      </c>
      <c r="E10" s="227" t="s">
        <v>6</v>
      </c>
      <c r="F10" s="253"/>
      <c r="G10" s="255">
        <v>0.224</v>
      </c>
      <c r="H10" s="254"/>
      <c r="I10" s="223"/>
      <c r="J10" s="223"/>
    </row>
    <row r="11" spans="1:19" x14ac:dyDescent="0.25">
      <c r="A11" s="60" t="s">
        <v>0</v>
      </c>
      <c r="B11" s="40">
        <v>11286493328.139822</v>
      </c>
      <c r="C11" s="42">
        <f>SUM(F20:H20)</f>
        <v>7236510.6406951062</v>
      </c>
      <c r="E11" s="227" t="s">
        <v>7</v>
      </c>
      <c r="F11" s="253"/>
      <c r="G11" s="255">
        <v>0.154</v>
      </c>
      <c r="H11" s="254"/>
      <c r="I11" s="223"/>
      <c r="J11" s="223"/>
    </row>
    <row r="12" spans="1:19" x14ac:dyDescent="0.25">
      <c r="A12" s="77" t="s">
        <v>4</v>
      </c>
      <c r="B12" s="40">
        <v>3015172208.0342064</v>
      </c>
      <c r="C12" s="42">
        <f>SUM(F21:H21)</f>
        <v>746453.99764728255</v>
      </c>
      <c r="E12" s="227"/>
      <c r="F12" s="251"/>
      <c r="G12" s="251"/>
      <c r="H12" s="252"/>
      <c r="I12" s="223"/>
      <c r="J12" s="223"/>
    </row>
    <row r="13" spans="1:19" x14ac:dyDescent="0.25">
      <c r="A13" s="77" t="s">
        <v>5</v>
      </c>
      <c r="B13" s="40">
        <v>7065848205.2827311</v>
      </c>
      <c r="C13" s="42">
        <f>SUM(F22:H22)</f>
        <v>3155179.502660362</v>
      </c>
      <c r="D13" s="4"/>
      <c r="E13" s="227" t="s">
        <v>4</v>
      </c>
      <c r="F13" s="229"/>
      <c r="G13" s="256">
        <f>+$G$5*G8</f>
        <v>62842.947999999997</v>
      </c>
      <c r="H13" s="230"/>
    </row>
    <row r="14" spans="1:19" x14ac:dyDescent="0.25">
      <c r="A14" s="77" t="s">
        <v>6</v>
      </c>
      <c r="B14" s="40">
        <v>3044154003.0419312</v>
      </c>
      <c r="C14" s="42">
        <f>SUM(F23:H23)</f>
        <v>1405089.8779242965</v>
      </c>
      <c r="E14" s="227" t="s">
        <v>5</v>
      </c>
      <c r="F14" s="229"/>
      <c r="G14" s="256">
        <f>+$G$5*G9</f>
        <v>265630.27600000001</v>
      </c>
      <c r="H14" s="230"/>
    </row>
    <row r="15" spans="1:19" x14ac:dyDescent="0.25">
      <c r="A15" s="77" t="s">
        <v>7</v>
      </c>
      <c r="B15" s="40">
        <v>1586807059.1420789</v>
      </c>
      <c r="C15" s="42">
        <f>SUM(F24:H24)</f>
        <v>965999.29107295384</v>
      </c>
      <c r="E15" s="227" t="s">
        <v>6</v>
      </c>
      <c r="F15" s="229"/>
      <c r="G15" s="256">
        <f>+$G$5*G10</f>
        <v>118292.60800000001</v>
      </c>
      <c r="H15" s="230"/>
    </row>
    <row r="16" spans="1:19" ht="15.75" thickBot="1" x14ac:dyDescent="0.3">
      <c r="A16" s="77" t="s">
        <v>9</v>
      </c>
      <c r="B16" s="41">
        <f>SUM(B11:B15)</f>
        <v>25998474803.64077</v>
      </c>
      <c r="C16" s="119">
        <f>SUM(C11:C15)</f>
        <v>13509233.310000002</v>
      </c>
      <c r="E16" s="227" t="s">
        <v>7</v>
      </c>
      <c r="F16" s="229"/>
      <c r="G16" s="256">
        <f>+$G$5*G11</f>
        <v>81326.168000000005</v>
      </c>
      <c r="H16" s="230"/>
    </row>
    <row r="17" spans="3:9" ht="16.5" thickTop="1" thickBot="1" x14ac:dyDescent="0.3">
      <c r="C17" s="21">
        <f>B7-C16</f>
        <v>0</v>
      </c>
      <c r="E17" s="235"/>
      <c r="F17" s="241"/>
      <c r="G17" s="240">
        <f>SUM(G13:G16)</f>
        <v>528092</v>
      </c>
      <c r="H17" s="242"/>
    </row>
    <row r="18" spans="3:9" ht="16.5" thickTop="1" thickBot="1" x14ac:dyDescent="0.3">
      <c r="C18" s="223"/>
      <c r="E18" s="235"/>
      <c r="F18" s="207"/>
      <c r="G18" s="209"/>
      <c r="H18" s="211"/>
      <c r="I18" s="223"/>
    </row>
    <row r="19" spans="3:9" ht="16.5" thickTop="1" thickBot="1" x14ac:dyDescent="0.3">
      <c r="E19" s="238" t="s">
        <v>121</v>
      </c>
      <c r="F19" s="212">
        <f>+$B$7*F6</f>
        <v>7138650.4884730624</v>
      </c>
      <c r="G19" s="212">
        <f>+$B$7*G6</f>
        <v>6187895.9308748003</v>
      </c>
      <c r="H19" s="206">
        <f>+$B$7*H6</f>
        <v>182686.89065213827</v>
      </c>
    </row>
    <row r="20" spans="3:9" x14ac:dyDescent="0.25">
      <c r="E20" s="227" t="s">
        <v>0</v>
      </c>
      <c r="F20" s="236">
        <f>F19</f>
        <v>7138650.4884730624</v>
      </c>
      <c r="G20" s="236">
        <v>0</v>
      </c>
      <c r="H20" s="237">
        <f>+((F5/($I$5-$H$5))*$H$19)</f>
        <v>97860.152222043587</v>
      </c>
    </row>
    <row r="21" spans="3:9" x14ac:dyDescent="0.25">
      <c r="E21" s="227" t="s">
        <v>4</v>
      </c>
      <c r="F21" s="231">
        <v>0</v>
      </c>
      <c r="G21" s="231">
        <f>+G13/$G$5*$G$19</f>
        <v>736359.61577410123</v>
      </c>
      <c r="H21" s="237">
        <f>+((G13/($I$5-$H$5))*$H$19)</f>
        <v>10094.381873181266</v>
      </c>
    </row>
    <row r="22" spans="3:9" x14ac:dyDescent="0.25">
      <c r="E22" s="227" t="s">
        <v>5</v>
      </c>
      <c r="F22" s="231">
        <v>0</v>
      </c>
      <c r="G22" s="231">
        <f>+G14/$G$5*$G$19</f>
        <v>3112511.6532300245</v>
      </c>
      <c r="H22" s="237">
        <f>+((G14/($I$5-$H$5))*$H$19)</f>
        <v>42667.849430337628</v>
      </c>
    </row>
    <row r="23" spans="3:9" x14ac:dyDescent="0.25">
      <c r="E23" s="227" t="s">
        <v>6</v>
      </c>
      <c r="F23" s="231">
        <v>0</v>
      </c>
      <c r="G23" s="231">
        <f>+G15/$G$5*$G$19</f>
        <v>1386088.6885159553</v>
      </c>
      <c r="H23" s="237">
        <f>+((G15/($I$5-$H$5))*$H$19)</f>
        <v>19001.189408341212</v>
      </c>
    </row>
    <row r="24" spans="3:9" ht="15.75" thickBot="1" x14ac:dyDescent="0.3">
      <c r="E24" s="228" t="s">
        <v>7</v>
      </c>
      <c r="F24" s="232">
        <v>0</v>
      </c>
      <c r="G24" s="232">
        <f>+G16/$G$5*$G$19</f>
        <v>952935.97335471923</v>
      </c>
      <c r="H24" s="208">
        <f>+((G16/($I$5-$H$5))*$H$19)</f>
        <v>13063.317718234583</v>
      </c>
    </row>
  </sheetData>
  <mergeCells count="1">
    <mergeCell ref="E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U66"/>
  <sheetViews>
    <sheetView zoomScaleNormal="100" workbookViewId="0">
      <pane xSplit="1" ySplit="14" topLeftCell="B15" activePane="bottomRight" state="frozen"/>
      <selection pane="topRight" activeCell="B1" sqref="B1"/>
      <selection pane="bottomLeft" activeCell="A19" sqref="A19"/>
      <selection pane="bottomRight" activeCell="G11" sqref="G11"/>
    </sheetView>
  </sheetViews>
  <sheetFormatPr defaultColWidth="9.140625" defaultRowHeight="15" x14ac:dyDescent="0.25"/>
  <cols>
    <col min="1" max="1" width="23.42578125" style="223" customWidth="1"/>
    <col min="2" max="2" width="18" style="223" customWidth="1"/>
    <col min="3" max="3" width="16.42578125" style="223" customWidth="1"/>
    <col min="4" max="4" width="15.140625" style="223" customWidth="1"/>
    <col min="5" max="5" width="16.140625" style="223" customWidth="1"/>
    <col min="6" max="6" width="15" style="223" bestFit="1" customWidth="1"/>
    <col min="7" max="7" width="16" style="223" customWidth="1"/>
    <col min="8" max="8" width="15" style="223" bestFit="1" customWidth="1"/>
    <col min="9" max="11" width="16" style="223" bestFit="1" customWidth="1"/>
    <col min="12" max="12" width="16.42578125" style="223" customWidth="1"/>
    <col min="13" max="13" width="17.28515625" style="223" customWidth="1"/>
    <col min="14" max="14" width="16.85546875" style="223" customWidth="1"/>
    <col min="15" max="15" width="13.85546875" style="223" bestFit="1" customWidth="1"/>
    <col min="16" max="16" width="10.85546875" style="223" bestFit="1" customWidth="1"/>
    <col min="17" max="17" width="9.140625" style="223"/>
    <col min="18" max="18" width="12.7109375" style="223" bestFit="1" customWidth="1"/>
    <col min="19" max="16384" width="9.140625" style="223"/>
  </cols>
  <sheetData>
    <row r="2" spans="1:21" x14ac:dyDescent="0.25">
      <c r="B2" s="244" t="s">
        <v>149</v>
      </c>
      <c r="I2" s="3" t="s">
        <v>27</v>
      </c>
    </row>
    <row r="3" spans="1:21" x14ac:dyDescent="0.25">
      <c r="B3" s="280" t="s">
        <v>68</v>
      </c>
      <c r="C3" s="280" t="s">
        <v>141</v>
      </c>
      <c r="D3" s="280" t="s">
        <v>95</v>
      </c>
      <c r="E3" s="280" t="s">
        <v>69</v>
      </c>
      <c r="F3" s="280" t="s">
        <v>152</v>
      </c>
      <c r="H3" s="58" t="s">
        <v>145</v>
      </c>
      <c r="I3" s="50"/>
      <c r="J3" s="50"/>
      <c r="K3" s="50"/>
      <c r="L3" s="50"/>
    </row>
    <row r="4" spans="1:21" x14ac:dyDescent="0.25">
      <c r="A4" s="223" t="s">
        <v>0</v>
      </c>
      <c r="B4" s="24">
        <f>SUM(B22:N22)</f>
        <v>7840358.608673905</v>
      </c>
      <c r="C4" s="24">
        <f>SUM(B15:N15)</f>
        <v>7894375.2448816346</v>
      </c>
      <c r="D4" s="24">
        <f>C4-B4</f>
        <v>54016.636207729578</v>
      </c>
      <c r="E4" s="24">
        <f>SUM(B55:N55)</f>
        <v>2100.857578310829</v>
      </c>
      <c r="F4" s="42">
        <f>D4+E4</f>
        <v>56117.49378604041</v>
      </c>
      <c r="H4" s="58" t="s">
        <v>146</v>
      </c>
      <c r="I4" s="50"/>
      <c r="J4" s="50"/>
      <c r="K4" s="50"/>
      <c r="L4" s="50"/>
    </row>
    <row r="5" spans="1:21" x14ac:dyDescent="0.25">
      <c r="A5" s="223" t="s">
        <v>4</v>
      </c>
      <c r="B5" s="24">
        <f>SUM(B23:N23)</f>
        <v>798508.33473716292</v>
      </c>
      <c r="C5" s="24">
        <f t="shared" ref="C5:C8" si="0">SUM(B16:N16)</f>
        <v>814313.45202908525</v>
      </c>
      <c r="D5" s="24">
        <f>C5-B5</f>
        <v>15805.117291922332</v>
      </c>
      <c r="E5" s="24">
        <f>SUM(B56:N56)</f>
        <v>317.44755374608508</v>
      </c>
      <c r="F5" s="42">
        <f>D5+E5</f>
        <v>16122.564845668418</v>
      </c>
      <c r="H5" s="58" t="s">
        <v>147</v>
      </c>
      <c r="I5" s="50"/>
      <c r="J5" s="50"/>
      <c r="K5" s="50"/>
      <c r="L5" s="50"/>
    </row>
    <row r="6" spans="1:21" x14ac:dyDescent="0.25">
      <c r="A6" s="223" t="s">
        <v>5</v>
      </c>
      <c r="B6" s="24">
        <f>SUM(B24:N24)</f>
        <v>3386235.0320263687</v>
      </c>
      <c r="C6" s="24">
        <f t="shared" si="0"/>
        <v>3442014.0031145369</v>
      </c>
      <c r="D6" s="24">
        <f>C6-B6</f>
        <v>55778.971088168211</v>
      </c>
      <c r="E6" s="24">
        <f>SUM(B57:N57)</f>
        <v>1123.3404038809033</v>
      </c>
      <c r="F6" s="42">
        <f>D6+E6</f>
        <v>56902.311492049113</v>
      </c>
      <c r="H6" s="58" t="s">
        <v>148</v>
      </c>
      <c r="I6" s="50"/>
      <c r="J6" s="50"/>
      <c r="K6" s="50"/>
      <c r="L6" s="50"/>
    </row>
    <row r="7" spans="1:21" x14ac:dyDescent="0.25">
      <c r="A7" s="223" t="s">
        <v>6</v>
      </c>
      <c r="B7" s="24">
        <f>SUM(B25:N25)</f>
        <v>1560101.1862661464</v>
      </c>
      <c r="C7" s="24">
        <f t="shared" si="0"/>
        <v>1532825.3214665141</v>
      </c>
      <c r="D7" s="24">
        <f>C7-B7</f>
        <v>-27275.864799632225</v>
      </c>
      <c r="E7" s="24">
        <f>SUM(B58:N58)</f>
        <v>54.290235828009344</v>
      </c>
      <c r="F7" s="42">
        <f>D7+E7</f>
        <v>-27221.574563804217</v>
      </c>
      <c r="H7" s="58" t="s">
        <v>151</v>
      </c>
      <c r="I7" s="50"/>
      <c r="J7" s="50"/>
      <c r="K7" s="50"/>
      <c r="L7" s="50"/>
    </row>
    <row r="8" spans="1:21" ht="15.75" thickBot="1" x14ac:dyDescent="0.3">
      <c r="A8" s="223" t="s">
        <v>7</v>
      </c>
      <c r="B8" s="24">
        <f>SUM(B26:N26)</f>
        <v>998499.08872383065</v>
      </c>
      <c r="C8" s="24">
        <f t="shared" si="0"/>
        <v>1053817.4085082284</v>
      </c>
      <c r="D8" s="24">
        <f>C8-B8</f>
        <v>55318.319784397725</v>
      </c>
      <c r="E8" s="24">
        <f>SUM(B59:N59)</f>
        <v>851.09881466327522</v>
      </c>
      <c r="F8" s="42">
        <f>D8+E8</f>
        <v>56169.418599060999</v>
      </c>
      <c r="H8" s="58" t="s">
        <v>86</v>
      </c>
      <c r="I8" s="50"/>
      <c r="J8" s="50"/>
      <c r="K8" s="50"/>
      <c r="L8" s="50"/>
    </row>
    <row r="9" spans="1:21" ht="16.5" thickTop="1" thickBot="1" x14ac:dyDescent="0.3">
      <c r="B9" s="91">
        <f t="shared" ref="B9:F9" si="1">SUM(B4:B8)</f>
        <v>14583702.250427414</v>
      </c>
      <c r="C9" s="91">
        <f t="shared" si="1"/>
        <v>14737345.43</v>
      </c>
      <c r="D9" s="91">
        <f>SUM(D4:D8)</f>
        <v>153643.17957258562</v>
      </c>
      <c r="E9" s="91">
        <f>SUM(E4:E8)</f>
        <v>4447.0345864291012</v>
      </c>
      <c r="F9" s="91">
        <f t="shared" si="1"/>
        <v>158090.21415901475</v>
      </c>
      <c r="H9" s="58" t="s">
        <v>125</v>
      </c>
      <c r="I9" s="50"/>
      <c r="J9" s="50"/>
      <c r="K9" s="50"/>
      <c r="L9" s="50"/>
    </row>
    <row r="10" spans="1:21" ht="16.5" thickTop="1" thickBot="1" x14ac:dyDescent="0.3">
      <c r="D10" s="39" t="s">
        <v>26</v>
      </c>
      <c r="E10" s="21">
        <f>E9-SUM(B38:N38)</f>
        <v>-4.2497059985180385E-3</v>
      </c>
      <c r="H10" s="58" t="s">
        <v>150</v>
      </c>
      <c r="I10" s="50"/>
      <c r="J10" s="50"/>
      <c r="K10" s="50"/>
      <c r="L10" s="50"/>
    </row>
    <row r="11" spans="1:21" ht="15.75" thickTop="1" x14ac:dyDescent="0.25">
      <c r="E11" s="4"/>
      <c r="G11" s="3"/>
    </row>
    <row r="12" spans="1:21" ht="15.75" thickBot="1" x14ac:dyDescent="0.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49"/>
      <c r="M12" s="49"/>
    </row>
    <row r="13" spans="1:21" ht="15.75" thickBot="1" x14ac:dyDescent="0.3">
      <c r="B13" s="225"/>
      <c r="C13" s="126"/>
      <c r="D13" s="144" t="s">
        <v>153</v>
      </c>
      <c r="E13" s="126"/>
      <c r="F13" s="126"/>
      <c r="G13" s="126"/>
      <c r="H13" s="126"/>
      <c r="I13" s="126"/>
      <c r="J13" s="126"/>
      <c r="K13" s="126"/>
      <c r="L13" s="333" t="s">
        <v>71</v>
      </c>
      <c r="M13" s="334"/>
      <c r="N13" s="335"/>
    </row>
    <row r="14" spans="1:21" x14ac:dyDescent="0.25">
      <c r="A14" s="223" t="s">
        <v>140</v>
      </c>
      <c r="B14" s="95">
        <v>42736</v>
      </c>
      <c r="C14" s="96">
        <f t="shared" ref="C14:K14" si="2">EDATE(B14,1)</f>
        <v>42767</v>
      </c>
      <c r="D14" s="96">
        <f t="shared" si="2"/>
        <v>42795</v>
      </c>
      <c r="E14" s="96">
        <f t="shared" si="2"/>
        <v>42826</v>
      </c>
      <c r="F14" s="96">
        <f t="shared" si="2"/>
        <v>42856</v>
      </c>
      <c r="G14" s="96">
        <f t="shared" si="2"/>
        <v>42887</v>
      </c>
      <c r="H14" s="96">
        <f t="shared" si="2"/>
        <v>42917</v>
      </c>
      <c r="I14" s="96">
        <f t="shared" si="2"/>
        <v>42948</v>
      </c>
      <c r="J14" s="96">
        <f t="shared" si="2"/>
        <v>42979</v>
      </c>
      <c r="K14" s="97">
        <f t="shared" si="2"/>
        <v>43009</v>
      </c>
      <c r="L14" s="95">
        <f>EDATE(K14,1)</f>
        <v>43040</v>
      </c>
      <c r="M14" s="96">
        <f>EDATE(L14,1)</f>
        <v>43070</v>
      </c>
      <c r="N14" s="97">
        <f>EDATE(M14,1)</f>
        <v>43101</v>
      </c>
      <c r="O14" s="1"/>
      <c r="P14" s="1"/>
      <c r="Q14" s="1"/>
      <c r="R14" s="1"/>
      <c r="S14" s="1"/>
      <c r="T14" s="1"/>
      <c r="U14" s="1"/>
    </row>
    <row r="15" spans="1:21" x14ac:dyDescent="0.25">
      <c r="A15" s="50" t="s">
        <v>0</v>
      </c>
      <c r="B15" s="98">
        <v>0</v>
      </c>
      <c r="C15" s="99">
        <v>657864.60374013626</v>
      </c>
      <c r="D15" s="99">
        <v>657864.60374013626</v>
      </c>
      <c r="E15" s="99">
        <v>657864.60374013626</v>
      </c>
      <c r="F15" s="99">
        <v>657864.60374013626</v>
      </c>
      <c r="G15" s="99">
        <v>657864.60374013626</v>
      </c>
      <c r="H15" s="99">
        <v>657864.60374013626</v>
      </c>
      <c r="I15" s="99">
        <v>657864.60374013626</v>
      </c>
      <c r="J15" s="99">
        <v>657864.60374013626</v>
      </c>
      <c r="K15" s="269">
        <v>657864.60374013626</v>
      </c>
      <c r="L15" s="145">
        <v>657864.60374013626</v>
      </c>
      <c r="M15" s="146">
        <v>657864.60374013626</v>
      </c>
      <c r="N15" s="147">
        <v>657864.60374013626</v>
      </c>
      <c r="O15" s="50"/>
    </row>
    <row r="16" spans="1:21" x14ac:dyDescent="0.25">
      <c r="A16" s="50" t="s">
        <v>4</v>
      </c>
      <c r="B16" s="98">
        <v>0</v>
      </c>
      <c r="C16" s="99">
        <v>67859.454335757124</v>
      </c>
      <c r="D16" s="99">
        <v>67859.454335757124</v>
      </c>
      <c r="E16" s="99">
        <v>67859.454335757124</v>
      </c>
      <c r="F16" s="99">
        <v>67859.454335757124</v>
      </c>
      <c r="G16" s="99">
        <v>67859.454335757124</v>
      </c>
      <c r="H16" s="99">
        <v>67859.454335757124</v>
      </c>
      <c r="I16" s="99">
        <v>67859.454335757124</v>
      </c>
      <c r="J16" s="99">
        <v>67859.454335757124</v>
      </c>
      <c r="K16" s="269">
        <v>67859.454335757124</v>
      </c>
      <c r="L16" s="145">
        <v>67859.454335757124</v>
      </c>
      <c r="M16" s="146">
        <v>67859.454335757124</v>
      </c>
      <c r="N16" s="147">
        <v>67859.454335757124</v>
      </c>
      <c r="O16" s="50"/>
    </row>
    <row r="17" spans="1:16" x14ac:dyDescent="0.25">
      <c r="A17" s="50" t="s">
        <v>5</v>
      </c>
      <c r="B17" s="98">
        <v>0</v>
      </c>
      <c r="C17" s="99">
        <v>286834.50025954482</v>
      </c>
      <c r="D17" s="99">
        <v>286834.50025954482</v>
      </c>
      <c r="E17" s="99">
        <v>286834.50025954482</v>
      </c>
      <c r="F17" s="99">
        <v>286834.50025954482</v>
      </c>
      <c r="G17" s="99">
        <v>286834.50025954482</v>
      </c>
      <c r="H17" s="99">
        <v>286834.50025954482</v>
      </c>
      <c r="I17" s="99">
        <v>286834.50025954482</v>
      </c>
      <c r="J17" s="99">
        <v>286834.50025954482</v>
      </c>
      <c r="K17" s="269">
        <v>286834.50025954482</v>
      </c>
      <c r="L17" s="145">
        <v>286834.50025954482</v>
      </c>
      <c r="M17" s="146">
        <v>286834.50025954482</v>
      </c>
      <c r="N17" s="147">
        <v>286834.50025954482</v>
      </c>
      <c r="O17" s="50"/>
    </row>
    <row r="18" spans="1:16" x14ac:dyDescent="0.25">
      <c r="A18" s="50" t="s">
        <v>6</v>
      </c>
      <c r="B18" s="98">
        <v>0</v>
      </c>
      <c r="C18" s="99">
        <v>127735.44345554283</v>
      </c>
      <c r="D18" s="99">
        <v>127735.44345554283</v>
      </c>
      <c r="E18" s="99">
        <v>127735.44345554283</v>
      </c>
      <c r="F18" s="99">
        <v>127735.44345554283</v>
      </c>
      <c r="G18" s="99">
        <v>127735.44345554283</v>
      </c>
      <c r="H18" s="99">
        <v>127735.44345554283</v>
      </c>
      <c r="I18" s="99">
        <v>127735.44345554283</v>
      </c>
      <c r="J18" s="99">
        <v>127735.44345554283</v>
      </c>
      <c r="K18" s="269">
        <v>127735.44345554283</v>
      </c>
      <c r="L18" s="145">
        <v>127735.44345554283</v>
      </c>
      <c r="M18" s="146">
        <v>127735.44345554283</v>
      </c>
      <c r="N18" s="147">
        <v>127735.44345554283</v>
      </c>
      <c r="O18" s="50"/>
    </row>
    <row r="19" spans="1:16" x14ac:dyDescent="0.25">
      <c r="A19" s="50" t="s">
        <v>7</v>
      </c>
      <c r="B19" s="98">
        <v>0</v>
      </c>
      <c r="C19" s="99">
        <v>87818.117375685673</v>
      </c>
      <c r="D19" s="99">
        <v>87818.117375685673</v>
      </c>
      <c r="E19" s="99">
        <v>87818.117375685673</v>
      </c>
      <c r="F19" s="99">
        <v>87818.117375685673</v>
      </c>
      <c r="G19" s="99">
        <v>87818.117375685673</v>
      </c>
      <c r="H19" s="99">
        <v>87818.117375685673</v>
      </c>
      <c r="I19" s="99">
        <v>87818.117375685673</v>
      </c>
      <c r="J19" s="99">
        <v>87818.117375685673</v>
      </c>
      <c r="K19" s="269">
        <v>87818.117375685673</v>
      </c>
      <c r="L19" s="145">
        <v>87818.117375685673</v>
      </c>
      <c r="M19" s="146">
        <v>87818.117375685673</v>
      </c>
      <c r="N19" s="147">
        <v>87818.117375685673</v>
      </c>
      <c r="O19" s="50"/>
    </row>
    <row r="20" spans="1:16" x14ac:dyDescent="0.25">
      <c r="B20" s="105"/>
      <c r="C20" s="104"/>
      <c r="D20" s="104"/>
      <c r="E20" s="104"/>
      <c r="F20" s="104"/>
      <c r="G20" s="104"/>
      <c r="H20" s="104"/>
      <c r="I20" s="104"/>
      <c r="J20" s="104"/>
      <c r="K20" s="107"/>
      <c r="L20" s="103"/>
      <c r="M20" s="104"/>
      <c r="N20" s="107"/>
    </row>
    <row r="21" spans="1:16" x14ac:dyDescent="0.25">
      <c r="A21" s="223" t="s">
        <v>142</v>
      </c>
      <c r="B21" s="105"/>
      <c r="C21" s="104"/>
      <c r="D21" s="108" t="s">
        <v>72</v>
      </c>
      <c r="E21" s="104"/>
      <c r="F21" s="104"/>
      <c r="G21" s="104"/>
      <c r="H21" s="104"/>
      <c r="I21" s="104"/>
      <c r="J21" s="104"/>
      <c r="K21" s="107"/>
      <c r="L21" s="103"/>
      <c r="M21" s="104"/>
      <c r="N21" s="107"/>
      <c r="O21" s="122" t="s">
        <v>144</v>
      </c>
      <c r="P21" s="50"/>
    </row>
    <row r="22" spans="1:16" x14ac:dyDescent="0.25">
      <c r="A22" s="50" t="s">
        <v>0</v>
      </c>
      <c r="B22" s="98">
        <v>79764.7</v>
      </c>
      <c r="C22" s="99">
        <v>701548.7</v>
      </c>
      <c r="D22" s="99">
        <v>523520.3</v>
      </c>
      <c r="E22" s="99">
        <v>479086.45</v>
      </c>
      <c r="F22" s="99">
        <v>456597.99</v>
      </c>
      <c r="G22" s="99">
        <v>613779.62</v>
      </c>
      <c r="H22" s="99">
        <v>816678.49</v>
      </c>
      <c r="I22" s="99">
        <v>826747.91</v>
      </c>
      <c r="J22" s="99">
        <v>653714.42000000004</v>
      </c>
      <c r="K22" s="269">
        <v>573928.04</v>
      </c>
      <c r="L22" s="165">
        <f>PCR!X28*$O22+L36</f>
        <v>482081.13938812609</v>
      </c>
      <c r="M22" s="120">
        <f>PCR!Y28*$O22+M36</f>
        <v>709298.1538857671</v>
      </c>
      <c r="N22" s="121">
        <f>PCR!Z28*$O22+N36</f>
        <v>923612.69540001161</v>
      </c>
      <c r="O22" s="110">
        <v>6.3100000000000005E-4</v>
      </c>
      <c r="P22" s="50"/>
    </row>
    <row r="23" spans="1:16" x14ac:dyDescent="0.25">
      <c r="A23" s="50" t="s">
        <v>4</v>
      </c>
      <c r="B23" s="98">
        <v>6214.44</v>
      </c>
      <c r="C23" s="99">
        <v>66075.08</v>
      </c>
      <c r="D23" s="99">
        <v>58826.78</v>
      </c>
      <c r="E23" s="99">
        <v>55687.57</v>
      </c>
      <c r="F23" s="99">
        <v>54996.82</v>
      </c>
      <c r="G23" s="99">
        <v>65412.66</v>
      </c>
      <c r="H23" s="99">
        <v>75834.960000000006</v>
      </c>
      <c r="I23" s="99">
        <v>76572.27</v>
      </c>
      <c r="J23" s="99">
        <v>68505.55</v>
      </c>
      <c r="K23" s="269">
        <v>64830.76</v>
      </c>
      <c r="L23" s="116">
        <f>PCR!X29*$O23</f>
        <v>57518.288147962696</v>
      </c>
      <c r="M23" s="120">
        <f>PCR!Y29*$O23</f>
        <v>67826.40191450702</v>
      </c>
      <c r="N23" s="121">
        <f>PCR!Z29*$O23</f>
        <v>80206.75467469322</v>
      </c>
      <c r="O23" s="110">
        <v>2.41E-4</v>
      </c>
      <c r="P23" s="50"/>
    </row>
    <row r="24" spans="1:16" x14ac:dyDescent="0.25">
      <c r="A24" s="50" t="s">
        <v>5</v>
      </c>
      <c r="B24" s="98">
        <v>18961.650000000001</v>
      </c>
      <c r="C24" s="99">
        <v>263599.78999999998</v>
      </c>
      <c r="D24" s="99">
        <v>251036.43</v>
      </c>
      <c r="E24" s="99">
        <v>247059.47</v>
      </c>
      <c r="F24" s="99">
        <v>253494.93</v>
      </c>
      <c r="G24" s="99">
        <v>287679.5</v>
      </c>
      <c r="H24" s="99">
        <v>313335.03000000003</v>
      </c>
      <c r="I24" s="99">
        <v>319148.59000000003</v>
      </c>
      <c r="J24" s="99">
        <v>300860.21999999997</v>
      </c>
      <c r="K24" s="269">
        <v>288890.48</v>
      </c>
      <c r="L24" s="116">
        <f>PCR!X30*$O24</f>
        <v>258530.40048406526</v>
      </c>
      <c r="M24" s="120">
        <f>PCR!Y30*$O24</f>
        <v>278179.88138574339</v>
      </c>
      <c r="N24" s="121">
        <f>PCR!Z30*$O24</f>
        <v>305458.66015655984</v>
      </c>
      <c r="O24" s="110">
        <v>4.3899999999999999E-4</v>
      </c>
      <c r="P24" s="50"/>
    </row>
    <row r="25" spans="1:16" x14ac:dyDescent="0.25">
      <c r="A25" s="50" t="s">
        <v>6</v>
      </c>
      <c r="B25" s="98">
        <v>6315.65</v>
      </c>
      <c r="C25" s="99">
        <v>117157.27</v>
      </c>
      <c r="D25" s="99">
        <v>112623.26</v>
      </c>
      <c r="E25" s="99">
        <v>121190.81</v>
      </c>
      <c r="F25" s="99">
        <v>122767.19</v>
      </c>
      <c r="G25" s="99">
        <v>141087.34</v>
      </c>
      <c r="H25" s="99">
        <v>138203.29999999999</v>
      </c>
      <c r="I25" s="99">
        <v>145798.85999999999</v>
      </c>
      <c r="J25" s="99">
        <v>140284.91</v>
      </c>
      <c r="K25" s="269">
        <v>137309.56</v>
      </c>
      <c r="L25" s="116">
        <f>PCR!X31*$O25</f>
        <v>122191.0683302456</v>
      </c>
      <c r="M25" s="120">
        <f>PCR!Y31*$O25</f>
        <v>124630.6838674985</v>
      </c>
      <c r="N25" s="121">
        <f>PCR!Z31*$O25</f>
        <v>130541.28406840222</v>
      </c>
      <c r="O25" s="110">
        <v>4.6200000000000001E-4</v>
      </c>
      <c r="P25" s="50"/>
    </row>
    <row r="26" spans="1:16" x14ac:dyDescent="0.25">
      <c r="A26" s="50" t="s">
        <v>7</v>
      </c>
      <c r="B26" s="98"/>
      <c r="C26" s="99">
        <v>44182.76</v>
      </c>
      <c r="D26" s="99">
        <v>70918.23</v>
      </c>
      <c r="E26" s="99">
        <v>78593.759999999995</v>
      </c>
      <c r="F26" s="99">
        <v>79936.929999999993</v>
      </c>
      <c r="G26" s="99">
        <v>95446.99</v>
      </c>
      <c r="H26" s="99">
        <v>90277.27</v>
      </c>
      <c r="I26" s="99">
        <v>100053.77</v>
      </c>
      <c r="J26" s="99">
        <v>95339.18</v>
      </c>
      <c r="K26" s="269">
        <v>90899.74</v>
      </c>
      <c r="L26" s="116">
        <f>PCR!X32*$O26</f>
        <v>85849.632812706594</v>
      </c>
      <c r="M26" s="120">
        <f>PCR!Y32*$O26</f>
        <v>81935.290288535209</v>
      </c>
      <c r="N26" s="121">
        <f>PCR!Z32*$O26</f>
        <v>85065.535622588883</v>
      </c>
      <c r="O26" s="110">
        <v>6.0099999999999997E-4</v>
      </c>
      <c r="P26" s="50"/>
    </row>
    <row r="27" spans="1:16" x14ac:dyDescent="0.25">
      <c r="A27" s="50"/>
      <c r="B27" s="105"/>
      <c r="C27" s="113"/>
      <c r="D27" s="104"/>
      <c r="E27" s="113"/>
      <c r="F27" s="113"/>
      <c r="G27" s="113"/>
      <c r="H27" s="113"/>
      <c r="I27" s="113"/>
      <c r="J27" s="113"/>
      <c r="K27" s="271"/>
      <c r="L27" s="105"/>
      <c r="M27" s="104"/>
      <c r="N27" s="107"/>
    </row>
    <row r="28" spans="1:16" x14ac:dyDescent="0.25">
      <c r="A28" s="50" t="s">
        <v>135</v>
      </c>
      <c r="B28" s="297"/>
      <c r="C28" s="288"/>
      <c r="D28" s="108"/>
      <c r="E28" s="104"/>
      <c r="F28" s="104"/>
      <c r="G28" s="104"/>
      <c r="H28" s="104"/>
      <c r="I28" s="104"/>
      <c r="J28" s="104"/>
      <c r="K28" s="107"/>
      <c r="L28" s="103"/>
      <c r="M28" s="104"/>
      <c r="N28" s="107"/>
    </row>
    <row r="29" spans="1:16" x14ac:dyDescent="0.25">
      <c r="A29" s="223" t="s">
        <v>0</v>
      </c>
      <c r="B29" s="165">
        <f>+(B22-B36)+(B36*B22/SUM(B22:B26))</f>
        <v>79764.7</v>
      </c>
      <c r="C29" s="120">
        <f t="shared" ref="C29:G29" si="3">+(C22-C36)+(C36*C22/SUM(C22:C26))</f>
        <v>701548.7</v>
      </c>
      <c r="D29" s="120">
        <f t="shared" si="3"/>
        <v>523520.3</v>
      </c>
      <c r="E29" s="120">
        <f t="shared" si="3"/>
        <v>487431.71542392252</v>
      </c>
      <c r="F29" s="120">
        <f t="shared" si="3"/>
        <v>463877.2952890938</v>
      </c>
      <c r="G29" s="120">
        <f t="shared" si="3"/>
        <v>621956.97862574947</v>
      </c>
      <c r="H29" s="120">
        <f t="shared" ref="H29:N29" si="4">+(H22-H36)+(H36*H22/SUM(H22:H26))</f>
        <v>826028.70673931681</v>
      </c>
      <c r="I29" s="120">
        <f t="shared" si="4"/>
        <v>836498.48769383179</v>
      </c>
      <c r="J29" s="120">
        <f t="shared" si="4"/>
        <v>662568.38549295813</v>
      </c>
      <c r="K29" s="121">
        <f t="shared" si="4"/>
        <v>582266.60447345697</v>
      </c>
      <c r="L29" s="116">
        <f>+(L22-L36)+(L36*L22/SUM(L22:L26))</f>
        <v>489866.62765233923</v>
      </c>
      <c r="M29" s="120">
        <f t="shared" si="4"/>
        <v>718928.34904007101</v>
      </c>
      <c r="N29" s="121">
        <f t="shared" si="4"/>
        <v>934904.30644094839</v>
      </c>
    </row>
    <row r="30" spans="1:16" x14ac:dyDescent="0.25">
      <c r="A30" s="223" t="s">
        <v>4</v>
      </c>
      <c r="B30" s="116">
        <f t="shared" ref="B30" si="5">+B23+(B36*B23/SUM(B22:B26))</f>
        <v>6214.44</v>
      </c>
      <c r="C30" s="120">
        <f t="shared" ref="C30" si="6">+C23+(C36*C23/SUM(C22:C26))</f>
        <v>66075.08</v>
      </c>
      <c r="D30" s="120">
        <f t="shared" ref="D30" si="7">+D23+(D36*D23/SUM(D22:D26))</f>
        <v>58826.78</v>
      </c>
      <c r="E30" s="120">
        <f t="shared" ref="E30" si="8">+E23+(E36*E23/SUM(E22:E26))</f>
        <v>54762.797223092959</v>
      </c>
      <c r="F30" s="120">
        <f t="shared" ref="F30:N30" si="9">+F23+(F36*F23/SUM(F22:F26))</f>
        <v>54213.678612904405</v>
      </c>
      <c r="G30" s="120">
        <f t="shared" si="9"/>
        <v>64505.470807254918</v>
      </c>
      <c r="H30" s="120">
        <f t="shared" si="9"/>
        <v>74686.943049416455</v>
      </c>
      <c r="I30" s="120">
        <f t="shared" si="9"/>
        <v>75408.531348909441</v>
      </c>
      <c r="J30" s="120">
        <f t="shared" si="9"/>
        <v>67502.978195282296</v>
      </c>
      <c r="K30" s="121">
        <f t="shared" si="9"/>
        <v>63901.790930730647</v>
      </c>
      <c r="L30" s="116">
        <f t="shared" si="9"/>
        <v>56663.838571057771</v>
      </c>
      <c r="M30" s="120">
        <f t="shared" si="9"/>
        <v>66644.327573573188</v>
      </c>
      <c r="N30" s="121">
        <f t="shared" si="9"/>
        <v>78700.509375736263</v>
      </c>
    </row>
    <row r="31" spans="1:16" x14ac:dyDescent="0.25">
      <c r="A31" s="223" t="s">
        <v>5</v>
      </c>
      <c r="B31" s="116">
        <f t="shared" ref="B31" si="10">+B24+(B36*B24/SUM(B22:B26))</f>
        <v>18961.650000000001</v>
      </c>
      <c r="C31" s="120">
        <f t="shared" ref="C31" si="11">+C24+(C36*C24/SUM(C22:C26))</f>
        <v>263599.78999999998</v>
      </c>
      <c r="D31" s="120">
        <f t="shared" ref="D31" si="12">+D24+(D36*D24/SUM(D22:D26))</f>
        <v>251036.43</v>
      </c>
      <c r="E31" s="120">
        <f t="shared" ref="E31" si="13">+E24+(E36*E24/SUM(E22:E26))</f>
        <v>242956.68957461815</v>
      </c>
      <c r="F31" s="120">
        <f t="shared" ref="F31:N31" si="14">+F24+(F36*F24/SUM(F22:F26))</f>
        <v>249885.223636943</v>
      </c>
      <c r="G31" s="120">
        <f t="shared" si="14"/>
        <v>283689.75652565865</v>
      </c>
      <c r="H31" s="120">
        <f t="shared" si="14"/>
        <v>308591.65140981413</v>
      </c>
      <c r="I31" s="120">
        <f t="shared" si="14"/>
        <v>314298.19768925809</v>
      </c>
      <c r="J31" s="120">
        <f t="shared" si="14"/>
        <v>296457.16106925398</v>
      </c>
      <c r="K31" s="121">
        <f t="shared" si="14"/>
        <v>284750.92772070575</v>
      </c>
      <c r="L31" s="116">
        <f t="shared" si="14"/>
        <v>254689.86213663715</v>
      </c>
      <c r="M31" s="120">
        <f t="shared" si="14"/>
        <v>273331.77960430755</v>
      </c>
      <c r="N31" s="121">
        <f t="shared" si="14"/>
        <v>299722.28953849169</v>
      </c>
    </row>
    <row r="32" spans="1:16" x14ac:dyDescent="0.25">
      <c r="A32" s="223" t="s">
        <v>6</v>
      </c>
      <c r="B32" s="116">
        <f t="shared" ref="B32" si="15">+B25+(B36*B25/SUM(B22:B26))</f>
        <v>6315.65</v>
      </c>
      <c r="C32" s="120">
        <f t="shared" ref="C32" si="16">+C25+(C36*C25/SUM(C22:C26))</f>
        <v>117157.27</v>
      </c>
      <c r="D32" s="120">
        <f t="shared" ref="D32" si="17">+D25+(D36*D25/SUM(D22:D26))</f>
        <v>112623.26</v>
      </c>
      <c r="E32" s="120">
        <f t="shared" ref="E32" si="18">+E25+(E36*E25/SUM(E22:E26))</f>
        <v>119178.26102543865</v>
      </c>
      <c r="F32" s="120">
        <f t="shared" ref="F32:N32" si="19">+F25+(F36*F25/SUM(F22:F26))</f>
        <v>121019.01496976319</v>
      </c>
      <c r="G32" s="120">
        <f t="shared" si="19"/>
        <v>139130.64063811576</v>
      </c>
      <c r="H32" s="120">
        <f t="shared" si="19"/>
        <v>136111.12864490753</v>
      </c>
      <c r="I32" s="120">
        <f t="shared" si="19"/>
        <v>143583.02169891604</v>
      </c>
      <c r="J32" s="120">
        <f t="shared" si="19"/>
        <v>138231.85451189196</v>
      </c>
      <c r="K32" s="121">
        <f t="shared" si="19"/>
        <v>135342.03202169179</v>
      </c>
      <c r="L32" s="116">
        <f t="shared" si="19"/>
        <v>120375.88728091116</v>
      </c>
      <c r="M32" s="120">
        <f t="shared" si="19"/>
        <v>122458.62801115951</v>
      </c>
      <c r="N32" s="121">
        <f t="shared" si="19"/>
        <v>128089.77987470524</v>
      </c>
    </row>
    <row r="33" spans="1:16" x14ac:dyDescent="0.25">
      <c r="A33" s="223" t="s">
        <v>7</v>
      </c>
      <c r="B33" s="116">
        <f t="shared" ref="B33" si="20">+B26+(B36*B26/SUM(B22:B26))</f>
        <v>0</v>
      </c>
      <c r="C33" s="120">
        <f t="shared" ref="C33" si="21">+C26+(C36*C26/SUM(C22:C26))</f>
        <v>44182.76</v>
      </c>
      <c r="D33" s="120">
        <f t="shared" ref="D33" si="22">+D26+(D36*D26/SUM(D22:D26))</f>
        <v>70918.23</v>
      </c>
      <c r="E33" s="120">
        <f t="shared" ref="E33" si="23">+E26+(E36*E26/SUM(E22:E26))</f>
        <v>77288.596752927711</v>
      </c>
      <c r="F33" s="120">
        <f t="shared" ref="F33:N33" si="24">+F26+(F36*F26/SUM(F22:F26))</f>
        <v>78798.647491295604</v>
      </c>
      <c r="G33" s="120">
        <f t="shared" si="24"/>
        <v>94123.263403221223</v>
      </c>
      <c r="H33" s="120">
        <f t="shared" si="24"/>
        <v>88910.620156545119</v>
      </c>
      <c r="I33" s="120">
        <f t="shared" si="24"/>
        <v>98533.161569084681</v>
      </c>
      <c r="J33" s="120">
        <f t="shared" si="24"/>
        <v>93943.900730613706</v>
      </c>
      <c r="K33" s="121">
        <f t="shared" si="24"/>
        <v>89597.224853414853</v>
      </c>
      <c r="L33" s="116">
        <f t="shared" si="24"/>
        <v>84574.313522160941</v>
      </c>
      <c r="M33" s="120">
        <f t="shared" si="24"/>
        <v>80507.327112939907</v>
      </c>
      <c r="N33" s="121">
        <f t="shared" si="24"/>
        <v>83468.044692374155</v>
      </c>
    </row>
    <row r="34" spans="1:16" s="50" customFormat="1" x14ac:dyDescent="0.25">
      <c r="B34" s="298"/>
      <c r="C34" s="274"/>
      <c r="D34" s="274"/>
      <c r="E34" s="274"/>
      <c r="F34" s="274"/>
      <c r="G34" s="274"/>
      <c r="H34" s="274"/>
      <c r="I34" s="274"/>
      <c r="J34" s="274"/>
      <c r="K34" s="299"/>
      <c r="L34" s="105"/>
      <c r="M34" s="104"/>
      <c r="N34" s="107"/>
    </row>
    <row r="35" spans="1:16" x14ac:dyDescent="0.25">
      <c r="A35" s="50" t="s">
        <v>143</v>
      </c>
      <c r="B35" s="297"/>
      <c r="C35" s="288"/>
      <c r="D35" s="108" t="s">
        <v>90</v>
      </c>
      <c r="E35" s="104"/>
      <c r="F35" s="104"/>
      <c r="G35" s="104"/>
      <c r="H35" s="104"/>
      <c r="I35" s="104"/>
      <c r="J35" s="104"/>
      <c r="K35" s="107"/>
      <c r="L35" s="103"/>
      <c r="M35" s="104"/>
      <c r="N35" s="107"/>
      <c r="O35" s="273"/>
      <c r="P35" s="50"/>
    </row>
    <row r="36" spans="1:16" x14ac:dyDescent="0.25">
      <c r="A36" s="50" t="str">
        <f>A22</f>
        <v>RES</v>
      </c>
      <c r="B36" s="98">
        <v>0</v>
      </c>
      <c r="C36" s="99">
        <v>0</v>
      </c>
      <c r="D36" s="99">
        <v>0</v>
      </c>
      <c r="E36" s="99">
        <v>-16301.190000000002</v>
      </c>
      <c r="F36" s="99">
        <v>-13781.149999999996</v>
      </c>
      <c r="G36" s="99">
        <v>-16689.690000000002</v>
      </c>
      <c r="H36" s="99">
        <v>-21713.389999999996</v>
      </c>
      <c r="I36" s="99">
        <v>-22315.42</v>
      </c>
      <c r="J36" s="99">
        <v>-18421.010000000002</v>
      </c>
      <c r="K36" s="269">
        <v>-16562.46</v>
      </c>
      <c r="L36" s="145">
        <f>-(PCR!X28*'PIR (M1)'!$O$22*PPC!$B$14)</f>
        <v>-14946.932716878413</v>
      </c>
      <c r="M36" s="146">
        <f>-(PCR!Y28*'PIR (M1)'!$O$22*PPC!$B$14)</f>
        <v>-21991.799546011775</v>
      </c>
      <c r="N36" s="147">
        <f>-(PCR!Z28*'PIR (M1)'!$O$22*PPC!$B$14)</f>
        <v>-28636.625013209796</v>
      </c>
      <c r="O36" s="290"/>
      <c r="P36" s="50"/>
    </row>
    <row r="37" spans="1:16" x14ac:dyDescent="0.25">
      <c r="A37" s="50"/>
      <c r="B37" s="105"/>
      <c r="C37" s="113"/>
      <c r="D37" s="108" t="s">
        <v>72</v>
      </c>
      <c r="E37" s="113"/>
      <c r="F37" s="113"/>
      <c r="G37" s="113"/>
      <c r="H37" s="113"/>
      <c r="I37" s="113"/>
      <c r="J37" s="113"/>
      <c r="K37" s="271"/>
      <c r="L37" s="112"/>
      <c r="M37" s="113"/>
      <c r="N37" s="107"/>
    </row>
    <row r="38" spans="1:16" ht="15.75" thickBot="1" x14ac:dyDescent="0.3">
      <c r="A38" s="50" t="s">
        <v>92</v>
      </c>
      <c r="B38" s="123">
        <v>-83.44</v>
      </c>
      <c r="C38" s="124">
        <v>-56.84</v>
      </c>
      <c r="D38" s="124">
        <v>129.69999999999999</v>
      </c>
      <c r="E38" s="124">
        <v>366.05</v>
      </c>
      <c r="F38" s="124">
        <v>615.87</v>
      </c>
      <c r="G38" s="124">
        <v>784.86</v>
      </c>
      <c r="H38" s="124">
        <v>536.48</v>
      </c>
      <c r="I38" s="124">
        <v>272.45</v>
      </c>
      <c r="J38" s="124">
        <v>232.38</v>
      </c>
      <c r="K38" s="272">
        <v>320.43</v>
      </c>
      <c r="L38" s="101">
        <v>589.14847373230043</v>
      </c>
      <c r="M38" s="102">
        <v>549.04614972460479</v>
      </c>
      <c r="N38" s="191">
        <v>190.90421267819428</v>
      </c>
      <c r="O38" s="50"/>
    </row>
    <row r="39" spans="1:16" x14ac:dyDescent="0.25"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2"/>
      <c r="M39" s="153"/>
      <c r="N39" s="154"/>
    </row>
    <row r="40" spans="1:16" x14ac:dyDescent="0.25">
      <c r="A40" s="223" t="s">
        <v>73</v>
      </c>
      <c r="B40" s="105"/>
      <c r="C40" s="104"/>
      <c r="D40" s="104"/>
      <c r="E40" s="104"/>
      <c r="F40" s="104"/>
      <c r="G40" s="104"/>
      <c r="H40" s="104"/>
      <c r="I40" s="104"/>
      <c r="J40" s="104"/>
      <c r="K40" s="104"/>
      <c r="L40" s="103"/>
      <c r="M40" s="104"/>
      <c r="N40" s="107"/>
    </row>
    <row r="41" spans="1:16" x14ac:dyDescent="0.25">
      <c r="A41" s="223" t="s">
        <v>0</v>
      </c>
      <c r="B41" s="116">
        <f t="shared" ref="B41:N41" si="25">B15-B29</f>
        <v>-79764.7</v>
      </c>
      <c r="C41" s="120">
        <f t="shared" si="25"/>
        <v>-43684.096259863698</v>
      </c>
      <c r="D41" s="120">
        <f t="shared" si="25"/>
        <v>134344.30374013627</v>
      </c>
      <c r="E41" s="120">
        <f t="shared" si="25"/>
        <v>170432.88831621374</v>
      </c>
      <c r="F41" s="120">
        <f t="shared" si="25"/>
        <v>193987.30845104245</v>
      </c>
      <c r="G41" s="120">
        <f t="shared" si="25"/>
        <v>35907.625114386785</v>
      </c>
      <c r="H41" s="120">
        <f t="shared" si="25"/>
        <v>-168164.10299918056</v>
      </c>
      <c r="I41" s="120">
        <f t="shared" si="25"/>
        <v>-178633.88395369553</v>
      </c>
      <c r="J41" s="120">
        <f t="shared" si="25"/>
        <v>-4703.7817528218729</v>
      </c>
      <c r="K41" s="117">
        <f t="shared" si="25"/>
        <v>75597.999266679282</v>
      </c>
      <c r="L41" s="116">
        <f t="shared" si="25"/>
        <v>167997.97608779703</v>
      </c>
      <c r="M41" s="120">
        <f t="shared" si="25"/>
        <v>-61063.745299934759</v>
      </c>
      <c r="N41" s="121">
        <f t="shared" si="25"/>
        <v>-277039.70270081214</v>
      </c>
    </row>
    <row r="42" spans="1:16" x14ac:dyDescent="0.25">
      <c r="A42" s="223" t="s">
        <v>4</v>
      </c>
      <c r="B42" s="116">
        <f t="shared" ref="B42:N42" si="26">B16-B30</f>
        <v>-6214.44</v>
      </c>
      <c r="C42" s="120">
        <f t="shared" si="26"/>
        <v>1784.374335757122</v>
      </c>
      <c r="D42" s="120">
        <f t="shared" si="26"/>
        <v>9032.6743357571249</v>
      </c>
      <c r="E42" s="120">
        <f t="shared" si="26"/>
        <v>13096.657112664165</v>
      </c>
      <c r="F42" s="120">
        <f t="shared" si="26"/>
        <v>13645.775722852719</v>
      </c>
      <c r="G42" s="120">
        <f t="shared" si="26"/>
        <v>3353.9835285022054</v>
      </c>
      <c r="H42" s="120">
        <f t="shared" si="26"/>
        <v>-6827.4887136593316</v>
      </c>
      <c r="I42" s="120">
        <f t="shared" si="26"/>
        <v>-7549.0770131523168</v>
      </c>
      <c r="J42" s="120">
        <f t="shared" si="26"/>
        <v>356.47614047482784</v>
      </c>
      <c r="K42" s="117">
        <f t="shared" si="26"/>
        <v>3957.6634050264765</v>
      </c>
      <c r="L42" s="116">
        <f t="shared" si="26"/>
        <v>11195.615764699352</v>
      </c>
      <c r="M42" s="120">
        <f t="shared" si="26"/>
        <v>1215.1267621839361</v>
      </c>
      <c r="N42" s="121">
        <f t="shared" si="26"/>
        <v>-10841.055039979139</v>
      </c>
    </row>
    <row r="43" spans="1:16" x14ac:dyDescent="0.25">
      <c r="A43" s="223" t="s">
        <v>5</v>
      </c>
      <c r="B43" s="116">
        <f t="shared" ref="B43:N43" si="27">B17-B31</f>
        <v>-18961.650000000001</v>
      </c>
      <c r="C43" s="120">
        <f t="shared" si="27"/>
        <v>23234.710259544838</v>
      </c>
      <c r="D43" s="120">
        <f t="shared" si="27"/>
        <v>35798.070259544824</v>
      </c>
      <c r="E43" s="120">
        <f t="shared" si="27"/>
        <v>43877.810684926662</v>
      </c>
      <c r="F43" s="120">
        <f t="shared" si="27"/>
        <v>36949.276622601814</v>
      </c>
      <c r="G43" s="120">
        <f t="shared" si="27"/>
        <v>3144.7437338861637</v>
      </c>
      <c r="H43" s="120">
        <f t="shared" si="27"/>
        <v>-21757.151150269317</v>
      </c>
      <c r="I43" s="120">
        <f t="shared" si="27"/>
        <v>-27463.697429713269</v>
      </c>
      <c r="J43" s="120">
        <f t="shared" si="27"/>
        <v>-9622.6608097091666</v>
      </c>
      <c r="K43" s="117">
        <f t="shared" si="27"/>
        <v>2083.5725388390711</v>
      </c>
      <c r="L43" s="116">
        <f t="shared" si="27"/>
        <v>32144.638122907665</v>
      </c>
      <c r="M43" s="120">
        <f t="shared" si="27"/>
        <v>13502.720655237266</v>
      </c>
      <c r="N43" s="121">
        <f t="shared" si="27"/>
        <v>-12887.789278946875</v>
      </c>
    </row>
    <row r="44" spans="1:16" x14ac:dyDescent="0.25">
      <c r="A44" s="223" t="s">
        <v>6</v>
      </c>
      <c r="B44" s="116">
        <f t="shared" ref="B44:N44" si="28">B18-B32</f>
        <v>-6315.65</v>
      </c>
      <c r="C44" s="120">
        <f t="shared" si="28"/>
        <v>10578.173455542827</v>
      </c>
      <c r="D44" s="120">
        <f t="shared" si="28"/>
        <v>15112.183455542836</v>
      </c>
      <c r="E44" s="120">
        <f t="shared" si="28"/>
        <v>8557.1824301041779</v>
      </c>
      <c r="F44" s="120">
        <f t="shared" si="28"/>
        <v>6716.4284857796447</v>
      </c>
      <c r="G44" s="120">
        <f t="shared" si="28"/>
        <v>-11395.197182572927</v>
      </c>
      <c r="H44" s="120">
        <f t="shared" si="28"/>
        <v>-8375.6851893646963</v>
      </c>
      <c r="I44" s="120">
        <f t="shared" si="28"/>
        <v>-15847.578243373209</v>
      </c>
      <c r="J44" s="120">
        <f t="shared" si="28"/>
        <v>-10496.411056349127</v>
      </c>
      <c r="K44" s="117">
        <f t="shared" si="28"/>
        <v>-7606.5885661489592</v>
      </c>
      <c r="L44" s="116">
        <f t="shared" si="28"/>
        <v>7359.5561746316671</v>
      </c>
      <c r="M44" s="120">
        <f t="shared" si="28"/>
        <v>5276.8154443833191</v>
      </c>
      <c r="N44" s="121">
        <f t="shared" si="28"/>
        <v>-354.33641916241322</v>
      </c>
    </row>
    <row r="45" spans="1:16" x14ac:dyDescent="0.25">
      <c r="A45" s="223" t="s">
        <v>7</v>
      </c>
      <c r="B45" s="116">
        <f t="shared" ref="B45:N45" si="29">B19-B33</f>
        <v>0</v>
      </c>
      <c r="C45" s="120">
        <f t="shared" si="29"/>
        <v>43635.357375685671</v>
      </c>
      <c r="D45" s="120">
        <f t="shared" si="29"/>
        <v>16899.887375685677</v>
      </c>
      <c r="E45" s="120">
        <f t="shared" si="29"/>
        <v>10529.520622757962</v>
      </c>
      <c r="F45" s="120">
        <f t="shared" si="29"/>
        <v>9019.4698843900696</v>
      </c>
      <c r="G45" s="120">
        <f t="shared" si="29"/>
        <v>-6305.1460275355494</v>
      </c>
      <c r="H45" s="120">
        <f t="shared" si="29"/>
        <v>-1092.5027808594459</v>
      </c>
      <c r="I45" s="120">
        <f t="shared" si="29"/>
        <v>-10715.044193399008</v>
      </c>
      <c r="J45" s="120">
        <f t="shared" si="29"/>
        <v>-6125.7833549280331</v>
      </c>
      <c r="K45" s="117">
        <f t="shared" si="29"/>
        <v>-1779.1074777291797</v>
      </c>
      <c r="L45" s="116">
        <f t="shared" si="29"/>
        <v>3243.8038535247324</v>
      </c>
      <c r="M45" s="120">
        <f t="shared" si="29"/>
        <v>7310.7902627457661</v>
      </c>
      <c r="N45" s="121">
        <f t="shared" si="29"/>
        <v>4350.0726833115186</v>
      </c>
    </row>
    <row r="46" spans="1:16" x14ac:dyDescent="0.25">
      <c r="B46" s="105"/>
      <c r="C46" s="104"/>
      <c r="D46" s="104"/>
      <c r="E46" s="104"/>
      <c r="F46" s="104"/>
      <c r="G46" s="104"/>
      <c r="H46" s="104"/>
      <c r="I46" s="104"/>
      <c r="J46" s="104"/>
      <c r="K46" s="104"/>
      <c r="L46" s="103"/>
      <c r="M46" s="104"/>
      <c r="N46" s="107"/>
    </row>
    <row r="47" spans="1:16" x14ac:dyDescent="0.25">
      <c r="A47" s="223" t="s">
        <v>74</v>
      </c>
      <c r="B47" s="105"/>
      <c r="C47" s="104"/>
      <c r="D47" s="104"/>
      <c r="E47" s="104"/>
      <c r="F47" s="104"/>
      <c r="G47" s="104"/>
      <c r="H47" s="104"/>
      <c r="I47" s="104"/>
      <c r="J47" s="104"/>
      <c r="K47" s="104"/>
      <c r="L47" s="103"/>
      <c r="M47" s="104"/>
      <c r="N47" s="107"/>
    </row>
    <row r="48" spans="1:16" x14ac:dyDescent="0.25">
      <c r="A48" s="223" t="s">
        <v>0</v>
      </c>
      <c r="B48" s="116">
        <f>B41</f>
        <v>-79764.7</v>
      </c>
      <c r="C48" s="120">
        <f>B48+C41+B55</f>
        <v>-123508.61978486369</v>
      </c>
      <c r="D48" s="120">
        <f t="shared" ref="C48:K52" si="30">C48+D41+C55</f>
        <v>10743.052490433925</v>
      </c>
      <c r="E48" s="120">
        <f t="shared" si="30"/>
        <v>181186.23623195098</v>
      </c>
      <c r="F48" s="120">
        <f t="shared" si="30"/>
        <v>375347.18149271572</v>
      </c>
      <c r="G48" s="120">
        <f t="shared" si="30"/>
        <v>411614.51432269969</v>
      </c>
      <c r="H48" s="120">
        <f t="shared" si="30"/>
        <v>243934.0583778483</v>
      </c>
      <c r="I48" s="120">
        <f t="shared" si="30"/>
        <v>65583.107440113774</v>
      </c>
      <c r="J48" s="120">
        <f t="shared" si="30"/>
        <v>60959.499724475289</v>
      </c>
      <c r="K48" s="117">
        <f>J48+K41+J55</f>
        <v>136631.07080817371</v>
      </c>
      <c r="L48" s="116">
        <f t="shared" ref="L48:N52" si="31">K48+L41+K55</f>
        <v>304794.23727635457</v>
      </c>
      <c r="M48" s="120">
        <f t="shared" si="31"/>
        <v>244098.99582914286</v>
      </c>
      <c r="N48" s="121">
        <f t="shared" si="31"/>
        <v>-32645.585083236943</v>
      </c>
    </row>
    <row r="49" spans="1:14" x14ac:dyDescent="0.25">
      <c r="A49" s="223" t="s">
        <v>4</v>
      </c>
      <c r="B49" s="116">
        <f>B42</f>
        <v>-6214.44</v>
      </c>
      <c r="C49" s="120">
        <f t="shared" si="30"/>
        <v>-4434.7264942428774</v>
      </c>
      <c r="D49" s="120">
        <f t="shared" si="30"/>
        <v>4594.6217966435652</v>
      </c>
      <c r="E49" s="120">
        <f t="shared" si="30"/>
        <v>17695.682088529513</v>
      </c>
      <c r="F49" s="120">
        <f t="shared" si="30"/>
        <v>31358.416173383739</v>
      </c>
      <c r="G49" s="120">
        <f t="shared" si="30"/>
        <v>34742.451517385438</v>
      </c>
      <c r="H49" s="120">
        <f t="shared" si="30"/>
        <v>27955.785184259035</v>
      </c>
      <c r="I49" s="120">
        <f t="shared" si="30"/>
        <v>20439.133387447309</v>
      </c>
      <c r="J49" s="120">
        <f t="shared" si="30"/>
        <v>20820.595959705624</v>
      </c>
      <c r="K49" s="117">
        <f t="shared" si="30"/>
        <v>24803.387672593883</v>
      </c>
      <c r="L49" s="116">
        <f t="shared" si="31"/>
        <v>36028.991353074096</v>
      </c>
      <c r="M49" s="120">
        <f t="shared" si="31"/>
        <v>37287.678066528686</v>
      </c>
      <c r="N49" s="121">
        <f t="shared" si="31"/>
        <v>26491.704761523932</v>
      </c>
    </row>
    <row r="50" spans="1:14" x14ac:dyDescent="0.25">
      <c r="A50" s="223" t="s">
        <v>5</v>
      </c>
      <c r="B50" s="116">
        <f>B43</f>
        <v>-18961.650000000001</v>
      </c>
      <c r="C50" s="120">
        <f t="shared" si="30"/>
        <v>4258.8390220448364</v>
      </c>
      <c r="D50" s="120">
        <f t="shared" si="30"/>
        <v>40060.103410856194</v>
      </c>
      <c r="E50" s="120">
        <f t="shared" si="30"/>
        <v>83976.305028218252</v>
      </c>
      <c r="F50" s="120">
        <f t="shared" si="30"/>
        <v>121006.05894313878</v>
      </c>
      <c r="G50" s="120">
        <f t="shared" si="30"/>
        <v>124266.76681684545</v>
      </c>
      <c r="H50" s="120">
        <f t="shared" si="30"/>
        <v>102655.62911758594</v>
      </c>
      <c r="I50" s="120">
        <f t="shared" si="30"/>
        <v>75310.999385695424</v>
      </c>
      <c r="J50" s="120">
        <f t="shared" si="30"/>
        <v>65780.404766515276</v>
      </c>
      <c r="K50" s="117">
        <f t="shared" si="30"/>
        <v>67943.367456599037</v>
      </c>
      <c r="L50" s="116">
        <f t="shared" si="31"/>
        <v>100170.15080934591</v>
      </c>
      <c r="M50" s="120">
        <f t="shared" si="31"/>
        <v>113793.97968116545</v>
      </c>
      <c r="N50" s="121">
        <f t="shared" si="31"/>
        <v>101043.7701685026</v>
      </c>
    </row>
    <row r="51" spans="1:14" x14ac:dyDescent="0.25">
      <c r="A51" s="223" t="s">
        <v>6</v>
      </c>
      <c r="B51" s="116">
        <f>B44</f>
        <v>-6315.65</v>
      </c>
      <c r="C51" s="120">
        <f t="shared" si="30"/>
        <v>4257.7867180428266</v>
      </c>
      <c r="D51" s="120">
        <f t="shared" si="30"/>
        <v>19373.163513624193</v>
      </c>
      <c r="E51" s="120">
        <f t="shared" si="30"/>
        <v>27948.911892095595</v>
      </c>
      <c r="F51" s="120">
        <f t="shared" si="30"/>
        <v>34692.124751771829</v>
      </c>
      <c r="G51" s="120">
        <f t="shared" si="30"/>
        <v>23330.174188752684</v>
      </c>
      <c r="H51" s="120">
        <f t="shared" si="30"/>
        <v>14981.901954059773</v>
      </c>
      <c r="I51" s="120">
        <f t="shared" si="30"/>
        <v>-848.2991557844714</v>
      </c>
      <c r="J51" s="120">
        <f t="shared" si="30"/>
        <v>-11345.747240885561</v>
      </c>
      <c r="K51" s="117">
        <f t="shared" si="30"/>
        <v>-18966.028951560387</v>
      </c>
      <c r="L51" s="116">
        <f t="shared" si="31"/>
        <v>-11629.403180081881</v>
      </c>
      <c r="M51" s="120">
        <f t="shared" si="31"/>
        <v>-6366.6479748783604</v>
      </c>
      <c r="N51" s="121">
        <f t="shared" si="31"/>
        <v>-6728.6818306086006</v>
      </c>
    </row>
    <row r="52" spans="1:14" x14ac:dyDescent="0.25">
      <c r="A52" s="223" t="s">
        <v>7</v>
      </c>
      <c r="B52" s="116">
        <f>B45</f>
        <v>0</v>
      </c>
      <c r="C52" s="120">
        <f t="shared" si="30"/>
        <v>43635.357375685671</v>
      </c>
      <c r="D52" s="120">
        <f t="shared" si="30"/>
        <v>60567.971269403111</v>
      </c>
      <c r="E52" s="120">
        <f t="shared" si="30"/>
        <v>71155.53619796093</v>
      </c>
      <c r="F52" s="120">
        <f t="shared" si="30"/>
        <v>80243.196804540712</v>
      </c>
      <c r="G52" s="120">
        <f t="shared" si="30"/>
        <v>74014.950507276182</v>
      </c>
      <c r="H52" s="120">
        <f t="shared" si="30"/>
        <v>73009.415293262791</v>
      </c>
      <c r="I52" s="120">
        <f t="shared" si="30"/>
        <v>62379.052895427056</v>
      </c>
      <c r="J52" s="120">
        <f t="shared" si="30"/>
        <v>56329.526685082623</v>
      </c>
      <c r="K52" s="117">
        <f t="shared" si="30"/>
        <v>54618.403125344579</v>
      </c>
      <c r="L52" s="116">
        <f t="shared" si="31"/>
        <v>57928.241993707932</v>
      </c>
      <c r="M52" s="120">
        <f t="shared" si="31"/>
        <v>65309.068949230139</v>
      </c>
      <c r="N52" s="121">
        <f t="shared" si="31"/>
        <v>69738.101929628014</v>
      </c>
    </row>
    <row r="53" spans="1:14" x14ac:dyDescent="0.25">
      <c r="B53" s="105"/>
      <c r="C53" s="104"/>
      <c r="D53" s="104"/>
      <c r="E53" s="104"/>
      <c r="F53" s="104"/>
      <c r="G53" s="104"/>
      <c r="H53" s="104"/>
      <c r="I53" s="104"/>
      <c r="J53" s="104"/>
      <c r="K53" s="104"/>
      <c r="L53" s="103"/>
      <c r="M53" s="104"/>
      <c r="N53" s="107"/>
    </row>
    <row r="54" spans="1:14" x14ac:dyDescent="0.25">
      <c r="A54" s="223" t="s">
        <v>69</v>
      </c>
      <c r="B54" s="129">
        <f>+PCR!N67</f>
        <v>7.5000000000000012E-4</v>
      </c>
      <c r="C54" s="130">
        <f>+PCR!O67</f>
        <v>7.5000000000000012E-4</v>
      </c>
      <c r="D54" s="130">
        <f>+PCR!P67</f>
        <v>9.5833333333333328E-4</v>
      </c>
      <c r="E54" s="130">
        <f>+PCR!Q67</f>
        <v>9.5833333333333328E-4</v>
      </c>
      <c r="F54" s="130">
        <f>+PCR!R67</f>
        <v>9.5833333333333328E-4</v>
      </c>
      <c r="G54" s="130">
        <f>+PCR!S67</f>
        <v>1.175E-3</v>
      </c>
      <c r="H54" s="130">
        <f>+PCR!T67</f>
        <v>1.1598750000000001E-3</v>
      </c>
      <c r="I54" s="130">
        <f>+PCR!U67</f>
        <v>1.22248E-3</v>
      </c>
      <c r="J54" s="130">
        <f>+PCR!V67</f>
        <v>1.2068966666666666E-3</v>
      </c>
      <c r="K54" s="258">
        <f>+PCR!W67</f>
        <v>1.2090250000000001E-3</v>
      </c>
      <c r="L54" s="129">
        <f>+PCR!X67</f>
        <v>1.2090250000000001E-3</v>
      </c>
      <c r="M54" s="130">
        <f>+PCR!Y67</f>
        <v>1.2090250000000001E-3</v>
      </c>
      <c r="N54" s="259">
        <f>+PCR!Z67</f>
        <v>1.2090250000000001E-3</v>
      </c>
    </row>
    <row r="55" spans="1:14" x14ac:dyDescent="0.25">
      <c r="A55" s="223" t="s">
        <v>0</v>
      </c>
      <c r="B55" s="116">
        <f t="shared" ref="B55:N55" si="32">B48*B$54</f>
        <v>-59.823525000000011</v>
      </c>
      <c r="C55" s="120">
        <f t="shared" si="32"/>
        <v>-92.631464838647787</v>
      </c>
      <c r="D55" s="120">
        <f t="shared" si="32"/>
        <v>10.295425303332511</v>
      </c>
      <c r="E55" s="120">
        <f t="shared" si="32"/>
        <v>173.63680972228636</v>
      </c>
      <c r="F55" s="120">
        <f t="shared" si="32"/>
        <v>359.70771559718588</v>
      </c>
      <c r="G55" s="120">
        <f t="shared" si="32"/>
        <v>483.64705432917214</v>
      </c>
      <c r="H55" s="120">
        <f t="shared" si="32"/>
        <v>282.93301596100684</v>
      </c>
      <c r="I55" s="120">
        <f t="shared" si="32"/>
        <v>80.174037183390283</v>
      </c>
      <c r="J55" s="120">
        <f t="shared" si="32"/>
        <v>73.571817019136802</v>
      </c>
      <c r="K55" s="117">
        <f t="shared" si="32"/>
        <v>165.19038038385224</v>
      </c>
      <c r="L55" s="116">
        <f t="shared" si="32"/>
        <v>368.50385272304459</v>
      </c>
      <c r="M55" s="120">
        <f t="shared" si="32"/>
        <v>295.12178843232948</v>
      </c>
      <c r="N55" s="121">
        <f t="shared" si="32"/>
        <v>-39.469328505260549</v>
      </c>
    </row>
    <row r="56" spans="1:14" x14ac:dyDescent="0.25">
      <c r="A56" s="223" t="s">
        <v>4</v>
      </c>
      <c r="B56" s="116">
        <f t="shared" ref="B56:N56" si="33">B49*B$54</f>
        <v>-4.6608300000000007</v>
      </c>
      <c r="C56" s="120">
        <f t="shared" si="33"/>
        <v>-3.3260448706821584</v>
      </c>
      <c r="D56" s="120">
        <f t="shared" si="33"/>
        <v>4.4031792217834163</v>
      </c>
      <c r="E56" s="120">
        <f t="shared" si="33"/>
        <v>16.958362001507449</v>
      </c>
      <c r="F56" s="120">
        <f t="shared" si="33"/>
        <v>30.051815499492747</v>
      </c>
      <c r="G56" s="120">
        <f t="shared" si="33"/>
        <v>40.822380532927895</v>
      </c>
      <c r="H56" s="120">
        <f t="shared" si="33"/>
        <v>32.425216340592449</v>
      </c>
      <c r="I56" s="120">
        <f t="shared" si="33"/>
        <v>24.986431783486587</v>
      </c>
      <c r="J56" s="120">
        <f t="shared" si="33"/>
        <v>25.128307861782183</v>
      </c>
      <c r="K56" s="117">
        <f t="shared" si="33"/>
        <v>29.987915780857822</v>
      </c>
      <c r="L56" s="116">
        <f t="shared" si="33"/>
        <v>43.559951270650409</v>
      </c>
      <c r="M56" s="120">
        <f t="shared" si="33"/>
        <v>45.081734974384844</v>
      </c>
      <c r="N56" s="121">
        <f t="shared" si="33"/>
        <v>32.029133349301475</v>
      </c>
    </row>
    <row r="57" spans="1:14" x14ac:dyDescent="0.25">
      <c r="A57" s="223" t="s">
        <v>5</v>
      </c>
      <c r="B57" s="116">
        <f t="shared" ref="B57:N57" si="34">B50*B$54</f>
        <v>-14.221237500000003</v>
      </c>
      <c r="C57" s="120">
        <f t="shared" si="34"/>
        <v>3.1941292665336278</v>
      </c>
      <c r="D57" s="120">
        <f t="shared" si="34"/>
        <v>38.390932435403847</v>
      </c>
      <c r="E57" s="120">
        <f t="shared" si="34"/>
        <v>80.477292318709161</v>
      </c>
      <c r="F57" s="120">
        <f t="shared" si="34"/>
        <v>115.964139820508</v>
      </c>
      <c r="G57" s="120">
        <f t="shared" si="34"/>
        <v>146.01345100979341</v>
      </c>
      <c r="H57" s="120">
        <f t="shared" si="34"/>
        <v>119.06769782276</v>
      </c>
      <c r="I57" s="120">
        <f t="shared" si="34"/>
        <v>92.066190529024936</v>
      </c>
      <c r="J57" s="120">
        <f t="shared" si="34"/>
        <v>79.390151244691396</v>
      </c>
      <c r="K57" s="117">
        <f t="shared" si="34"/>
        <v>82.14522983921465</v>
      </c>
      <c r="L57" s="116">
        <f t="shared" si="34"/>
        <v>121.10821658226945</v>
      </c>
      <c r="M57" s="120">
        <f t="shared" si="34"/>
        <v>137.57976628402108</v>
      </c>
      <c r="N57" s="121">
        <f t="shared" si="34"/>
        <v>122.16444422797386</v>
      </c>
    </row>
    <row r="58" spans="1:14" x14ac:dyDescent="0.25">
      <c r="A58" s="223" t="s">
        <v>6</v>
      </c>
      <c r="B58" s="116">
        <f t="shared" ref="B58:N58" si="35">B51*B$54</f>
        <v>-4.7367375000000003</v>
      </c>
      <c r="C58" s="120">
        <f t="shared" si="35"/>
        <v>3.1933400385321207</v>
      </c>
      <c r="D58" s="120">
        <f t="shared" si="35"/>
        <v>18.565948367223182</v>
      </c>
      <c r="E58" s="120">
        <f t="shared" si="35"/>
        <v>26.78437389659161</v>
      </c>
      <c r="F58" s="120">
        <f t="shared" si="35"/>
        <v>33.246619553781336</v>
      </c>
      <c r="G58" s="120">
        <f t="shared" si="35"/>
        <v>27.412954671784405</v>
      </c>
      <c r="H58" s="120">
        <f t="shared" si="35"/>
        <v>17.377133528965082</v>
      </c>
      <c r="I58" s="120">
        <f t="shared" si="35"/>
        <v>-1.0370287519634005</v>
      </c>
      <c r="J58" s="120">
        <f t="shared" si="35"/>
        <v>-13.693144525867313</v>
      </c>
      <c r="K58" s="117">
        <f t="shared" si="35"/>
        <v>-22.930403153160299</v>
      </c>
      <c r="L58" s="116">
        <f t="shared" si="35"/>
        <v>-14.060239179798497</v>
      </c>
      <c r="M58" s="120">
        <f t="shared" si="35"/>
        <v>-7.6974365678273102</v>
      </c>
      <c r="N58" s="121">
        <f t="shared" si="35"/>
        <v>-8.1351445502515638</v>
      </c>
    </row>
    <row r="59" spans="1:14" ht="15.75" thickBot="1" x14ac:dyDescent="0.3">
      <c r="A59" s="223" t="s">
        <v>7</v>
      </c>
      <c r="B59" s="116">
        <f t="shared" ref="B59:N59" si="36">B52*B$54</f>
        <v>0</v>
      </c>
      <c r="C59" s="120">
        <f t="shared" si="36"/>
        <v>32.726518031764257</v>
      </c>
      <c r="D59" s="120">
        <f t="shared" si="36"/>
        <v>58.044305799844643</v>
      </c>
      <c r="E59" s="120">
        <f t="shared" si="36"/>
        <v>68.190722189712559</v>
      </c>
      <c r="F59" s="120">
        <f t="shared" si="36"/>
        <v>76.899730271018171</v>
      </c>
      <c r="G59" s="120">
        <f t="shared" si="36"/>
        <v>86.967566846049522</v>
      </c>
      <c r="H59" s="120">
        <f t="shared" si="36"/>
        <v>84.681795563273184</v>
      </c>
      <c r="I59" s="120">
        <f t="shared" si="36"/>
        <v>76.257144583601658</v>
      </c>
      <c r="J59" s="120">
        <f t="shared" si="36"/>
        <v>67.983917991137261</v>
      </c>
      <c r="K59" s="117">
        <f t="shared" si="36"/>
        <v>66.03501483861973</v>
      </c>
      <c r="L59" s="116">
        <f t="shared" si="36"/>
        <v>70.036692776442734</v>
      </c>
      <c r="M59" s="120">
        <f t="shared" si="36"/>
        <v>78.960297086342976</v>
      </c>
      <c r="N59" s="121">
        <f t="shared" si="36"/>
        <v>84.315108685468516</v>
      </c>
    </row>
    <row r="60" spans="1:14" ht="16.5" thickTop="1" thickBot="1" x14ac:dyDescent="0.3">
      <c r="A60" s="132" t="s">
        <v>75</v>
      </c>
      <c r="B60" s="136">
        <f>SUM(B55:B59)+SUM(B48:B52)-B63</f>
        <v>0</v>
      </c>
      <c r="C60" s="137">
        <f>SUM(C55:C59)+SUM(C48:C52)-C63</f>
        <v>0</v>
      </c>
      <c r="D60" s="137">
        <f>SUM(D55:D59)+SUM(D48:D52)-D63</f>
        <v>0</v>
      </c>
      <c r="E60" s="137">
        <f t="shared" ref="E60:N60" si="37">SUM(E55:E59)+SUM(E48:E52)-E63</f>
        <v>0</v>
      </c>
      <c r="F60" s="137">
        <f t="shared" si="37"/>
        <v>0</v>
      </c>
      <c r="G60" s="137">
        <f t="shared" si="37"/>
        <v>0</v>
      </c>
      <c r="H60" s="137">
        <f t="shared" si="37"/>
        <v>0</v>
      </c>
      <c r="I60" s="137">
        <f t="shared" si="37"/>
        <v>0</v>
      </c>
      <c r="J60" s="137">
        <f t="shared" si="37"/>
        <v>0</v>
      </c>
      <c r="K60" s="196">
        <f t="shared" si="37"/>
        <v>0</v>
      </c>
      <c r="L60" s="136">
        <f t="shared" si="37"/>
        <v>0</v>
      </c>
      <c r="M60" s="137">
        <f t="shared" si="37"/>
        <v>6.4028427004814148E-10</v>
      </c>
      <c r="N60" s="138">
        <f t="shared" si="37"/>
        <v>6.1118043959140778E-10</v>
      </c>
    </row>
    <row r="61" spans="1:14" ht="16.5" thickTop="1" thickBot="1" x14ac:dyDescent="0.3">
      <c r="A61" s="132" t="s">
        <v>76</v>
      </c>
      <c r="B61" s="136">
        <f>SUM(B55:B59)-B38</f>
        <v>-2.3300000000148202E-3</v>
      </c>
      <c r="C61" s="137">
        <f>SUM(C55:C59)-C38</f>
        <v>-3.5223724999440265E-3</v>
      </c>
      <c r="D61" s="137">
        <f t="shared" ref="D61:J61" si="38">SUM(D55:D59)-D38</f>
        <v>-2.0887241240075127E-4</v>
      </c>
      <c r="E61" s="137">
        <f t="shared" si="38"/>
        <v>-2.4398711928483863E-3</v>
      </c>
      <c r="F61" s="137">
        <f t="shared" si="38"/>
        <v>2.0741986077155161E-5</v>
      </c>
      <c r="G61" s="137">
        <f>SUM(G55:G59)-G38</f>
        <v>3.4073897272719478E-3</v>
      </c>
      <c r="H61" s="137">
        <f t="shared" si="38"/>
        <v>4.8592165975378521E-3</v>
      </c>
      <c r="I61" s="137">
        <f t="shared" si="38"/>
        <v>-3.2246724599076515E-3</v>
      </c>
      <c r="J61" s="137">
        <f t="shared" si="38"/>
        <v>1.0495908803136444E-3</v>
      </c>
      <c r="K61" s="196">
        <f>SUM(K55:K59)-K38</f>
        <v>-1.8623106158770497E-3</v>
      </c>
      <c r="L61" s="136">
        <f>SUM(L55:L59)-L38</f>
        <v>4.4030821300111711E-7</v>
      </c>
      <c r="M61" s="137">
        <f>SUM(M55:M59)-M38</f>
        <v>4.8464630708622281E-7</v>
      </c>
      <c r="N61" s="138">
        <f>SUM(N55:N59)-N38</f>
        <v>5.2903746450283506E-7</v>
      </c>
    </row>
    <row r="62" spans="1:14" ht="15.75" thickTop="1" x14ac:dyDescent="0.25">
      <c r="B62" s="105"/>
      <c r="C62" s="104"/>
      <c r="D62" s="104"/>
      <c r="E62" s="104"/>
      <c r="F62" s="104"/>
      <c r="G62" s="104"/>
      <c r="H62" s="104"/>
      <c r="I62" s="104"/>
      <c r="J62" s="104"/>
      <c r="K62" s="104"/>
      <c r="L62" s="103"/>
      <c r="M62" s="104"/>
      <c r="N62" s="107"/>
    </row>
    <row r="63" spans="1:14" x14ac:dyDescent="0.25">
      <c r="A63" s="223" t="s">
        <v>77</v>
      </c>
      <c r="B63" s="116">
        <f>(SUM(B15:B18)-SUM(B22:B26))+SUM(B55:B59)</f>
        <v>-111339.88233000001</v>
      </c>
      <c r="C63" s="120">
        <f>(SUM(C15:C19)-SUM(C22:C26))+SUM(C55:C59)+B63</f>
        <v>-75848.206685705722</v>
      </c>
      <c r="D63" s="120">
        <f t="shared" ref="D63:N63" si="39">(SUM(D15:D19)-SUM(D22:D26))+SUM(D55:D59)+C63</f>
        <v>135468.6122720885</v>
      </c>
      <c r="E63" s="120">
        <f t="shared" si="39"/>
        <v>382328.71899888391</v>
      </c>
      <c r="F63" s="120">
        <f t="shared" si="39"/>
        <v>643262.84818629269</v>
      </c>
      <c r="G63" s="120">
        <f t="shared" si="39"/>
        <v>668753.72076034895</v>
      </c>
      <c r="H63" s="120">
        <f t="shared" si="39"/>
        <v>463073.27478623216</v>
      </c>
      <c r="I63" s="120">
        <f t="shared" si="39"/>
        <v>223136.44072822644</v>
      </c>
      <c r="J63" s="120">
        <f t="shared" si="39"/>
        <v>192776.66094448394</v>
      </c>
      <c r="K63" s="117">
        <f t="shared" si="39"/>
        <v>265350.62824883987</v>
      </c>
      <c r="L63" s="116">
        <f t="shared" si="39"/>
        <v>487881.36672657286</v>
      </c>
      <c r="M63" s="120">
        <f t="shared" si="39"/>
        <v>454672.12070139742</v>
      </c>
      <c r="N63" s="121">
        <f t="shared" si="39"/>
        <v>158090.21415901562</v>
      </c>
    </row>
    <row r="64" spans="1:14" ht="15.75" thickBot="1" x14ac:dyDescent="0.3">
      <c r="B64" s="291"/>
      <c r="C64" s="291"/>
      <c r="D64" s="292"/>
      <c r="E64" s="293"/>
      <c r="F64" s="293"/>
      <c r="G64" s="292"/>
      <c r="H64" s="292"/>
      <c r="I64" s="292"/>
      <c r="J64" s="292"/>
      <c r="K64" s="294"/>
      <c r="L64" s="139"/>
      <c r="M64" s="140"/>
      <c r="N64" s="141"/>
    </row>
    <row r="66" spans="3:11" x14ac:dyDescent="0.25">
      <c r="C66" s="56"/>
      <c r="D66" s="56"/>
      <c r="E66" s="56"/>
      <c r="F66" s="56"/>
      <c r="G66" s="56"/>
      <c r="H66" s="56"/>
      <c r="I66" s="56"/>
      <c r="J66" s="56"/>
      <c r="K66" s="56"/>
    </row>
  </sheetData>
  <mergeCells count="1">
    <mergeCell ref="L13:N13"/>
  </mergeCells>
  <pageMargins left="0.7" right="0.7" top="0.75" bottom="0.75" header="0.3" footer="0.3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>
      <selection activeCell="G36" sqref="G3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13BEADAB69841AF30C364162AA0DA" ma:contentTypeVersion="" ma:contentTypeDescription="Create a new document." ma:contentTypeScope="" ma:versionID="3b980dff7a6dd4c3859d25a9edd0d71c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Comments xmlns="$ListId:Library;">In Legal Dept - Do Not Edit</Comments>
  </documentManagement>
</p:properties>
</file>

<file path=customXml/itemProps1.xml><?xml version="1.0" encoding="utf-8"?>
<ds:datastoreItem xmlns:ds="http://schemas.openxmlformats.org/officeDocument/2006/customXml" ds:itemID="{4FE36353-2D23-4413-BFF3-128FB6002D9C}"/>
</file>

<file path=customXml/itemProps2.xml><?xml version="1.0" encoding="utf-8"?>
<ds:datastoreItem xmlns:ds="http://schemas.openxmlformats.org/officeDocument/2006/customXml" ds:itemID="{CF4962EB-75A7-453C-AF78-1868C9B5BF8E}"/>
</file>

<file path=customXml/itemProps3.xml><?xml version="1.0" encoding="utf-8"?>
<ds:datastoreItem xmlns:ds="http://schemas.openxmlformats.org/officeDocument/2006/customXml" ds:itemID="{BBE680F6-EEBC-41A4-AEB5-0B773B5EA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PPC</vt:lpstr>
      <vt:lpstr>PCR</vt:lpstr>
      <vt:lpstr>PCR (M1 Final)</vt:lpstr>
      <vt:lpstr>PTD</vt:lpstr>
      <vt:lpstr>TDR</vt:lpstr>
      <vt:lpstr>TDR (M1 Final)</vt:lpstr>
      <vt:lpstr>PI (M1)</vt:lpstr>
      <vt:lpstr>PIR (M1)</vt:lpstr>
      <vt:lpstr>EO</vt:lpstr>
      <vt:lpstr>EOR</vt:lpstr>
      <vt:lpstr>OA</vt:lpstr>
      <vt:lpstr>tariff tables</vt:lpstr>
      <vt:lpstr>tariff tables (M1)</vt:lpstr>
      <vt:lpstr>sheet 91.11</vt:lpstr>
      <vt:lpstr>PCR!Print_Area</vt:lpstr>
      <vt:lpstr>'PIR (M1)'!Print_Area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Unspecified User</cp:lastModifiedBy>
  <cp:lastPrinted>2017-05-01T15:15:41Z</cp:lastPrinted>
  <dcterms:created xsi:type="dcterms:W3CDTF">2013-08-12T19:20:10Z</dcterms:created>
  <dcterms:modified xsi:type="dcterms:W3CDTF">2017-11-17T22:04:09Z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0x0101007DB13BEADAB69841AF30C364162AA0DA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Order">
    <vt:r8>3300</vt:r8>
  </property>
</Properties>
</file>