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seworks.ameren.com@SSL\DavWWWRoot\255\RiderEEIC\Library\2018 Nov Filing\"/>
    </mc:Choice>
  </mc:AlternateContent>
  <bookViews>
    <workbookView xWindow="0" yWindow="0" windowWidth="28800" windowHeight="12285" tabRatio="908" activeTab="10"/>
  </bookViews>
  <sheets>
    <sheet name="PPC" sheetId="4" r:id="rId1"/>
    <sheet name="PCR" sheetId="1" r:id="rId2"/>
    <sheet name="PTD" sheetId="12" r:id="rId3"/>
    <sheet name="TDR" sheetId="11" r:id="rId4"/>
    <sheet name="PI (M1)" sheetId="16" r:id="rId5"/>
    <sheet name="PIR (M1)" sheetId="19" r:id="rId6"/>
    <sheet name="EO" sheetId="8" r:id="rId7"/>
    <sheet name="EOR" sheetId="9" r:id="rId8"/>
    <sheet name="OA" sheetId="10" r:id="rId9"/>
    <sheet name="OAR" sheetId="20" r:id="rId10"/>
    <sheet name="tariff tables" sheetId="5" r:id="rId11"/>
    <sheet name="tariff tables (M1)" sheetId="17" r:id="rId12"/>
    <sheet name="sheet 91.11" sheetId="13" r:id="rId13"/>
  </sheets>
  <definedNames>
    <definedName name="_xlnm.Print_Area" localSheetId="9">OAR!$A$13:$G$38</definedName>
    <definedName name="_xlnm.Print_Area" localSheetId="1">PCR!$A$13:$G$51</definedName>
    <definedName name="_xlnm.Print_Area" localSheetId="5">'PIR (M1)'!$A$13:$G$38</definedName>
  </definedNames>
  <calcPr calcId="162913"/>
</workbook>
</file>

<file path=xl/calcChain.xml><?xml version="1.0" encoding="utf-8"?>
<calcChain xmlns="http://schemas.openxmlformats.org/spreadsheetml/2006/main">
  <c r="H8" i="5" l="1"/>
  <c r="T4" i="5"/>
  <c r="R5" i="5"/>
  <c r="R6" i="5"/>
  <c r="R7" i="5"/>
  <c r="R8" i="5"/>
  <c r="R4" i="5"/>
  <c r="J4" i="17"/>
  <c r="AB49" i="1" l="1"/>
  <c r="AA49" i="1"/>
  <c r="Z49" i="1"/>
  <c r="AJ49" i="1" l="1"/>
  <c r="AJ35" i="1" s="1"/>
  <c r="G29" i="20" l="1"/>
  <c r="X36" i="19"/>
  <c r="B7" i="16"/>
  <c r="B6" i="16"/>
  <c r="D74" i="1" l="1"/>
  <c r="AJ36" i="1"/>
  <c r="B15" i="4"/>
  <c r="C4" i="11" l="1"/>
  <c r="D54" i="1"/>
  <c r="D4" i="11"/>
  <c r="B4" i="11"/>
  <c r="P22" i="20" l="1"/>
  <c r="G31" i="5"/>
  <c r="J31" i="5" s="1"/>
  <c r="G21" i="5"/>
  <c r="B4" i="20" l="1"/>
  <c r="N41" i="20"/>
  <c r="AG54" i="1"/>
  <c r="V41" i="19"/>
  <c r="W55" i="19"/>
  <c r="X22" i="19"/>
  <c r="X29" i="19" s="1"/>
  <c r="B4" i="19" l="1"/>
  <c r="X41" i="19"/>
  <c r="X48" i="19" s="1"/>
  <c r="X55" i="19" s="1"/>
  <c r="X14" i="19"/>
  <c r="AJ42" i="11"/>
  <c r="AJ49" i="11" s="1"/>
  <c r="AJ56" i="11" s="1"/>
  <c r="AJ22" i="11"/>
  <c r="H19" i="16"/>
  <c r="G19" i="16"/>
  <c r="F19" i="16"/>
  <c r="B12" i="16"/>
  <c r="B13" i="16"/>
  <c r="B14" i="16"/>
  <c r="B15" i="16"/>
  <c r="B11" i="16"/>
  <c r="AK49" i="1" l="1"/>
  <c r="AI67" i="1" l="1"/>
  <c r="AI21" i="1" l="1"/>
  <c r="B41" i="19" l="1"/>
  <c r="B41" i="20"/>
  <c r="M54" i="20"/>
  <c r="L54" i="20"/>
  <c r="K54" i="20"/>
  <c r="J54" i="20"/>
  <c r="I54" i="20"/>
  <c r="H54" i="20"/>
  <c r="G54" i="20"/>
  <c r="F54" i="20"/>
  <c r="E54" i="20"/>
  <c r="D54" i="20"/>
  <c r="C54" i="20"/>
  <c r="B54" i="20"/>
  <c r="C29" i="20"/>
  <c r="C30" i="20"/>
  <c r="C31" i="20"/>
  <c r="C32" i="20"/>
  <c r="C33" i="20"/>
  <c r="B31" i="20"/>
  <c r="B32" i="20"/>
  <c r="B33" i="20"/>
  <c r="B30" i="20"/>
  <c r="B29" i="20"/>
  <c r="N14" i="20" l="1"/>
  <c r="L14" i="20"/>
  <c r="M14" i="20"/>
  <c r="L29" i="20"/>
  <c r="L41" i="20" s="1"/>
  <c r="M29" i="20"/>
  <c r="M41" i="20" s="1"/>
  <c r="L30" i="20"/>
  <c r="L42" i="20" s="1"/>
  <c r="M30" i="20"/>
  <c r="M42" i="20" s="1"/>
  <c r="L31" i="20"/>
  <c r="L43" i="20" s="1"/>
  <c r="M31" i="20"/>
  <c r="M43" i="20" s="1"/>
  <c r="L32" i="20"/>
  <c r="L44" i="20" s="1"/>
  <c r="M32" i="20"/>
  <c r="M44" i="20" s="1"/>
  <c r="L33" i="20"/>
  <c r="L45" i="20" s="1"/>
  <c r="M33" i="20"/>
  <c r="M45" i="20" s="1"/>
  <c r="P36" i="20" l="1"/>
  <c r="O36" i="20"/>
  <c r="O22" i="20" s="1"/>
  <c r="N36" i="20"/>
  <c r="N22" i="20" s="1"/>
  <c r="A36" i="20"/>
  <c r="K33" i="20"/>
  <c r="K45" i="20" s="1"/>
  <c r="J33" i="20"/>
  <c r="J45" i="20" s="1"/>
  <c r="I33" i="20"/>
  <c r="I45" i="20" s="1"/>
  <c r="H33" i="20"/>
  <c r="H45" i="20" s="1"/>
  <c r="G33" i="20"/>
  <c r="G45" i="20" s="1"/>
  <c r="F33" i="20"/>
  <c r="F45" i="20" s="1"/>
  <c r="E33" i="20"/>
  <c r="E45" i="20" s="1"/>
  <c r="D33" i="20"/>
  <c r="C45" i="20"/>
  <c r="B45" i="20"/>
  <c r="B52" i="20" s="1"/>
  <c r="K32" i="20"/>
  <c r="K44" i="20" s="1"/>
  <c r="J32" i="20"/>
  <c r="J44" i="20" s="1"/>
  <c r="I32" i="20"/>
  <c r="I44" i="20" s="1"/>
  <c r="H32" i="20"/>
  <c r="H44" i="20" s="1"/>
  <c r="G32" i="20"/>
  <c r="G44" i="20" s="1"/>
  <c r="F32" i="20"/>
  <c r="F44" i="20" s="1"/>
  <c r="E32" i="20"/>
  <c r="E44" i="20" s="1"/>
  <c r="D32" i="20"/>
  <c r="C44" i="20"/>
  <c r="B44" i="20"/>
  <c r="B51" i="20" s="1"/>
  <c r="K31" i="20"/>
  <c r="K43" i="20" s="1"/>
  <c r="J31" i="20"/>
  <c r="J43" i="20" s="1"/>
  <c r="I31" i="20"/>
  <c r="I43" i="20" s="1"/>
  <c r="H31" i="20"/>
  <c r="H43" i="20" s="1"/>
  <c r="G31" i="20"/>
  <c r="G43" i="20" s="1"/>
  <c r="F31" i="20"/>
  <c r="F43" i="20" s="1"/>
  <c r="E31" i="20"/>
  <c r="E43" i="20" s="1"/>
  <c r="D31" i="20"/>
  <c r="C43" i="20"/>
  <c r="B43" i="20"/>
  <c r="B50" i="20" s="1"/>
  <c r="K30" i="20"/>
  <c r="K42" i="20" s="1"/>
  <c r="J30" i="20"/>
  <c r="J42" i="20" s="1"/>
  <c r="I30" i="20"/>
  <c r="I42" i="20" s="1"/>
  <c r="H30" i="20"/>
  <c r="H42" i="20" s="1"/>
  <c r="G30" i="20"/>
  <c r="G42" i="20" s="1"/>
  <c r="F30" i="20"/>
  <c r="F42" i="20" s="1"/>
  <c r="E30" i="20"/>
  <c r="E42" i="20" s="1"/>
  <c r="D30" i="20"/>
  <c r="C42" i="20"/>
  <c r="B42" i="20"/>
  <c r="B49" i="20" s="1"/>
  <c r="K29" i="20"/>
  <c r="K41" i="20" s="1"/>
  <c r="J29" i="20"/>
  <c r="J41" i="20" s="1"/>
  <c r="I29" i="20"/>
  <c r="I41" i="20" s="1"/>
  <c r="H29" i="20"/>
  <c r="H41" i="20" s="1"/>
  <c r="G41" i="20"/>
  <c r="F29" i="20"/>
  <c r="F41" i="20" s="1"/>
  <c r="E29" i="20"/>
  <c r="E41" i="20" s="1"/>
  <c r="D29" i="20"/>
  <c r="C41" i="20"/>
  <c r="P26" i="20"/>
  <c r="O26" i="20"/>
  <c r="N26" i="20"/>
  <c r="P25" i="20"/>
  <c r="O25" i="20"/>
  <c r="N25" i="20"/>
  <c r="P24" i="20"/>
  <c r="O24" i="20"/>
  <c r="N24" i="20"/>
  <c r="P23" i="20"/>
  <c r="O23" i="20"/>
  <c r="N23" i="20"/>
  <c r="C14" i="20"/>
  <c r="D14" i="20" s="1"/>
  <c r="E14" i="20" s="1"/>
  <c r="F14" i="20" s="1"/>
  <c r="G14" i="20" s="1"/>
  <c r="H14" i="20" s="1"/>
  <c r="I14" i="20" s="1"/>
  <c r="J14" i="20" s="1"/>
  <c r="K14" i="20" s="1"/>
  <c r="B8" i="20"/>
  <c r="B7" i="20"/>
  <c r="B6" i="20"/>
  <c r="B5" i="20"/>
  <c r="D43" i="20" l="1"/>
  <c r="C6" i="20"/>
  <c r="D45" i="20"/>
  <c r="C8" i="20"/>
  <c r="D8" i="20" s="1"/>
  <c r="D41" i="20"/>
  <c r="C4" i="20"/>
  <c r="D4" i="20" s="1"/>
  <c r="D42" i="20"/>
  <c r="C5" i="20"/>
  <c r="D5" i="20" s="1"/>
  <c r="D44" i="20"/>
  <c r="C7" i="20"/>
  <c r="B48" i="20"/>
  <c r="B55" i="20" s="1"/>
  <c r="P32" i="20"/>
  <c r="P44" i="20" s="1"/>
  <c r="O32" i="20"/>
  <c r="O44" i="20" s="1"/>
  <c r="B9" i="20"/>
  <c r="N29" i="20"/>
  <c r="O31" i="20"/>
  <c r="O43" i="20" s="1"/>
  <c r="O30" i="20"/>
  <c r="O42" i="20" s="1"/>
  <c r="P31" i="20"/>
  <c r="P43" i="20" s="1"/>
  <c r="N33" i="20"/>
  <c r="N45" i="20" s="1"/>
  <c r="N30" i="20"/>
  <c r="N42" i="20" s="1"/>
  <c r="P30" i="20"/>
  <c r="P42" i="20" s="1"/>
  <c r="N32" i="20"/>
  <c r="N44" i="20" s="1"/>
  <c r="B59" i="20"/>
  <c r="C52" i="20" s="1"/>
  <c r="O29" i="20"/>
  <c r="O41" i="20" s="1"/>
  <c r="B57" i="20"/>
  <c r="C50" i="20" s="1"/>
  <c r="O14" i="20"/>
  <c r="P14" i="20" s="1"/>
  <c r="B56" i="20"/>
  <c r="C49" i="20" s="1"/>
  <c r="B58" i="20"/>
  <c r="O33" i="20"/>
  <c r="O45" i="20" s="1"/>
  <c r="D6" i="20"/>
  <c r="P29" i="20"/>
  <c r="P41" i="20" s="1"/>
  <c r="N31" i="20"/>
  <c r="N43" i="20" s="1"/>
  <c r="P33" i="20"/>
  <c r="P45" i="20" s="1"/>
  <c r="D7" i="20"/>
  <c r="B63" i="20" l="1"/>
  <c r="B60" i="20" s="1"/>
  <c r="B61" i="20"/>
  <c r="C59" i="20"/>
  <c r="D52" i="20" s="1"/>
  <c r="D9" i="20"/>
  <c r="C57" i="20"/>
  <c r="D50" i="20" s="1"/>
  <c r="C9" i="20"/>
  <c r="C48" i="20"/>
  <c r="C56" i="20"/>
  <c r="D49" i="20" s="1"/>
  <c r="C51" i="20"/>
  <c r="D59" i="20" l="1"/>
  <c r="E52" i="20" s="1"/>
  <c r="D56" i="20"/>
  <c r="C55" i="20"/>
  <c r="D48" i="20" s="1"/>
  <c r="D57" i="20"/>
  <c r="C58" i="20"/>
  <c r="D51" i="20" s="1"/>
  <c r="D55" i="20" l="1"/>
  <c r="E48" i="20" s="1"/>
  <c r="E59" i="20"/>
  <c r="F52" i="20" s="1"/>
  <c r="D58" i="20"/>
  <c r="E51" i="20" s="1"/>
  <c r="E50" i="20"/>
  <c r="C61" i="20"/>
  <c r="C63" i="20"/>
  <c r="E49" i="20"/>
  <c r="F59" i="20" l="1"/>
  <c r="E55" i="20"/>
  <c r="F48" i="20" s="1"/>
  <c r="D61" i="20"/>
  <c r="E56" i="20"/>
  <c r="F49" i="20" s="1"/>
  <c r="C60" i="20"/>
  <c r="D63" i="20"/>
  <c r="E58" i="20"/>
  <c r="F51" i="20" s="1"/>
  <c r="E57" i="20"/>
  <c r="W14" i="19"/>
  <c r="W29" i="19"/>
  <c r="W30" i="19"/>
  <c r="W31" i="19"/>
  <c r="W43" i="19" s="1"/>
  <c r="W32" i="19"/>
  <c r="W44" i="19" s="1"/>
  <c r="W33" i="19"/>
  <c r="W41" i="19"/>
  <c r="W42" i="19"/>
  <c r="W45" i="19"/>
  <c r="W54" i="19"/>
  <c r="L29" i="19"/>
  <c r="L41" i="19" s="1"/>
  <c r="M29" i="19"/>
  <c r="M41" i="19" s="1"/>
  <c r="N29" i="19"/>
  <c r="N41" i="19" s="1"/>
  <c r="O29" i="19"/>
  <c r="P29" i="19"/>
  <c r="P41" i="19" s="1"/>
  <c r="Q29" i="19"/>
  <c r="Q41" i="19" s="1"/>
  <c r="R29" i="19"/>
  <c r="R41" i="19" s="1"/>
  <c r="S29" i="19"/>
  <c r="T29" i="19"/>
  <c r="T41" i="19" s="1"/>
  <c r="U29" i="19"/>
  <c r="U41" i="19" s="1"/>
  <c r="V29" i="19"/>
  <c r="L30" i="19"/>
  <c r="M30" i="19"/>
  <c r="M42" i="19" s="1"/>
  <c r="N30" i="19"/>
  <c r="N42" i="19" s="1"/>
  <c r="O30" i="19"/>
  <c r="O42" i="19" s="1"/>
  <c r="P30" i="19"/>
  <c r="Q30" i="19"/>
  <c r="Q42" i="19" s="1"/>
  <c r="R30" i="19"/>
  <c r="R42" i="19" s="1"/>
  <c r="S30" i="19"/>
  <c r="S42" i="19" s="1"/>
  <c r="T30" i="19"/>
  <c r="U30" i="19"/>
  <c r="U42" i="19" s="1"/>
  <c r="V30" i="19"/>
  <c r="V42" i="19" s="1"/>
  <c r="L31" i="19"/>
  <c r="L43" i="19" s="1"/>
  <c r="M31" i="19"/>
  <c r="N31" i="19"/>
  <c r="N43" i="19" s="1"/>
  <c r="O31" i="19"/>
  <c r="O43" i="19" s="1"/>
  <c r="P31" i="19"/>
  <c r="Q31" i="19"/>
  <c r="R31" i="19"/>
  <c r="R43" i="19" s="1"/>
  <c r="S31" i="19"/>
  <c r="S43" i="19" s="1"/>
  <c r="T31" i="19"/>
  <c r="T43" i="19" s="1"/>
  <c r="U31" i="19"/>
  <c r="V31" i="19"/>
  <c r="V43" i="19" s="1"/>
  <c r="L32" i="19"/>
  <c r="L44" i="19" s="1"/>
  <c r="M32" i="19"/>
  <c r="M44" i="19" s="1"/>
  <c r="N32" i="19"/>
  <c r="O32" i="19"/>
  <c r="O44" i="19" s="1"/>
  <c r="P32" i="19"/>
  <c r="P44" i="19" s="1"/>
  <c r="Q32" i="19"/>
  <c r="Q44" i="19" s="1"/>
  <c r="R32" i="19"/>
  <c r="S32" i="19"/>
  <c r="S44" i="19" s="1"/>
  <c r="T32" i="19"/>
  <c r="T44" i="19" s="1"/>
  <c r="U32" i="19"/>
  <c r="U44" i="19" s="1"/>
  <c r="V32" i="19"/>
  <c r="L33" i="19"/>
  <c r="L45" i="19" s="1"/>
  <c r="M33" i="19"/>
  <c r="M45" i="19" s="1"/>
  <c r="N33" i="19"/>
  <c r="N45" i="19" s="1"/>
  <c r="O33" i="19"/>
  <c r="P33" i="19"/>
  <c r="P45" i="19" s="1"/>
  <c r="Q33" i="19"/>
  <c r="Q45" i="19" s="1"/>
  <c r="R33" i="19"/>
  <c r="R45" i="19" s="1"/>
  <c r="S33" i="19"/>
  <c r="T33" i="19"/>
  <c r="T45" i="19" s="1"/>
  <c r="U33" i="19"/>
  <c r="U45" i="19" s="1"/>
  <c r="V33" i="19"/>
  <c r="V45" i="19" s="1"/>
  <c r="O41" i="19"/>
  <c r="S41" i="19"/>
  <c r="L42" i="19"/>
  <c r="P42" i="19"/>
  <c r="T42" i="19"/>
  <c r="M43" i="19"/>
  <c r="P43" i="19"/>
  <c r="Q43" i="19"/>
  <c r="U43" i="19"/>
  <c r="N44" i="19"/>
  <c r="R44" i="19"/>
  <c r="V44" i="19"/>
  <c r="O45" i="19"/>
  <c r="S45" i="19"/>
  <c r="L54" i="19"/>
  <c r="M54" i="19"/>
  <c r="N54" i="19"/>
  <c r="O54" i="19"/>
  <c r="P54" i="19"/>
  <c r="Q54" i="19"/>
  <c r="R54" i="19"/>
  <c r="S54" i="19"/>
  <c r="T54" i="19"/>
  <c r="U54" i="19"/>
  <c r="V54" i="19"/>
  <c r="AJ14" i="11"/>
  <c r="AI14" i="11"/>
  <c r="AI29" i="11"/>
  <c r="AI30" i="11"/>
  <c r="AI43" i="11" s="1"/>
  <c r="AI31" i="11"/>
  <c r="AI44" i="11" s="1"/>
  <c r="AI32" i="11"/>
  <c r="AI45" i="11" s="1"/>
  <c r="AI33" i="11"/>
  <c r="AI46" i="11" s="1"/>
  <c r="AI42" i="11"/>
  <c r="AI55" i="11"/>
  <c r="X29" i="11"/>
  <c r="X42" i="11" s="1"/>
  <c r="Y29" i="11"/>
  <c r="Z29" i="11"/>
  <c r="Z42" i="11" s="1"/>
  <c r="AA29" i="11"/>
  <c r="AA42" i="11" s="1"/>
  <c r="AB29" i="11"/>
  <c r="AB42" i="11" s="1"/>
  <c r="AC29" i="11"/>
  <c r="AD29" i="11"/>
  <c r="AD42" i="11" s="1"/>
  <c r="AE29" i="11"/>
  <c r="AE42" i="11" s="1"/>
  <c r="AF29" i="11"/>
  <c r="AF42" i="11" s="1"/>
  <c r="AG29" i="11"/>
  <c r="AH29" i="11"/>
  <c r="X30" i="11"/>
  <c r="X43" i="11" s="1"/>
  <c r="Y30" i="11"/>
  <c r="Y43" i="11" s="1"/>
  <c r="Z30" i="11"/>
  <c r="AA30" i="11"/>
  <c r="AA43" i="11" s="1"/>
  <c r="AB30" i="11"/>
  <c r="AB43" i="11" s="1"/>
  <c r="AC30" i="11"/>
  <c r="AC43" i="11" s="1"/>
  <c r="AD30" i="11"/>
  <c r="AE30" i="11"/>
  <c r="AE43" i="11" s="1"/>
  <c r="AF30" i="11"/>
  <c r="AF43" i="11" s="1"/>
  <c r="AG30" i="11"/>
  <c r="AG43" i="11" s="1"/>
  <c r="AH30" i="11"/>
  <c r="X31" i="11"/>
  <c r="X44" i="11" s="1"/>
  <c r="Y31" i="11"/>
  <c r="Y44" i="11" s="1"/>
  <c r="Z31" i="11"/>
  <c r="Z44" i="11" s="1"/>
  <c r="AA31" i="11"/>
  <c r="AB31" i="11"/>
  <c r="AC31" i="11"/>
  <c r="AC44" i="11" s="1"/>
  <c r="AD31" i="11"/>
  <c r="AD44" i="11" s="1"/>
  <c r="AE31" i="11"/>
  <c r="AF31" i="11"/>
  <c r="AF44" i="11" s="1"/>
  <c r="AG31" i="11"/>
  <c r="AG44" i="11" s="1"/>
  <c r="AH31" i="11"/>
  <c r="AH44" i="11" s="1"/>
  <c r="X32" i="11"/>
  <c r="Y32" i="11"/>
  <c r="Y45" i="11" s="1"/>
  <c r="Z32" i="11"/>
  <c r="Z45" i="11" s="1"/>
  <c r="AA32" i="11"/>
  <c r="AA45" i="11" s="1"/>
  <c r="AB32" i="11"/>
  <c r="AC32" i="11"/>
  <c r="AC45" i="11" s="1"/>
  <c r="AD32" i="11"/>
  <c r="AD45" i="11" s="1"/>
  <c r="AE32" i="11"/>
  <c r="AE45" i="11" s="1"/>
  <c r="AF32" i="11"/>
  <c r="AG32" i="11"/>
  <c r="AH32" i="11"/>
  <c r="AH45" i="11" s="1"/>
  <c r="X33" i="11"/>
  <c r="X46" i="11" s="1"/>
  <c r="Y33" i="11"/>
  <c r="Z33" i="11"/>
  <c r="Z46" i="11" s="1"/>
  <c r="AA33" i="11"/>
  <c r="AA46" i="11" s="1"/>
  <c r="AB33" i="11"/>
  <c r="AB46" i="11" s="1"/>
  <c r="AC33" i="11"/>
  <c r="AD33" i="11"/>
  <c r="AD46" i="11" s="1"/>
  <c r="AE33" i="11"/>
  <c r="AE46" i="11" s="1"/>
  <c r="AF33" i="11"/>
  <c r="AF46" i="11" s="1"/>
  <c r="AG33" i="11"/>
  <c r="AH33" i="11"/>
  <c r="AH46" i="11" s="1"/>
  <c r="Y42" i="11"/>
  <c r="AC42" i="11"/>
  <c r="AG42" i="11"/>
  <c r="AH42" i="11"/>
  <c r="Z43" i="11"/>
  <c r="AD43" i="11"/>
  <c r="AH43" i="11"/>
  <c r="AA44" i="11"/>
  <c r="AB44" i="11"/>
  <c r="AE44" i="11"/>
  <c r="X45" i="11"/>
  <c r="AB45" i="11"/>
  <c r="AF45" i="11"/>
  <c r="AG45" i="11"/>
  <c r="Y46" i="11"/>
  <c r="AC46" i="11"/>
  <c r="AG46" i="11"/>
  <c r="X55" i="11"/>
  <c r="Y55" i="11"/>
  <c r="Z55" i="11"/>
  <c r="AA55" i="11"/>
  <c r="AB55" i="11"/>
  <c r="AC55" i="11"/>
  <c r="AD55" i="11"/>
  <c r="AE55" i="11"/>
  <c r="AF55" i="11"/>
  <c r="AG55" i="11"/>
  <c r="AH55" i="11"/>
  <c r="AH67" i="1"/>
  <c r="AG67" i="1"/>
  <c r="AF67" i="1"/>
  <c r="AE67" i="1"/>
  <c r="AD67" i="1"/>
  <c r="AC67" i="1"/>
  <c r="AB67" i="1"/>
  <c r="AA67" i="1"/>
  <c r="Z67" i="1"/>
  <c r="Y67" i="1"/>
  <c r="X67" i="1"/>
  <c r="F56" i="20" l="1"/>
  <c r="G49" i="20" s="1"/>
  <c r="F55" i="20"/>
  <c r="G48" i="20" s="1"/>
  <c r="F58" i="20"/>
  <c r="G51" i="20" s="1"/>
  <c r="E61" i="20"/>
  <c r="F50" i="20"/>
  <c r="D60" i="20"/>
  <c r="E63" i="20"/>
  <c r="G52" i="20"/>
  <c r="G55" i="20" l="1"/>
  <c r="H48" i="20" s="1"/>
  <c r="F57" i="20"/>
  <c r="F63" i="20" s="1"/>
  <c r="E60" i="20"/>
  <c r="G58" i="20"/>
  <c r="H51" i="20" s="1"/>
  <c r="G56" i="20"/>
  <c r="H49" i="20" s="1"/>
  <c r="G59" i="20"/>
  <c r="H52" i="20" s="1"/>
  <c r="G50" i="20" l="1"/>
  <c r="G57" i="20" s="1"/>
  <c r="G61" i="20" s="1"/>
  <c r="F61" i="20"/>
  <c r="H58" i="20"/>
  <c r="I51" i="20" s="1"/>
  <c r="F60" i="20"/>
  <c r="H59" i="20"/>
  <c r="I52" i="20" s="1"/>
  <c r="H55" i="20"/>
  <c r="I48" i="20" s="1"/>
  <c r="H56" i="20"/>
  <c r="I49" i="20" s="1"/>
  <c r="H50" i="20" l="1"/>
  <c r="H57" i="20" s="1"/>
  <c r="H61" i="20" s="1"/>
  <c r="G63" i="20"/>
  <c r="G60" i="20" s="1"/>
  <c r="I56" i="20"/>
  <c r="J49" i="20" s="1"/>
  <c r="I55" i="20"/>
  <c r="J48" i="20" s="1"/>
  <c r="I59" i="20"/>
  <c r="J52" i="20" s="1"/>
  <c r="I58" i="20"/>
  <c r="J51" i="20" s="1"/>
  <c r="H63" i="20" l="1"/>
  <c r="H60" i="20" s="1"/>
  <c r="J56" i="20"/>
  <c r="K49" i="20" s="1"/>
  <c r="J59" i="20"/>
  <c r="K52" i="20" s="1"/>
  <c r="J55" i="20"/>
  <c r="K48" i="20" s="1"/>
  <c r="I50" i="20"/>
  <c r="J58" i="20"/>
  <c r="K51" i="20" s="1"/>
  <c r="K59" i="20" l="1"/>
  <c r="L52" i="20" s="1"/>
  <c r="K55" i="20"/>
  <c r="L48" i="20" s="1"/>
  <c r="K58" i="20"/>
  <c r="K56" i="20"/>
  <c r="L49" i="20" s="1"/>
  <c r="L56" i="20" s="1"/>
  <c r="M49" i="20" s="1"/>
  <c r="I57" i="20"/>
  <c r="J50" i="20" s="1"/>
  <c r="M56" i="20" l="1"/>
  <c r="N49" i="20"/>
  <c r="L55" i="20"/>
  <c r="M48" i="20" s="1"/>
  <c r="L59" i="20"/>
  <c r="M52" i="20" s="1"/>
  <c r="L51" i="20"/>
  <c r="J57" i="20"/>
  <c r="J61" i="20" s="1"/>
  <c r="I61" i="20"/>
  <c r="I63" i="20"/>
  <c r="AJ67" i="1"/>
  <c r="AJ21" i="1"/>
  <c r="AH21" i="1"/>
  <c r="AH22" i="1"/>
  <c r="AI22" i="1"/>
  <c r="AH23" i="1"/>
  <c r="AI23" i="1"/>
  <c r="AH24" i="1"/>
  <c r="AI24" i="1"/>
  <c r="AH25" i="1"/>
  <c r="AI25" i="1"/>
  <c r="AH42" i="1"/>
  <c r="AH54" i="1" s="1"/>
  <c r="AI42" i="1"/>
  <c r="AH43" i="1"/>
  <c r="AI43" i="1"/>
  <c r="AH44" i="1"/>
  <c r="AH56" i="1" s="1"/>
  <c r="AI44" i="1"/>
  <c r="AH45" i="1"/>
  <c r="AI45" i="1"/>
  <c r="AH46" i="1"/>
  <c r="AH58" i="1" s="1"/>
  <c r="AI46" i="1"/>
  <c r="X21" i="1"/>
  <c r="Y21" i="1"/>
  <c r="Z21" i="1"/>
  <c r="AA21" i="1"/>
  <c r="AB21" i="1"/>
  <c r="AC21" i="1"/>
  <c r="AD21" i="1"/>
  <c r="AE21" i="1"/>
  <c r="AE54" i="1" s="1"/>
  <c r="AF21" i="1"/>
  <c r="AG21" i="1"/>
  <c r="X22" i="1"/>
  <c r="Y22" i="1"/>
  <c r="Y55" i="1" s="1"/>
  <c r="Z22" i="1"/>
  <c r="AA22" i="1"/>
  <c r="AB22" i="1"/>
  <c r="AC22" i="1"/>
  <c r="AD22" i="1"/>
  <c r="AE22" i="1"/>
  <c r="AF22" i="1"/>
  <c r="AG22" i="1"/>
  <c r="AG55" i="1" s="1"/>
  <c r="X23" i="1"/>
  <c r="Y23" i="1"/>
  <c r="Z23" i="1"/>
  <c r="AA23" i="1"/>
  <c r="AB23" i="1"/>
  <c r="AC23" i="1"/>
  <c r="AD23" i="1"/>
  <c r="AE23" i="1"/>
  <c r="AE56" i="1" s="1"/>
  <c r="AF23" i="1"/>
  <c r="AG23" i="1"/>
  <c r="X24" i="1"/>
  <c r="Y24" i="1"/>
  <c r="Z24" i="1"/>
  <c r="AA24" i="1"/>
  <c r="AB24" i="1"/>
  <c r="AC24" i="1"/>
  <c r="AC57" i="1" s="1"/>
  <c r="AD24" i="1"/>
  <c r="AE24" i="1"/>
  <c r="AF24" i="1"/>
  <c r="AG24" i="1"/>
  <c r="AG57" i="1" s="1"/>
  <c r="X25" i="1"/>
  <c r="Y25" i="1"/>
  <c r="Z25" i="1"/>
  <c r="AA25" i="1"/>
  <c r="AB25" i="1"/>
  <c r="AC25" i="1"/>
  <c r="AD25" i="1"/>
  <c r="AE25" i="1"/>
  <c r="AF25" i="1"/>
  <c r="AG25" i="1"/>
  <c r="X42" i="1"/>
  <c r="X54" i="1" s="1"/>
  <c r="Y42" i="1"/>
  <c r="Y54" i="1" s="1"/>
  <c r="Z42" i="1"/>
  <c r="AA42" i="1"/>
  <c r="AB42" i="1"/>
  <c r="AB54" i="1" s="1"/>
  <c r="AC42" i="1"/>
  <c r="AD42" i="1"/>
  <c r="AE42" i="1"/>
  <c r="AF42" i="1"/>
  <c r="AF54" i="1" s="1"/>
  <c r="AG42" i="1"/>
  <c r="X43" i="1"/>
  <c r="Y43" i="1"/>
  <c r="Z43" i="1"/>
  <c r="Z55" i="1" s="1"/>
  <c r="AA43" i="1"/>
  <c r="AA55" i="1" s="1"/>
  <c r="AB43" i="1"/>
  <c r="AC43" i="1"/>
  <c r="AD43" i="1"/>
  <c r="AD55" i="1" s="1"/>
  <c r="AE43" i="1"/>
  <c r="AE55" i="1" s="1"/>
  <c r="AF43" i="1"/>
  <c r="AG43" i="1"/>
  <c r="X44" i="1"/>
  <c r="X56" i="1" s="1"/>
  <c r="Y44" i="1"/>
  <c r="Z44" i="1"/>
  <c r="AA44" i="1"/>
  <c r="AB44" i="1"/>
  <c r="AB56" i="1" s="1"/>
  <c r="AC44" i="1"/>
  <c r="AC56" i="1" s="1"/>
  <c r="AD44" i="1"/>
  <c r="AE44" i="1"/>
  <c r="AF44" i="1"/>
  <c r="AF56" i="1" s="1"/>
  <c r="AG44" i="1"/>
  <c r="AG56" i="1" s="1"/>
  <c r="X45" i="1"/>
  <c r="Y45" i="1"/>
  <c r="Z45" i="1"/>
  <c r="Z57" i="1" s="1"/>
  <c r="AA45" i="1"/>
  <c r="AA57" i="1" s="1"/>
  <c r="AB45" i="1"/>
  <c r="AC45" i="1"/>
  <c r="AD45" i="1"/>
  <c r="AD57" i="1" s="1"/>
  <c r="AE45" i="1"/>
  <c r="AF45" i="1"/>
  <c r="AG45" i="1"/>
  <c r="X46" i="1"/>
  <c r="X58" i="1" s="1"/>
  <c r="Y46" i="1"/>
  <c r="Y58" i="1" s="1"/>
  <c r="Z46" i="1"/>
  <c r="Z58" i="1" s="1"/>
  <c r="AA46" i="1"/>
  <c r="AB46" i="1"/>
  <c r="AB58" i="1" s="1"/>
  <c r="AC46" i="1"/>
  <c r="AC58" i="1" s="1"/>
  <c r="AD46" i="1"/>
  <c r="AE46" i="1"/>
  <c r="AF46" i="1"/>
  <c r="AF58" i="1" s="1"/>
  <c r="AG46" i="1"/>
  <c r="AG58" i="1" s="1"/>
  <c r="Z54" i="1"/>
  <c r="AC54" i="1"/>
  <c r="AD54" i="1"/>
  <c r="X55" i="1"/>
  <c r="AB55" i="1"/>
  <c r="AC55" i="1"/>
  <c r="AF55" i="1"/>
  <c r="Y56" i="1"/>
  <c r="Z56" i="1"/>
  <c r="AD56" i="1"/>
  <c r="X57" i="1"/>
  <c r="Y57" i="1"/>
  <c r="AB57" i="1"/>
  <c r="AE57" i="1"/>
  <c r="AF57" i="1"/>
  <c r="AD58" i="1"/>
  <c r="AE58" i="1"/>
  <c r="AA58" i="1" l="1"/>
  <c r="AA56" i="1"/>
  <c r="AA54" i="1"/>
  <c r="M59" i="20"/>
  <c r="N52" i="20"/>
  <c r="M55" i="20"/>
  <c r="N48" i="20"/>
  <c r="AI58" i="1"/>
  <c r="N54" i="20"/>
  <c r="AJ55" i="11"/>
  <c r="N56" i="20"/>
  <c r="O49" i="20" s="1"/>
  <c r="AI56" i="1"/>
  <c r="L58" i="20"/>
  <c r="M51" i="20" s="1"/>
  <c r="K50" i="20"/>
  <c r="J63" i="20"/>
  <c r="I60" i="20"/>
  <c r="AI57" i="1"/>
  <c r="AI55" i="1"/>
  <c r="AH57" i="1"/>
  <c r="AH55" i="1"/>
  <c r="AI54" i="1"/>
  <c r="M58" i="20" l="1"/>
  <c r="N51" i="20"/>
  <c r="N58" i="20" s="1"/>
  <c r="O51" i="20" s="1"/>
  <c r="N55" i="20"/>
  <c r="N59" i="20"/>
  <c r="O52" i="20" s="1"/>
  <c r="K57" i="20"/>
  <c r="K61" i="20" s="1"/>
  <c r="J60" i="20"/>
  <c r="O48" i="20" l="1"/>
  <c r="K63" i="20"/>
  <c r="K60" i="20" s="1"/>
  <c r="L50" i="20"/>
  <c r="L57" i="20" l="1"/>
  <c r="M50" i="20" l="1"/>
  <c r="L61" i="20"/>
  <c r="L63" i="20"/>
  <c r="M57" i="20" l="1"/>
  <c r="M61" i="20" s="1"/>
  <c r="N50" i="20"/>
  <c r="L60" i="20"/>
  <c r="N57" i="20" l="1"/>
  <c r="O50" i="20"/>
  <c r="M63" i="20"/>
  <c r="M60" i="20" s="1"/>
  <c r="N63" i="20" l="1"/>
  <c r="N60" i="20" s="1"/>
  <c r="N61" i="20"/>
  <c r="K31" i="5" l="1"/>
  <c r="L31" i="5" s="1"/>
  <c r="Z36" i="19" l="1"/>
  <c r="Y36" i="19"/>
  <c r="AL36" i="11"/>
  <c r="AK36" i="11"/>
  <c r="AJ36" i="11"/>
  <c r="AL49" i="1" l="1"/>
  <c r="G4" i="17" l="1"/>
  <c r="G5" i="17"/>
  <c r="G6" i="17"/>
  <c r="G7" i="17"/>
  <c r="G8" i="17"/>
  <c r="G20" i="13"/>
  <c r="AJ29" i="11" l="1"/>
  <c r="W29" i="11"/>
  <c r="R29" i="11"/>
  <c r="S29" i="11"/>
  <c r="S42" i="11" s="1"/>
  <c r="T29" i="11"/>
  <c r="T42" i="11" s="1"/>
  <c r="U29" i="11"/>
  <c r="V29" i="11"/>
  <c r="R30" i="11"/>
  <c r="R43" i="11" s="1"/>
  <c r="S30" i="11"/>
  <c r="S43" i="11" s="1"/>
  <c r="T30" i="11"/>
  <c r="T43" i="11" s="1"/>
  <c r="U30" i="11"/>
  <c r="V30" i="11"/>
  <c r="V43" i="11" s="1"/>
  <c r="W30" i="11"/>
  <c r="W43" i="11" s="1"/>
  <c r="R31" i="11"/>
  <c r="R44" i="11" s="1"/>
  <c r="S31" i="11"/>
  <c r="S44" i="11" s="1"/>
  <c r="T31" i="11"/>
  <c r="T44" i="11" s="1"/>
  <c r="U31" i="11"/>
  <c r="U44" i="11" s="1"/>
  <c r="V31" i="11"/>
  <c r="V44" i="11" s="1"/>
  <c r="W31" i="11"/>
  <c r="W44" i="11" s="1"/>
  <c r="R32" i="11"/>
  <c r="R45" i="11" s="1"/>
  <c r="S32" i="11"/>
  <c r="S45" i="11" s="1"/>
  <c r="T32" i="11"/>
  <c r="U32" i="11"/>
  <c r="U45" i="11" s="1"/>
  <c r="V32" i="11"/>
  <c r="V45" i="11" s="1"/>
  <c r="W32" i="11"/>
  <c r="W45" i="11" s="1"/>
  <c r="R33" i="11"/>
  <c r="S33" i="11"/>
  <c r="T33" i="11"/>
  <c r="T46" i="11" s="1"/>
  <c r="U33" i="11"/>
  <c r="U46" i="11" s="1"/>
  <c r="V33" i="11"/>
  <c r="W33" i="11"/>
  <c r="Q33" i="11"/>
  <c r="Q32" i="11"/>
  <c r="Q31" i="11"/>
  <c r="Q30" i="11"/>
  <c r="Q29" i="11"/>
  <c r="Q42" i="11" s="1"/>
  <c r="C42" i="11"/>
  <c r="D42" i="11"/>
  <c r="E42" i="11"/>
  <c r="F42" i="11"/>
  <c r="G42" i="11"/>
  <c r="C43" i="11"/>
  <c r="D43" i="11"/>
  <c r="E43" i="11"/>
  <c r="F43" i="11"/>
  <c r="C44" i="11"/>
  <c r="D44" i="11"/>
  <c r="E44" i="11"/>
  <c r="C45" i="11"/>
  <c r="D45" i="11"/>
  <c r="E45" i="11"/>
  <c r="C46" i="11"/>
  <c r="D46" i="11"/>
  <c r="E46" i="11"/>
  <c r="R46" i="11"/>
  <c r="B43" i="11"/>
  <c r="B44" i="11"/>
  <c r="B45" i="11"/>
  <c r="B46" i="11"/>
  <c r="B42" i="11"/>
  <c r="AK22" i="11"/>
  <c r="W46" i="11"/>
  <c r="V46" i="11"/>
  <c r="S46" i="11"/>
  <c r="P33" i="11"/>
  <c r="P46" i="11" s="1"/>
  <c r="O33" i="11"/>
  <c r="O46" i="11" s="1"/>
  <c r="N33" i="11"/>
  <c r="N46" i="11" s="1"/>
  <c r="M33" i="11"/>
  <c r="M46" i="11" s="1"/>
  <c r="L33" i="11"/>
  <c r="L46" i="11" s="1"/>
  <c r="K33" i="11"/>
  <c r="K46" i="11" s="1"/>
  <c r="J33" i="11"/>
  <c r="J46" i="11" s="1"/>
  <c r="I33" i="11"/>
  <c r="I46" i="11" s="1"/>
  <c r="H33" i="11"/>
  <c r="H46" i="11" s="1"/>
  <c r="G33" i="11"/>
  <c r="G46" i="11" s="1"/>
  <c r="F33" i="11"/>
  <c r="F46" i="11" s="1"/>
  <c r="T45" i="11"/>
  <c r="P32" i="11"/>
  <c r="P45" i="11" s="1"/>
  <c r="O32" i="11"/>
  <c r="O45" i="11" s="1"/>
  <c r="N32" i="11"/>
  <c r="N45" i="11" s="1"/>
  <c r="M32" i="11"/>
  <c r="M45" i="11" s="1"/>
  <c r="L32" i="11"/>
  <c r="L45" i="11" s="1"/>
  <c r="K32" i="11"/>
  <c r="K45" i="11" s="1"/>
  <c r="J32" i="11"/>
  <c r="J45" i="11" s="1"/>
  <c r="I32" i="11"/>
  <c r="I45" i="11" s="1"/>
  <c r="H32" i="11"/>
  <c r="H45" i="11" s="1"/>
  <c r="G32" i="11"/>
  <c r="G45" i="11" s="1"/>
  <c r="F32" i="11"/>
  <c r="F45" i="11" s="1"/>
  <c r="P31" i="11"/>
  <c r="P44" i="11" s="1"/>
  <c r="O31" i="11"/>
  <c r="O44" i="11" s="1"/>
  <c r="N31" i="11"/>
  <c r="N44" i="11" s="1"/>
  <c r="M31" i="11"/>
  <c r="M44" i="11" s="1"/>
  <c r="L31" i="11"/>
  <c r="L44" i="11" s="1"/>
  <c r="K31" i="11"/>
  <c r="K44" i="11" s="1"/>
  <c r="J31" i="11"/>
  <c r="J44" i="11" s="1"/>
  <c r="I31" i="11"/>
  <c r="I44" i="11" s="1"/>
  <c r="H31" i="11"/>
  <c r="H44" i="11" s="1"/>
  <c r="G31" i="11"/>
  <c r="G44" i="11" s="1"/>
  <c r="F31" i="11"/>
  <c r="F44" i="11" s="1"/>
  <c r="U43" i="11"/>
  <c r="Q43" i="11"/>
  <c r="P30" i="11"/>
  <c r="P43" i="11" s="1"/>
  <c r="O30" i="11"/>
  <c r="O43" i="11" s="1"/>
  <c r="N30" i="11"/>
  <c r="N43" i="11" s="1"/>
  <c r="M30" i="11"/>
  <c r="M43" i="11" s="1"/>
  <c r="L30" i="11"/>
  <c r="L43" i="11" s="1"/>
  <c r="K30" i="11"/>
  <c r="K43" i="11" s="1"/>
  <c r="J30" i="11"/>
  <c r="J43" i="11" s="1"/>
  <c r="I30" i="11"/>
  <c r="I43" i="11" s="1"/>
  <c r="H30" i="11"/>
  <c r="H43" i="11" s="1"/>
  <c r="G30" i="11"/>
  <c r="G43" i="11" s="1"/>
  <c r="F30" i="11"/>
  <c r="W42" i="11"/>
  <c r="V42" i="11"/>
  <c r="U42" i="11"/>
  <c r="R42" i="11"/>
  <c r="P29" i="11"/>
  <c r="P42" i="11" s="1"/>
  <c r="O29" i="11"/>
  <c r="O42" i="11" s="1"/>
  <c r="N29" i="11"/>
  <c r="N42" i="11" s="1"/>
  <c r="M29" i="11"/>
  <c r="M42" i="11" s="1"/>
  <c r="L29" i="11"/>
  <c r="L42" i="11" s="1"/>
  <c r="K29" i="11"/>
  <c r="K42" i="11" s="1"/>
  <c r="J29" i="11"/>
  <c r="J42" i="11" s="1"/>
  <c r="I29" i="11"/>
  <c r="I42" i="11" s="1"/>
  <c r="H29" i="11"/>
  <c r="H42" i="11" s="1"/>
  <c r="G29" i="11"/>
  <c r="F29" i="11"/>
  <c r="A36" i="11"/>
  <c r="Q46" i="11" l="1"/>
  <c r="Q45" i="11"/>
  <c r="Q44" i="11"/>
  <c r="AL22" i="11"/>
  <c r="I5" i="16" l="1"/>
  <c r="B16" i="16" l="1"/>
  <c r="J5" i="17" l="1"/>
  <c r="J6" i="17"/>
  <c r="J7" i="17"/>
  <c r="J8" i="17"/>
  <c r="Y22" i="19" l="1"/>
  <c r="B29" i="19"/>
  <c r="Z22" i="19" l="1"/>
  <c r="B33" i="19"/>
  <c r="B45" i="19" s="1"/>
  <c r="B32" i="19"/>
  <c r="B31" i="19"/>
  <c r="B30" i="19"/>
  <c r="C33" i="19"/>
  <c r="C32" i="19"/>
  <c r="C31" i="19"/>
  <c r="C30" i="19"/>
  <c r="C29" i="19"/>
  <c r="D33" i="19"/>
  <c r="D32" i="19"/>
  <c r="D31" i="19"/>
  <c r="D30" i="19"/>
  <c r="D29" i="19"/>
  <c r="E33" i="19"/>
  <c r="E32" i="19"/>
  <c r="E31" i="19"/>
  <c r="E30" i="19"/>
  <c r="E29" i="19"/>
  <c r="Y23" i="19" l="1"/>
  <c r="Z23" i="19"/>
  <c r="Y24" i="19"/>
  <c r="Z24" i="19"/>
  <c r="Y25" i="19"/>
  <c r="Z25" i="19"/>
  <c r="Y26" i="19"/>
  <c r="Z26" i="19"/>
  <c r="X23" i="19"/>
  <c r="X24" i="19"/>
  <c r="X25" i="19"/>
  <c r="X26" i="19"/>
  <c r="F43" i="1"/>
  <c r="F42" i="1"/>
  <c r="F29" i="19"/>
  <c r="C5" i="19"/>
  <c r="C6" i="19"/>
  <c r="C7" i="19"/>
  <c r="C8" i="19"/>
  <c r="C4" i="19"/>
  <c r="C41" i="19"/>
  <c r="D41" i="19"/>
  <c r="E41" i="19"/>
  <c r="C42" i="19"/>
  <c r="D42" i="19"/>
  <c r="E42" i="19"/>
  <c r="C43" i="19"/>
  <c r="D43" i="19"/>
  <c r="E43" i="19"/>
  <c r="C44" i="19"/>
  <c r="D44" i="19"/>
  <c r="E44" i="19"/>
  <c r="C45" i="19"/>
  <c r="D45" i="19"/>
  <c r="E45" i="19"/>
  <c r="B42" i="19"/>
  <c r="B43" i="19"/>
  <c r="B44" i="19"/>
  <c r="B52" i="19" l="1"/>
  <c r="B51" i="19"/>
  <c r="B50" i="19"/>
  <c r="B49" i="19"/>
  <c r="B48" i="19"/>
  <c r="K33" i="19"/>
  <c r="K45" i="19" s="1"/>
  <c r="J33" i="19"/>
  <c r="J45" i="19" s="1"/>
  <c r="I33" i="19"/>
  <c r="I45" i="19" s="1"/>
  <c r="H33" i="19"/>
  <c r="H45" i="19" s="1"/>
  <c r="G33" i="19"/>
  <c r="G45" i="19" s="1"/>
  <c r="F33" i="19"/>
  <c r="F45" i="19" s="1"/>
  <c r="K32" i="19"/>
  <c r="K44" i="19" s="1"/>
  <c r="J32" i="19"/>
  <c r="J44" i="19" s="1"/>
  <c r="I32" i="19"/>
  <c r="I44" i="19" s="1"/>
  <c r="H32" i="19"/>
  <c r="H44" i="19" s="1"/>
  <c r="G32" i="19"/>
  <c r="G44" i="19" s="1"/>
  <c r="F32" i="19"/>
  <c r="F44" i="19" s="1"/>
  <c r="K31" i="19"/>
  <c r="K43" i="19" s="1"/>
  <c r="J31" i="19"/>
  <c r="J43" i="19" s="1"/>
  <c r="I31" i="19"/>
  <c r="I43" i="19" s="1"/>
  <c r="H31" i="19"/>
  <c r="H43" i="19" s="1"/>
  <c r="G31" i="19"/>
  <c r="G43" i="19" s="1"/>
  <c r="F31" i="19"/>
  <c r="F43" i="19" s="1"/>
  <c r="K30" i="19"/>
  <c r="K42" i="19" s="1"/>
  <c r="J30" i="19"/>
  <c r="J42" i="19" s="1"/>
  <c r="I30" i="19"/>
  <c r="I42" i="19" s="1"/>
  <c r="H30" i="19"/>
  <c r="H42" i="19" s="1"/>
  <c r="G30" i="19"/>
  <c r="G42" i="19" s="1"/>
  <c r="F30" i="19"/>
  <c r="F42" i="19" s="1"/>
  <c r="K29" i="19"/>
  <c r="K41" i="19" s="1"/>
  <c r="J29" i="19"/>
  <c r="J41" i="19" s="1"/>
  <c r="I29" i="19"/>
  <c r="I41" i="19" s="1"/>
  <c r="H29" i="19"/>
  <c r="H41" i="19" s="1"/>
  <c r="G29" i="19"/>
  <c r="G41" i="19" s="1"/>
  <c r="F41" i="19"/>
  <c r="A36" i="19"/>
  <c r="C14" i="19"/>
  <c r="D14" i="19" s="1"/>
  <c r="E14" i="19" s="1"/>
  <c r="F14" i="19" s="1"/>
  <c r="G14" i="19" s="1"/>
  <c r="H14" i="19" s="1"/>
  <c r="I14" i="19" s="1"/>
  <c r="J14" i="19" s="1"/>
  <c r="K14" i="19" s="1"/>
  <c r="L14" i="19" s="1"/>
  <c r="M14" i="19" s="1"/>
  <c r="N14" i="19" s="1"/>
  <c r="O14" i="19" s="1"/>
  <c r="P14" i="19" s="1"/>
  <c r="Q14" i="19" s="1"/>
  <c r="R14" i="19" s="1"/>
  <c r="S14" i="19" s="1"/>
  <c r="T14" i="19" s="1"/>
  <c r="U14" i="19" s="1"/>
  <c r="V14" i="19" s="1"/>
  <c r="V25" i="1"/>
  <c r="V24" i="1"/>
  <c r="V23" i="1"/>
  <c r="V22" i="1"/>
  <c r="V21" i="1"/>
  <c r="W67" i="1"/>
  <c r="X54" i="19" l="1"/>
  <c r="K54" i="19"/>
  <c r="Y33" i="19"/>
  <c r="Y45" i="19" s="1"/>
  <c r="Z32" i="19"/>
  <c r="Z44" i="19" s="1"/>
  <c r="Y30" i="19"/>
  <c r="Y42" i="19" s="1"/>
  <c r="X30" i="19"/>
  <c r="X32" i="19"/>
  <c r="Y14" i="19"/>
  <c r="Z14" i="19" s="1"/>
  <c r="Y32" i="19"/>
  <c r="Y44" i="19" s="1"/>
  <c r="Y29" i="19"/>
  <c r="Y41" i="19" s="1"/>
  <c r="X31" i="19"/>
  <c r="X33" i="19"/>
  <c r="Y31" i="19"/>
  <c r="Y43" i="19" s="1"/>
  <c r="X44" i="19" l="1"/>
  <c r="X51" i="19" s="1"/>
  <c r="B7" i="19"/>
  <c r="D7" i="19" s="1"/>
  <c r="X45" i="19"/>
  <c r="X52" i="19" s="1"/>
  <c r="B8" i="19"/>
  <c r="X42" i="19"/>
  <c r="X49" i="19" s="1"/>
  <c r="B5" i="19"/>
  <c r="D5" i="19" s="1"/>
  <c r="X43" i="19"/>
  <c r="X50" i="19" s="1"/>
  <c r="B6" i="19"/>
  <c r="D6" i="19" s="1"/>
  <c r="Z30" i="19"/>
  <c r="Z42" i="19" s="1"/>
  <c r="Z29" i="19"/>
  <c r="Z41" i="19" s="1"/>
  <c r="Z31" i="19"/>
  <c r="Z43" i="19" s="1"/>
  <c r="Z33" i="19"/>
  <c r="Z45" i="19" s="1"/>
  <c r="D8" i="19"/>
  <c r="C9" i="19"/>
  <c r="D4" i="19"/>
  <c r="B9" i="19" l="1"/>
  <c r="D9" i="19"/>
  <c r="W55" i="11" l="1"/>
  <c r="V67" i="1" l="1"/>
  <c r="U67" i="1"/>
  <c r="T67" i="1"/>
  <c r="H54" i="19" l="1"/>
  <c r="T55" i="11"/>
  <c r="I54" i="19"/>
  <c r="U55" i="11"/>
  <c r="J54" i="19"/>
  <c r="V55" i="11"/>
  <c r="S67" i="1"/>
  <c r="R67" i="1"/>
  <c r="Q67" i="1"/>
  <c r="P67" i="1"/>
  <c r="O67" i="1"/>
  <c r="N67" i="1"/>
  <c r="M67" i="1"/>
  <c r="M55" i="11" s="1"/>
  <c r="K67" i="1"/>
  <c r="L67" i="1"/>
  <c r="L55" i="11" s="1"/>
  <c r="Q42" i="1"/>
  <c r="F54" i="19" l="1"/>
  <c r="R55" i="11"/>
  <c r="G54" i="19"/>
  <c r="S55" i="11"/>
  <c r="B54" i="19"/>
  <c r="N55" i="11"/>
  <c r="C54" i="19"/>
  <c r="O55" i="11"/>
  <c r="D54" i="19"/>
  <c r="P55" i="11"/>
  <c r="E54" i="19"/>
  <c r="Q55" i="11"/>
  <c r="G42" i="1"/>
  <c r="B58" i="19" l="1"/>
  <c r="C51" i="19" s="1"/>
  <c r="C58" i="19" s="1"/>
  <c r="D51" i="19" s="1"/>
  <c r="D58" i="19" s="1"/>
  <c r="E51" i="19" s="1"/>
  <c r="E58" i="19" s="1"/>
  <c r="F51" i="19" s="1"/>
  <c r="F58" i="19" s="1"/>
  <c r="G51" i="19" s="1"/>
  <c r="G58" i="19" s="1"/>
  <c r="H51" i="19" s="1"/>
  <c r="H58" i="19" s="1"/>
  <c r="I51" i="19" s="1"/>
  <c r="I58" i="19" s="1"/>
  <c r="J51" i="19" s="1"/>
  <c r="J58" i="19" s="1"/>
  <c r="K51" i="19" s="1"/>
  <c r="B56" i="19"/>
  <c r="C49" i="19" s="1"/>
  <c r="C56" i="19" s="1"/>
  <c r="D49" i="19" s="1"/>
  <c r="D56" i="19" s="1"/>
  <c r="E49" i="19" s="1"/>
  <c r="E56" i="19" s="1"/>
  <c r="F49" i="19" s="1"/>
  <c r="F56" i="19" s="1"/>
  <c r="G49" i="19" s="1"/>
  <c r="G56" i="19" s="1"/>
  <c r="H49" i="19" s="1"/>
  <c r="H56" i="19" s="1"/>
  <c r="I49" i="19" s="1"/>
  <c r="I56" i="19" s="1"/>
  <c r="J49" i="19" s="1"/>
  <c r="J56" i="19" s="1"/>
  <c r="K49" i="19" s="1"/>
  <c r="B55" i="19"/>
  <c r="B57" i="19"/>
  <c r="C50" i="19" s="1"/>
  <c r="C57" i="19" s="1"/>
  <c r="D50" i="19" s="1"/>
  <c r="D57" i="19" s="1"/>
  <c r="E50" i="19" s="1"/>
  <c r="E57" i="19" s="1"/>
  <c r="F50" i="19" s="1"/>
  <c r="F57" i="19" s="1"/>
  <c r="G50" i="19" s="1"/>
  <c r="G57" i="19" s="1"/>
  <c r="H50" i="19" s="1"/>
  <c r="H57" i="19" s="1"/>
  <c r="I50" i="19" s="1"/>
  <c r="I57" i="19" s="1"/>
  <c r="J50" i="19" s="1"/>
  <c r="J57" i="19" s="1"/>
  <c r="K50" i="19" s="1"/>
  <c r="B59" i="19"/>
  <c r="C52" i="19" s="1"/>
  <c r="C59" i="19" s="1"/>
  <c r="D52" i="19" s="1"/>
  <c r="B63" i="19" l="1"/>
  <c r="K57" i="19"/>
  <c r="X57" i="19" s="1"/>
  <c r="Y50" i="19" s="1"/>
  <c r="L50" i="19"/>
  <c r="K56" i="19"/>
  <c r="X56" i="19" s="1"/>
  <c r="K58" i="19"/>
  <c r="X58" i="19" s="1"/>
  <c r="Y51" i="19" s="1"/>
  <c r="L51" i="19"/>
  <c r="D59" i="19"/>
  <c r="E52" i="19" s="1"/>
  <c r="E59" i="19" s="1"/>
  <c r="F52" i="19" s="1"/>
  <c r="F59" i="19" s="1"/>
  <c r="G52" i="19" s="1"/>
  <c r="G59" i="19" s="1"/>
  <c r="H52" i="19" s="1"/>
  <c r="H59" i="19" s="1"/>
  <c r="I52" i="19" s="1"/>
  <c r="I59" i="19" s="1"/>
  <c r="J52" i="19" s="1"/>
  <c r="J59" i="19" s="1"/>
  <c r="K52" i="19" s="1"/>
  <c r="C48" i="19"/>
  <c r="B61" i="19"/>
  <c r="B60" i="19"/>
  <c r="Y49" i="19" l="1"/>
  <c r="L49" i="19"/>
  <c r="K59" i="19"/>
  <c r="X59" i="19" s="1"/>
  <c r="Y52" i="19" s="1"/>
  <c r="L52" i="19"/>
  <c r="L59" i="19" s="1"/>
  <c r="M52" i="19" s="1"/>
  <c r="L56" i="19"/>
  <c r="M49" i="19" s="1"/>
  <c r="L58" i="19"/>
  <c r="M51" i="19" s="1"/>
  <c r="L57" i="19"/>
  <c r="M50" i="19" s="1"/>
  <c r="M57" i="19" s="1"/>
  <c r="N50" i="19" s="1"/>
  <c r="N57" i="19" s="1"/>
  <c r="O50" i="19" s="1"/>
  <c r="C55" i="19"/>
  <c r="D48" i="19" s="1"/>
  <c r="X61" i="19" l="1"/>
  <c r="X63" i="19"/>
  <c r="X60" i="19" s="1"/>
  <c r="C63" i="19"/>
  <c r="M56" i="19"/>
  <c r="N49" i="19" s="1"/>
  <c r="M58" i="19"/>
  <c r="N51" i="19" s="1"/>
  <c r="N58" i="19" s="1"/>
  <c r="O51" i="19" s="1"/>
  <c r="O57" i="19"/>
  <c r="P50" i="19" s="1"/>
  <c r="P57" i="19" s="1"/>
  <c r="Q50" i="19" s="1"/>
  <c r="Q57" i="19" s="1"/>
  <c r="R50" i="19" s="1"/>
  <c r="M59" i="19"/>
  <c r="N52" i="19" s="1"/>
  <c r="D55" i="19"/>
  <c r="E48" i="19" s="1"/>
  <c r="C60" i="19"/>
  <c r="C61" i="19"/>
  <c r="D21" i="1"/>
  <c r="G31" i="13"/>
  <c r="F31" i="13"/>
  <c r="E31" i="13"/>
  <c r="D31" i="13"/>
  <c r="D25" i="1"/>
  <c r="E25" i="1"/>
  <c r="E58" i="1" s="1"/>
  <c r="F25" i="1"/>
  <c r="G25" i="1"/>
  <c r="H25" i="1"/>
  <c r="I25" i="1"/>
  <c r="J25" i="1"/>
  <c r="W25" i="1"/>
  <c r="AJ25" i="1"/>
  <c r="AK25" i="1"/>
  <c r="AL25" i="1"/>
  <c r="K25" i="1"/>
  <c r="L25" i="1"/>
  <c r="M25" i="1"/>
  <c r="N25" i="1"/>
  <c r="O25" i="1"/>
  <c r="P25" i="1"/>
  <c r="Q25" i="1"/>
  <c r="R25" i="1"/>
  <c r="S25" i="1"/>
  <c r="T25" i="1"/>
  <c r="U25" i="1"/>
  <c r="AJ39" i="1"/>
  <c r="AK39" i="1"/>
  <c r="AL39" i="1"/>
  <c r="B58" i="1"/>
  <c r="B65" i="1" s="1"/>
  <c r="C58" i="1"/>
  <c r="D67" i="1"/>
  <c r="D55" i="11" s="1"/>
  <c r="E67" i="1"/>
  <c r="E55" i="11" s="1"/>
  <c r="F46" i="1"/>
  <c r="F67" i="1"/>
  <c r="F55" i="11" s="1"/>
  <c r="G46" i="1"/>
  <c r="G67" i="1"/>
  <c r="H46" i="1"/>
  <c r="H58" i="1" s="1"/>
  <c r="H67" i="1"/>
  <c r="H55" i="11" s="1"/>
  <c r="I46" i="1"/>
  <c r="I67" i="1"/>
  <c r="I55" i="11" s="1"/>
  <c r="J46" i="1"/>
  <c r="J67" i="1"/>
  <c r="J55" i="11" s="1"/>
  <c r="K46" i="1"/>
  <c r="K58" i="1" s="1"/>
  <c r="L46" i="1"/>
  <c r="M46" i="1"/>
  <c r="N46" i="1"/>
  <c r="O46" i="1"/>
  <c r="O58" i="1" s="1"/>
  <c r="P46" i="1"/>
  <c r="Q46" i="1"/>
  <c r="R46" i="1"/>
  <c r="S46" i="1"/>
  <c r="T46" i="1"/>
  <c r="U46" i="1"/>
  <c r="V46" i="1"/>
  <c r="V58" i="1" s="1"/>
  <c r="W46" i="1"/>
  <c r="AJ37" i="1"/>
  <c r="AJ38" i="1"/>
  <c r="AK35" i="1"/>
  <c r="AK67" i="1"/>
  <c r="O54" i="20" s="1"/>
  <c r="AK36" i="1"/>
  <c r="AK37" i="1"/>
  <c r="AK38" i="1"/>
  <c r="AL36" i="1"/>
  <c r="AL37" i="1"/>
  <c r="AL38" i="1"/>
  <c r="AJ26" i="11"/>
  <c r="AJ33" i="11" s="1"/>
  <c r="AK26" i="11"/>
  <c r="AK33" i="11" s="1"/>
  <c r="AK46" i="11" s="1"/>
  <c r="AL26" i="11"/>
  <c r="AL33" i="11" s="1"/>
  <c r="AL46" i="11" s="1"/>
  <c r="B55" i="11"/>
  <c r="C55" i="11"/>
  <c r="G55" i="11"/>
  <c r="K55" i="11"/>
  <c r="D24" i="1"/>
  <c r="D57" i="1" s="1"/>
  <c r="E24" i="1"/>
  <c r="E57" i="1" s="1"/>
  <c r="F24" i="1"/>
  <c r="G24" i="1"/>
  <c r="H24" i="1"/>
  <c r="I24" i="1"/>
  <c r="J24" i="1"/>
  <c r="W24" i="1"/>
  <c r="AJ24" i="1"/>
  <c r="AK24" i="1"/>
  <c r="AL24" i="1"/>
  <c r="K24" i="1"/>
  <c r="L24" i="1"/>
  <c r="M24" i="1"/>
  <c r="N24" i="1"/>
  <c r="O24" i="1"/>
  <c r="P24" i="1"/>
  <c r="Q24" i="1"/>
  <c r="R24" i="1"/>
  <c r="S24" i="1"/>
  <c r="T24" i="1"/>
  <c r="U24" i="1"/>
  <c r="B57" i="1"/>
  <c r="B64" i="1" s="1"/>
  <c r="C57" i="1"/>
  <c r="F45" i="1"/>
  <c r="G45" i="1"/>
  <c r="G57" i="1" s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AJ25" i="11"/>
  <c r="AJ32" i="11" s="1"/>
  <c r="AK25" i="11"/>
  <c r="AK32" i="11" s="1"/>
  <c r="AK45" i="11" s="1"/>
  <c r="AL25" i="11"/>
  <c r="AL32" i="11" s="1"/>
  <c r="AL45" i="11" s="1"/>
  <c r="D23" i="1"/>
  <c r="E23" i="1"/>
  <c r="F23" i="1"/>
  <c r="G23" i="1"/>
  <c r="H23" i="1"/>
  <c r="I23" i="1"/>
  <c r="J23" i="1"/>
  <c r="W23" i="1"/>
  <c r="AJ23" i="1"/>
  <c r="AK23" i="1"/>
  <c r="AL23" i="1"/>
  <c r="K23" i="1"/>
  <c r="L23" i="1"/>
  <c r="M23" i="1"/>
  <c r="N23" i="1"/>
  <c r="O23" i="1"/>
  <c r="P23" i="1"/>
  <c r="Q23" i="1"/>
  <c r="R23" i="1"/>
  <c r="S23" i="1"/>
  <c r="T23" i="1"/>
  <c r="U23" i="1"/>
  <c r="B56" i="1"/>
  <c r="B63" i="1" s="1"/>
  <c r="C56" i="1"/>
  <c r="E56" i="1"/>
  <c r="F44" i="1"/>
  <c r="G44" i="1"/>
  <c r="G56" i="1" s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AJ24" i="11"/>
  <c r="AJ31" i="11" s="1"/>
  <c r="AK24" i="11"/>
  <c r="AK31" i="11" s="1"/>
  <c r="AK44" i="11" s="1"/>
  <c r="AL24" i="11"/>
  <c r="AL31" i="11" s="1"/>
  <c r="AL44" i="11" s="1"/>
  <c r="D22" i="1"/>
  <c r="D55" i="1" s="1"/>
  <c r="E22" i="1"/>
  <c r="E55" i="1" s="1"/>
  <c r="F22" i="1"/>
  <c r="F55" i="1" s="1"/>
  <c r="G22" i="1"/>
  <c r="H22" i="1"/>
  <c r="I22" i="1"/>
  <c r="J22" i="1"/>
  <c r="W22" i="1"/>
  <c r="AJ22" i="1"/>
  <c r="AK22" i="1"/>
  <c r="AL22" i="1"/>
  <c r="K22" i="1"/>
  <c r="L22" i="1"/>
  <c r="M22" i="1"/>
  <c r="N22" i="1"/>
  <c r="O22" i="1"/>
  <c r="P22" i="1"/>
  <c r="Q22" i="1"/>
  <c r="R22" i="1"/>
  <c r="S22" i="1"/>
  <c r="T22" i="1"/>
  <c r="U22" i="1"/>
  <c r="B55" i="1"/>
  <c r="B62" i="1" s="1"/>
  <c r="B69" i="1" s="1"/>
  <c r="C55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V55" i="1" s="1"/>
  <c r="W43" i="1"/>
  <c r="AJ23" i="11"/>
  <c r="AK23" i="11"/>
  <c r="AK30" i="11" s="1"/>
  <c r="AK43" i="11" s="1"/>
  <c r="AL23" i="11"/>
  <c r="AL30" i="11" s="1"/>
  <c r="AL43" i="11" s="1"/>
  <c r="E21" i="1"/>
  <c r="F21" i="1"/>
  <c r="F54" i="1" s="1"/>
  <c r="G21" i="1"/>
  <c r="G54" i="1" s="1"/>
  <c r="H21" i="1"/>
  <c r="I21" i="1"/>
  <c r="J21" i="1"/>
  <c r="K21" i="1"/>
  <c r="L21" i="1"/>
  <c r="M21" i="1"/>
  <c r="N21" i="1"/>
  <c r="O21" i="1"/>
  <c r="P21" i="1"/>
  <c r="Q21" i="1"/>
  <c r="Q54" i="1" s="1"/>
  <c r="R21" i="1"/>
  <c r="S21" i="1"/>
  <c r="T21" i="1"/>
  <c r="U21" i="1"/>
  <c r="W21" i="1"/>
  <c r="AK21" i="1"/>
  <c r="AL21" i="1"/>
  <c r="B54" i="1"/>
  <c r="B61" i="1" s="1"/>
  <c r="C54" i="1"/>
  <c r="H42" i="1"/>
  <c r="I42" i="1"/>
  <c r="J42" i="1"/>
  <c r="K42" i="1"/>
  <c r="K54" i="1" s="1"/>
  <c r="L42" i="1"/>
  <c r="M42" i="1"/>
  <c r="N42" i="1"/>
  <c r="O42" i="1"/>
  <c r="O54" i="1" s="1"/>
  <c r="P42" i="1"/>
  <c r="R42" i="1"/>
  <c r="S42" i="1"/>
  <c r="T42" i="1"/>
  <c r="U42" i="1"/>
  <c r="V42" i="1"/>
  <c r="W42" i="1"/>
  <c r="AK29" i="11"/>
  <c r="AL29" i="11"/>
  <c r="AL42" i="11" s="1"/>
  <c r="F31" i="17"/>
  <c r="I21" i="17"/>
  <c r="F21" i="17"/>
  <c r="E9" i="17"/>
  <c r="D9" i="17"/>
  <c r="C9" i="17"/>
  <c r="K8" i="17"/>
  <c r="O8" i="17" s="1"/>
  <c r="N8" i="17"/>
  <c r="D8" i="17"/>
  <c r="C8" i="17"/>
  <c r="N7" i="17"/>
  <c r="K7" i="17"/>
  <c r="O7" i="17" s="1"/>
  <c r="D7" i="17"/>
  <c r="C7" i="17"/>
  <c r="O6" i="17"/>
  <c r="K6" i="17"/>
  <c r="D6" i="17"/>
  <c r="C6" i="17"/>
  <c r="D5" i="17"/>
  <c r="C5" i="17"/>
  <c r="D4" i="17"/>
  <c r="C4" i="17"/>
  <c r="C9" i="5"/>
  <c r="D9" i="5"/>
  <c r="D20" i="5"/>
  <c r="D19" i="5"/>
  <c r="D18" i="5"/>
  <c r="D17" i="5"/>
  <c r="D16" i="5"/>
  <c r="G8" i="5"/>
  <c r="G7" i="5"/>
  <c r="G6" i="5"/>
  <c r="G5" i="5"/>
  <c r="G16" i="16"/>
  <c r="G15" i="16"/>
  <c r="G14" i="16"/>
  <c r="G13" i="16"/>
  <c r="F6" i="16"/>
  <c r="F20" i="16" s="1"/>
  <c r="B53" i="11"/>
  <c r="B52" i="11"/>
  <c r="B51" i="11"/>
  <c r="B50" i="11"/>
  <c r="B49" i="11"/>
  <c r="C14" i="11"/>
  <c r="D14" i="11" s="1"/>
  <c r="E14" i="11" s="1"/>
  <c r="F14" i="11" s="1"/>
  <c r="G14" i="11" s="1"/>
  <c r="H14" i="11" s="1"/>
  <c r="I14" i="11" s="1"/>
  <c r="J14" i="11" s="1"/>
  <c r="K14" i="11" s="1"/>
  <c r="D8" i="11"/>
  <c r="D7" i="11"/>
  <c r="D6" i="11"/>
  <c r="D5" i="11"/>
  <c r="B9" i="12"/>
  <c r="A35" i="1"/>
  <c r="A49" i="1" s="1"/>
  <c r="A39" i="1"/>
  <c r="A38" i="1"/>
  <c r="A37" i="1"/>
  <c r="A36" i="1"/>
  <c r="C14" i="1"/>
  <c r="D14" i="1" s="1"/>
  <c r="E14" i="1" s="1"/>
  <c r="F14" i="1" s="1"/>
  <c r="G14" i="1" s="1"/>
  <c r="H14" i="1" s="1"/>
  <c r="I14" i="1" s="1"/>
  <c r="J14" i="1" s="1"/>
  <c r="K14" i="1" s="1"/>
  <c r="D4" i="1"/>
  <c r="D5" i="1"/>
  <c r="D6" i="1"/>
  <c r="D7" i="1"/>
  <c r="D8" i="1"/>
  <c r="F15" i="4"/>
  <c r="F14" i="4"/>
  <c r="F13" i="4"/>
  <c r="F12" i="4"/>
  <c r="G11" i="4"/>
  <c r="F11" i="4"/>
  <c r="F9" i="4"/>
  <c r="B9" i="4"/>
  <c r="H8" i="4"/>
  <c r="H15" i="4" s="1"/>
  <c r="G8" i="4"/>
  <c r="G15" i="4" s="1"/>
  <c r="H7" i="4"/>
  <c r="I7" i="4" s="1"/>
  <c r="I14" i="4" s="1"/>
  <c r="G7" i="4"/>
  <c r="G14" i="4" s="1"/>
  <c r="H6" i="4"/>
  <c r="I6" i="4" s="1"/>
  <c r="I13" i="4" s="1"/>
  <c r="G6" i="4"/>
  <c r="G13" i="4" s="1"/>
  <c r="H5" i="4"/>
  <c r="I5" i="4" s="1"/>
  <c r="I12" i="4" s="1"/>
  <c r="G5" i="4"/>
  <c r="H4" i="4"/>
  <c r="E4" i="1" l="1"/>
  <c r="O58" i="20"/>
  <c r="O59" i="20"/>
  <c r="O55" i="20"/>
  <c r="P48" i="20" s="1"/>
  <c r="O56" i="20"/>
  <c r="O57" i="20"/>
  <c r="R57" i="19"/>
  <c r="S50" i="19" s="1"/>
  <c r="O58" i="19"/>
  <c r="P51" i="19" s="1"/>
  <c r="N56" i="19"/>
  <c r="O49" i="19" s="1"/>
  <c r="O56" i="19" s="1"/>
  <c r="P49" i="19" s="1"/>
  <c r="P56" i="19" s="1"/>
  <c r="Q49" i="19" s="1"/>
  <c r="N59" i="19"/>
  <c r="O52" i="19" s="1"/>
  <c r="O59" i="19" s="1"/>
  <c r="P52" i="19" s="1"/>
  <c r="I57" i="1"/>
  <c r="G55" i="1"/>
  <c r="F56" i="1"/>
  <c r="AJ30" i="11"/>
  <c r="C5" i="11" s="1"/>
  <c r="Q8" i="17"/>
  <c r="H12" i="4"/>
  <c r="H14" i="4"/>
  <c r="H9" i="4"/>
  <c r="G9" i="4"/>
  <c r="H11" i="4"/>
  <c r="H13" i="4"/>
  <c r="C6" i="4" s="1"/>
  <c r="C18" i="5" s="1"/>
  <c r="Q7" i="17"/>
  <c r="AJ46" i="11"/>
  <c r="AJ53" i="11" s="1"/>
  <c r="C8" i="11"/>
  <c r="AJ45" i="11"/>
  <c r="AJ52" i="11" s="1"/>
  <c r="C7" i="11"/>
  <c r="AJ44" i="11"/>
  <c r="AJ51" i="11" s="1"/>
  <c r="C6" i="11"/>
  <c r="AK42" i="11"/>
  <c r="E55" i="19"/>
  <c r="F48" i="19" s="1"/>
  <c r="R55" i="1"/>
  <c r="N55" i="1"/>
  <c r="D63" i="19"/>
  <c r="D60" i="19" s="1"/>
  <c r="D61" i="19"/>
  <c r="B58" i="11"/>
  <c r="C51" i="11" s="1"/>
  <c r="C58" i="11" s="1"/>
  <c r="D51" i="11" s="1"/>
  <c r="B60" i="11"/>
  <c r="AL67" i="1"/>
  <c r="P54" i="20" s="1"/>
  <c r="Y54" i="19"/>
  <c r="L14" i="1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B56" i="11"/>
  <c r="S58" i="1"/>
  <c r="C53" i="11"/>
  <c r="C60" i="11" s="1"/>
  <c r="D53" i="11" s="1"/>
  <c r="I56" i="1"/>
  <c r="H55" i="1"/>
  <c r="T56" i="1"/>
  <c r="P56" i="1"/>
  <c r="L56" i="1"/>
  <c r="T57" i="1"/>
  <c r="P57" i="1"/>
  <c r="L57" i="1"/>
  <c r="H57" i="1"/>
  <c r="G58" i="1"/>
  <c r="V56" i="1"/>
  <c r="N56" i="1"/>
  <c r="F57" i="1"/>
  <c r="J21" i="5"/>
  <c r="K57" i="1"/>
  <c r="S54" i="1"/>
  <c r="R57" i="1"/>
  <c r="N57" i="1"/>
  <c r="R58" i="1"/>
  <c r="N58" i="1"/>
  <c r="B57" i="11"/>
  <c r="C50" i="11" s="1"/>
  <c r="C57" i="11" s="1"/>
  <c r="B59" i="11"/>
  <c r="C52" i="11" s="1"/>
  <c r="C59" i="11" s="1"/>
  <c r="D52" i="11" s="1"/>
  <c r="J57" i="1"/>
  <c r="I58" i="1"/>
  <c r="I55" i="1"/>
  <c r="N54" i="1"/>
  <c r="H54" i="1"/>
  <c r="Q56" i="1"/>
  <c r="J56" i="1"/>
  <c r="V54" i="1"/>
  <c r="R54" i="1"/>
  <c r="J54" i="1"/>
  <c r="K55" i="1"/>
  <c r="S57" i="1"/>
  <c r="T55" i="1"/>
  <c r="P55" i="1"/>
  <c r="L55" i="1"/>
  <c r="O55" i="1"/>
  <c r="L58" i="1"/>
  <c r="K56" i="1"/>
  <c r="H56" i="1"/>
  <c r="P54" i="1"/>
  <c r="L54" i="1"/>
  <c r="M54" i="1"/>
  <c r="I54" i="1"/>
  <c r="C62" i="1"/>
  <c r="C69" i="1" s="1"/>
  <c r="D62" i="1" s="1"/>
  <c r="J55" i="1"/>
  <c r="AK42" i="1"/>
  <c r="AK54" i="1" s="1"/>
  <c r="D9" i="1"/>
  <c r="S55" i="1"/>
  <c r="U56" i="1"/>
  <c r="R56" i="1"/>
  <c r="T58" i="1"/>
  <c r="P58" i="1"/>
  <c r="M56" i="1"/>
  <c r="V57" i="1"/>
  <c r="AJ46" i="1"/>
  <c r="W58" i="1"/>
  <c r="W56" i="1"/>
  <c r="W55" i="1"/>
  <c r="W57" i="1"/>
  <c r="Q58" i="1"/>
  <c r="T54" i="1"/>
  <c r="O57" i="1"/>
  <c r="U55" i="1"/>
  <c r="Q55" i="1"/>
  <c r="M55" i="1"/>
  <c r="S56" i="1"/>
  <c r="O56" i="1"/>
  <c r="U58" i="1"/>
  <c r="M58" i="1"/>
  <c r="U57" i="1"/>
  <c r="Q57" i="1"/>
  <c r="M57" i="1"/>
  <c r="W54" i="1"/>
  <c r="E7" i="1"/>
  <c r="E8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C7" i="4"/>
  <c r="C19" i="5" s="1"/>
  <c r="I4" i="4"/>
  <c r="I8" i="4"/>
  <c r="I15" i="4" s="1"/>
  <c r="C8" i="4" s="1"/>
  <c r="C20" i="5" s="1"/>
  <c r="G12" i="4"/>
  <c r="C5" i="4" s="1"/>
  <c r="C17" i="5" s="1"/>
  <c r="G4" i="5"/>
  <c r="D9" i="11"/>
  <c r="E6" i="1"/>
  <c r="D56" i="1"/>
  <c r="G17" i="16"/>
  <c r="B70" i="1"/>
  <c r="C63" i="1" s="1"/>
  <c r="B71" i="1"/>
  <c r="C64" i="1" s="1"/>
  <c r="G6" i="16"/>
  <c r="G22" i="16" s="1"/>
  <c r="U54" i="1"/>
  <c r="E54" i="1"/>
  <c r="AK46" i="1"/>
  <c r="AK58" i="1" s="1"/>
  <c r="B72" i="1"/>
  <c r="C65" i="1" s="1"/>
  <c r="H31" i="13"/>
  <c r="H6" i="16"/>
  <c r="K5" i="17"/>
  <c r="O5" i="17" s="1"/>
  <c r="E5" i="1"/>
  <c r="AJ42" i="1"/>
  <c r="AJ45" i="1"/>
  <c r="AJ43" i="1"/>
  <c r="AJ44" i="1"/>
  <c r="J58" i="1"/>
  <c r="AK44" i="1"/>
  <c r="AK56" i="1" s="1"/>
  <c r="AK45" i="1"/>
  <c r="AK57" i="1" s="1"/>
  <c r="AK43" i="1"/>
  <c r="AK55" i="1" s="1"/>
  <c r="B68" i="1"/>
  <c r="AL35" i="1"/>
  <c r="F58" i="1"/>
  <c r="D58" i="1"/>
  <c r="AK55" i="11"/>
  <c r="AJ57" i="1" l="1"/>
  <c r="C7" i="1"/>
  <c r="AJ54" i="1"/>
  <c r="C4" i="1"/>
  <c r="F4" i="1" s="1"/>
  <c r="AJ56" i="1"/>
  <c r="C6" i="1"/>
  <c r="AJ58" i="1"/>
  <c r="C8" i="1"/>
  <c r="AJ55" i="1"/>
  <c r="C5" i="1"/>
  <c r="P49" i="20"/>
  <c r="P56" i="20" s="1"/>
  <c r="E5" i="20" s="1"/>
  <c r="F5" i="20" s="1"/>
  <c r="F27" i="5" s="1"/>
  <c r="P52" i="20"/>
  <c r="P59" i="20" s="1"/>
  <c r="E8" i="20" s="1"/>
  <c r="F8" i="20" s="1"/>
  <c r="F30" i="5" s="1"/>
  <c r="P51" i="20"/>
  <c r="P58" i="20" s="1"/>
  <c r="E7" i="20" s="1"/>
  <c r="F7" i="20" s="1"/>
  <c r="F29" i="5" s="1"/>
  <c r="G24" i="16"/>
  <c r="P55" i="20"/>
  <c r="O63" i="20"/>
  <c r="O60" i="20" s="1"/>
  <c r="O61" i="20"/>
  <c r="P50" i="20"/>
  <c r="P57" i="20" s="1"/>
  <c r="E6" i="20" s="1"/>
  <c r="F6" i="20" s="1"/>
  <c r="F28" i="5" s="1"/>
  <c r="Q56" i="19"/>
  <c r="R49" i="19" s="1"/>
  <c r="P58" i="19"/>
  <c r="Q51" i="19" s="1"/>
  <c r="Q58" i="19" s="1"/>
  <c r="R51" i="19" s="1"/>
  <c r="R58" i="19" s="1"/>
  <c r="S51" i="19" s="1"/>
  <c r="P59" i="19"/>
  <c r="Q52" i="19" s="1"/>
  <c r="S57" i="19"/>
  <c r="T50" i="19" s="1"/>
  <c r="T57" i="19" s="1"/>
  <c r="U50" i="19" s="1"/>
  <c r="U57" i="19" s="1"/>
  <c r="V50" i="19" s="1"/>
  <c r="AK14" i="11"/>
  <c r="AL14" i="11" s="1"/>
  <c r="X14" i="11"/>
  <c r="Y14" i="11" s="1"/>
  <c r="Z14" i="11" s="1"/>
  <c r="AA14" i="11" s="1"/>
  <c r="AB14" i="11" s="1"/>
  <c r="AC14" i="11" s="1"/>
  <c r="AD14" i="11" s="1"/>
  <c r="AE14" i="11" s="1"/>
  <c r="AF14" i="11" s="1"/>
  <c r="AG14" i="11" s="1"/>
  <c r="AH14" i="11" s="1"/>
  <c r="AJ43" i="11"/>
  <c r="AJ50" i="11" s="1"/>
  <c r="X14" i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B12" i="10"/>
  <c r="D12" i="10" s="1"/>
  <c r="B10" i="10"/>
  <c r="D10" i="10" s="1"/>
  <c r="B11" i="10"/>
  <c r="D11" i="10" s="1"/>
  <c r="B9" i="10"/>
  <c r="B13" i="10"/>
  <c r="D13" i="10" s="1"/>
  <c r="F55" i="19"/>
  <c r="G48" i="19" s="1"/>
  <c r="E63" i="19"/>
  <c r="E60" i="19" s="1"/>
  <c r="E61" i="19"/>
  <c r="C49" i="11"/>
  <c r="C56" i="11" s="1"/>
  <c r="C62" i="11" s="1"/>
  <c r="B64" i="11"/>
  <c r="B61" i="11" s="1"/>
  <c r="Y56" i="19"/>
  <c r="Z49" i="19" s="1"/>
  <c r="Y58" i="19"/>
  <c r="Z51" i="19" s="1"/>
  <c r="Y57" i="19"/>
  <c r="Z50" i="19" s="1"/>
  <c r="Y59" i="19"/>
  <c r="Z52" i="19" s="1"/>
  <c r="AL55" i="11"/>
  <c r="Z54" i="19"/>
  <c r="C61" i="1"/>
  <c r="B76" i="1"/>
  <c r="B73" i="1" s="1"/>
  <c r="D50" i="11"/>
  <c r="D57" i="11" s="1"/>
  <c r="E50" i="11" s="1"/>
  <c r="B62" i="11"/>
  <c r="D69" i="1"/>
  <c r="E62" i="1" s="1"/>
  <c r="C68" i="1"/>
  <c r="D61" i="1" s="1"/>
  <c r="C70" i="1"/>
  <c r="D63" i="1" s="1"/>
  <c r="K4" i="17"/>
  <c r="O4" i="17" s="1"/>
  <c r="B74" i="1"/>
  <c r="C72" i="1"/>
  <c r="D65" i="1" s="1"/>
  <c r="H23" i="16"/>
  <c r="I9" i="4"/>
  <c r="I11" i="4"/>
  <c r="C4" i="4" s="1"/>
  <c r="E9" i="1"/>
  <c r="H21" i="16"/>
  <c r="C71" i="1"/>
  <c r="D64" i="1" s="1"/>
  <c r="C9" i="11"/>
  <c r="N6" i="17"/>
  <c r="Q6" i="17" s="1"/>
  <c r="AL42" i="1"/>
  <c r="AL54" i="1" s="1"/>
  <c r="AL43" i="1"/>
  <c r="AL55" i="1" s="1"/>
  <c r="AL44" i="1"/>
  <c r="AL56" i="1" s="1"/>
  <c r="AL46" i="1"/>
  <c r="AL58" i="1" s="1"/>
  <c r="N5" i="17"/>
  <c r="Q5" i="17" s="1"/>
  <c r="G21" i="16"/>
  <c r="G23" i="16"/>
  <c r="AL45" i="1"/>
  <c r="AL57" i="1" s="1"/>
  <c r="D59" i="11"/>
  <c r="D58" i="11"/>
  <c r="D60" i="11"/>
  <c r="C9" i="1" l="1"/>
  <c r="P63" i="20"/>
  <c r="P60" i="20" s="1"/>
  <c r="E4" i="20"/>
  <c r="E9" i="20"/>
  <c r="E10" i="20" s="1"/>
  <c r="C14" i="16"/>
  <c r="E19" i="17" s="1"/>
  <c r="P61" i="20"/>
  <c r="V57" i="19"/>
  <c r="W50" i="19" s="1"/>
  <c r="W57" i="19" s="1"/>
  <c r="S58" i="19"/>
  <c r="T51" i="19" s="1"/>
  <c r="Q59" i="19"/>
  <c r="R52" i="19" s="1"/>
  <c r="R59" i="19" s="1"/>
  <c r="S52" i="19" s="1"/>
  <c r="S59" i="19" s="1"/>
  <c r="T52" i="19" s="1"/>
  <c r="R56" i="19"/>
  <c r="S49" i="19" s="1"/>
  <c r="S56" i="19" s="1"/>
  <c r="T49" i="19" s="1"/>
  <c r="T56" i="19" s="1"/>
  <c r="U49" i="19" s="1"/>
  <c r="D9" i="10"/>
  <c r="B14" i="10"/>
  <c r="C12" i="16"/>
  <c r="H20" i="16"/>
  <c r="C11" i="16" s="1"/>
  <c r="H24" i="16"/>
  <c r="C15" i="16" s="1"/>
  <c r="E20" i="17" s="1"/>
  <c r="H22" i="16"/>
  <c r="C13" i="16" s="1"/>
  <c r="E18" i="17" s="1"/>
  <c r="D49" i="11"/>
  <c r="D56" i="11" s="1"/>
  <c r="E49" i="11" s="1"/>
  <c r="E56" i="11" s="1"/>
  <c r="F49" i="11" s="1"/>
  <c r="G55" i="19"/>
  <c r="H48" i="19" s="1"/>
  <c r="Z59" i="19"/>
  <c r="Z58" i="19"/>
  <c r="F63" i="19"/>
  <c r="G63" i="19" s="1"/>
  <c r="F61" i="19"/>
  <c r="Z57" i="19"/>
  <c r="E6" i="19" s="1"/>
  <c r="F6" i="19" s="1"/>
  <c r="E28" i="17" s="1"/>
  <c r="F28" i="17" s="1"/>
  <c r="Z56" i="19"/>
  <c r="C64" i="11"/>
  <c r="C61" i="11" s="1"/>
  <c r="N4" i="17"/>
  <c r="Q4" i="17" s="1"/>
  <c r="D71" i="1"/>
  <c r="E64" i="1" s="1"/>
  <c r="C76" i="1"/>
  <c r="D68" i="1"/>
  <c r="E61" i="1" s="1"/>
  <c r="E68" i="1" s="1"/>
  <c r="E69" i="1"/>
  <c r="F62" i="1" s="1"/>
  <c r="F19" i="17"/>
  <c r="F18" i="17"/>
  <c r="C16" i="5"/>
  <c r="C9" i="4"/>
  <c r="C10" i="4" s="1"/>
  <c r="C74" i="1"/>
  <c r="D72" i="1"/>
  <c r="E65" i="1" s="1"/>
  <c r="D70" i="1"/>
  <c r="E63" i="1" s="1"/>
  <c r="E52" i="11"/>
  <c r="E57" i="11"/>
  <c r="F50" i="11" s="1"/>
  <c r="E53" i="11"/>
  <c r="E51" i="11"/>
  <c r="L6" i="17" l="1"/>
  <c r="F20" i="17"/>
  <c r="F4" i="20"/>
  <c r="F9" i="20" s="1"/>
  <c r="E17" i="17"/>
  <c r="C16" i="16"/>
  <c r="C17" i="16" s="1"/>
  <c r="U56" i="19"/>
  <c r="V49" i="19" s="1"/>
  <c r="T59" i="19"/>
  <c r="U52" i="19" s="1"/>
  <c r="U59" i="19" s="1"/>
  <c r="T58" i="19"/>
  <c r="F60" i="19"/>
  <c r="D62" i="11"/>
  <c r="P6" i="17"/>
  <c r="F7" i="13" s="1"/>
  <c r="F28" i="13" s="1"/>
  <c r="D14" i="10"/>
  <c r="E9" i="10" s="1"/>
  <c r="E6" i="17"/>
  <c r="H6" i="17" s="1"/>
  <c r="E16" i="17"/>
  <c r="H55" i="19"/>
  <c r="I48" i="19" s="1"/>
  <c r="G61" i="19"/>
  <c r="G60" i="19"/>
  <c r="D64" i="11"/>
  <c r="D61" i="11" s="1"/>
  <c r="E70" i="1"/>
  <c r="F63" i="1" s="1"/>
  <c r="E72" i="1"/>
  <c r="F65" i="1" s="1"/>
  <c r="F72" i="1" s="1"/>
  <c r="G65" i="1" s="1"/>
  <c r="F69" i="1"/>
  <c r="G62" i="1" s="1"/>
  <c r="D76" i="1"/>
  <c r="C73" i="1"/>
  <c r="E71" i="1"/>
  <c r="F64" i="1" s="1"/>
  <c r="E60" i="11"/>
  <c r="F53" i="11" s="1"/>
  <c r="F57" i="11"/>
  <c r="G50" i="11" s="1"/>
  <c r="E58" i="11"/>
  <c r="F51" i="11" s="1"/>
  <c r="E59" i="11"/>
  <c r="F52" i="11" s="1"/>
  <c r="F56" i="11"/>
  <c r="G49" i="11" s="1"/>
  <c r="F26" i="5" l="1"/>
  <c r="F16" i="17"/>
  <c r="F17" i="17"/>
  <c r="F9" i="10"/>
  <c r="G9" i="10" s="1"/>
  <c r="V56" i="19"/>
  <c r="W49" i="19" s="1"/>
  <c r="W56" i="19" s="1"/>
  <c r="V52" i="19"/>
  <c r="U51" i="19"/>
  <c r="I18" i="17"/>
  <c r="M6" i="17"/>
  <c r="E13" i="10"/>
  <c r="E11" i="10"/>
  <c r="E12" i="10"/>
  <c r="E10" i="10"/>
  <c r="I55" i="19"/>
  <c r="J48" i="19" s="1"/>
  <c r="H63" i="19"/>
  <c r="H60" i="19" s="1"/>
  <c r="H61" i="19"/>
  <c r="E74" i="1"/>
  <c r="G69" i="1"/>
  <c r="H62" i="1" s="1"/>
  <c r="H69" i="1" s="1"/>
  <c r="I62" i="1" s="1"/>
  <c r="G72" i="1"/>
  <c r="H65" i="1" s="1"/>
  <c r="H72" i="1" s="1"/>
  <c r="I65" i="1" s="1"/>
  <c r="I72" i="1" s="1"/>
  <c r="J65" i="1" s="1"/>
  <c r="J72" i="1" s="1"/>
  <c r="K65" i="1" s="1"/>
  <c r="F61" i="1"/>
  <c r="F71" i="1"/>
  <c r="G64" i="1" s="1"/>
  <c r="G71" i="1" s="1"/>
  <c r="H64" i="1" s="1"/>
  <c r="E76" i="1"/>
  <c r="D73" i="1"/>
  <c r="F70" i="1"/>
  <c r="G63" i="1" s="1"/>
  <c r="E62" i="11"/>
  <c r="G57" i="11"/>
  <c r="H50" i="11" s="1"/>
  <c r="F58" i="11"/>
  <c r="G51" i="11" s="1"/>
  <c r="F59" i="11"/>
  <c r="E64" i="11"/>
  <c r="F60" i="11"/>
  <c r="G53" i="11" s="1"/>
  <c r="G56" i="11"/>
  <c r="F16" i="5" l="1"/>
  <c r="F4" i="5" s="1"/>
  <c r="V59" i="19"/>
  <c r="W52" i="19" s="1"/>
  <c r="W59" i="19" s="1"/>
  <c r="E5" i="19"/>
  <c r="F5" i="19" s="1"/>
  <c r="E27" i="17" s="1"/>
  <c r="L5" i="17" s="1"/>
  <c r="U58" i="19"/>
  <c r="F10" i="10"/>
  <c r="G10" i="10" s="1"/>
  <c r="F17" i="5" s="1"/>
  <c r="F12" i="10"/>
  <c r="G12" i="10" s="1"/>
  <c r="F19" i="5" s="1"/>
  <c r="F11" i="10"/>
  <c r="G11" i="10" s="1"/>
  <c r="F18" i="5" s="1"/>
  <c r="F13" i="10"/>
  <c r="G13" i="10" s="1"/>
  <c r="F20" i="5" s="1"/>
  <c r="E14" i="10"/>
  <c r="I61" i="19"/>
  <c r="I63" i="19"/>
  <c r="I60" i="19" s="1"/>
  <c r="J55" i="19"/>
  <c r="K48" i="19" s="1"/>
  <c r="H71" i="1"/>
  <c r="I64" i="1" s="1"/>
  <c r="I71" i="1" s="1"/>
  <c r="G70" i="1"/>
  <c r="H63" i="1" s="1"/>
  <c r="H70" i="1" s="1"/>
  <c r="F68" i="1"/>
  <c r="F74" i="1" s="1"/>
  <c r="E73" i="1"/>
  <c r="F62" i="11"/>
  <c r="K72" i="1"/>
  <c r="L65" i="1" s="1"/>
  <c r="E61" i="11"/>
  <c r="F64" i="11"/>
  <c r="I69" i="1"/>
  <c r="J62" i="1" s="1"/>
  <c r="G58" i="11"/>
  <c r="H51" i="11" s="1"/>
  <c r="H57" i="11"/>
  <c r="I50" i="11" s="1"/>
  <c r="G52" i="11"/>
  <c r="H49" i="11"/>
  <c r="G60" i="11"/>
  <c r="H53" i="11" s="1"/>
  <c r="S4" i="5" l="1"/>
  <c r="M4" i="5"/>
  <c r="G20" i="5"/>
  <c r="K30" i="5" s="1"/>
  <c r="F8" i="5"/>
  <c r="G18" i="5"/>
  <c r="K28" i="5" s="1"/>
  <c r="F6" i="5"/>
  <c r="G19" i="5"/>
  <c r="K29" i="5" s="1"/>
  <c r="F7" i="5"/>
  <c r="G17" i="5"/>
  <c r="K27" i="5" s="1"/>
  <c r="F5" i="5"/>
  <c r="G16" i="5"/>
  <c r="K26" i="5" s="1"/>
  <c r="F27" i="17"/>
  <c r="E5" i="17"/>
  <c r="E8" i="19"/>
  <c r="F8" i="19" s="1"/>
  <c r="E30" i="17" s="1"/>
  <c r="L8" i="17" s="1"/>
  <c r="K55" i="19"/>
  <c r="L48" i="19" s="1"/>
  <c r="V51" i="19"/>
  <c r="F14" i="10"/>
  <c r="K61" i="19"/>
  <c r="J61" i="19"/>
  <c r="J63" i="19"/>
  <c r="K63" i="19" s="1"/>
  <c r="K60" i="19" s="1"/>
  <c r="G61" i="1"/>
  <c r="G68" i="1" s="1"/>
  <c r="G74" i="1" s="1"/>
  <c r="I63" i="1"/>
  <c r="I70" i="1" s="1"/>
  <c r="J63" i="1" s="1"/>
  <c r="J64" i="1"/>
  <c r="J71" i="1" s="1"/>
  <c r="K64" i="1" s="1"/>
  <c r="F76" i="1"/>
  <c r="J69" i="1"/>
  <c r="K62" i="1" s="1"/>
  <c r="L72" i="1"/>
  <c r="M65" i="1" s="1"/>
  <c r="H60" i="11"/>
  <c r="I53" i="11" s="1"/>
  <c r="G59" i="11"/>
  <c r="G62" i="11" s="1"/>
  <c r="H58" i="11"/>
  <c r="I51" i="11" s="1"/>
  <c r="F61" i="11"/>
  <c r="H56" i="11"/>
  <c r="I49" i="11" s="1"/>
  <c r="I57" i="11"/>
  <c r="J50" i="11" s="1"/>
  <c r="S5" i="5" l="1"/>
  <c r="M5" i="5"/>
  <c r="S7" i="5"/>
  <c r="M7" i="5"/>
  <c r="S8" i="5"/>
  <c r="M8" i="5"/>
  <c r="S6" i="5"/>
  <c r="M6" i="5"/>
  <c r="K32" i="5"/>
  <c r="F30" i="17"/>
  <c r="P8" i="17"/>
  <c r="F9" i="13" s="1"/>
  <c r="F30" i="13" s="1"/>
  <c r="E8" i="17"/>
  <c r="H5" i="17"/>
  <c r="M5" i="17" s="1"/>
  <c r="I17" i="17"/>
  <c r="V58" i="19"/>
  <c r="W51" i="19" s="1"/>
  <c r="W58" i="19" s="1"/>
  <c r="P5" i="17"/>
  <c r="F6" i="13" s="1"/>
  <c r="F27" i="13" s="1"/>
  <c r="L55" i="19"/>
  <c r="M48" i="19" s="1"/>
  <c r="G17" i="13"/>
  <c r="G28" i="13" s="1"/>
  <c r="G18" i="13"/>
  <c r="G29" i="13" s="1"/>
  <c r="G15" i="13"/>
  <c r="G26" i="13" s="1"/>
  <c r="G14" i="10"/>
  <c r="G19" i="13"/>
  <c r="G30" i="13" s="1"/>
  <c r="J60" i="19"/>
  <c r="Y48" i="19"/>
  <c r="G64" i="11"/>
  <c r="G61" i="11" s="1"/>
  <c r="H61" i="1"/>
  <c r="F73" i="1"/>
  <c r="G76" i="1"/>
  <c r="H52" i="11"/>
  <c r="H59" i="11" s="1"/>
  <c r="K71" i="1"/>
  <c r="L64" i="1" s="1"/>
  <c r="I60" i="11"/>
  <c r="J53" i="11" s="1"/>
  <c r="K69" i="1"/>
  <c r="L62" i="1" s="1"/>
  <c r="I56" i="11"/>
  <c r="J49" i="11" s="1"/>
  <c r="M72" i="1"/>
  <c r="N65" i="1" s="1"/>
  <c r="J70" i="1"/>
  <c r="I58" i="11"/>
  <c r="J51" i="11" s="1"/>
  <c r="J57" i="11"/>
  <c r="K50" i="11" s="1"/>
  <c r="H8" i="17" l="1"/>
  <c r="M8" i="17" s="1"/>
  <c r="I20" i="17"/>
  <c r="E7" i="19"/>
  <c r="F7" i="19" s="1"/>
  <c r="E29" i="17" s="1"/>
  <c r="L7" i="17" s="1"/>
  <c r="M55" i="19"/>
  <c r="N48" i="19" s="1"/>
  <c r="L63" i="19"/>
  <c r="L60" i="19" s="1"/>
  <c r="L61" i="19"/>
  <c r="G16" i="13"/>
  <c r="G27" i="13" s="1"/>
  <c r="Y55" i="19"/>
  <c r="Z48" i="19" s="1"/>
  <c r="Z55" i="19" s="1"/>
  <c r="H64" i="11"/>
  <c r="H61" i="11" s="1"/>
  <c r="G73" i="1"/>
  <c r="H68" i="1"/>
  <c r="I52" i="11"/>
  <c r="I59" i="11" s="1"/>
  <c r="J52" i="11" s="1"/>
  <c r="H62" i="11"/>
  <c r="J58" i="11"/>
  <c r="K51" i="11" s="1"/>
  <c r="J56" i="11"/>
  <c r="K49" i="11" s="1"/>
  <c r="J60" i="11"/>
  <c r="K53" i="11" s="1"/>
  <c r="K63" i="1"/>
  <c r="N72" i="1"/>
  <c r="L69" i="1"/>
  <c r="M62" i="1" s="1"/>
  <c r="L71" i="1"/>
  <c r="M64" i="1" s="1"/>
  <c r="K57" i="11"/>
  <c r="F29" i="17" l="1"/>
  <c r="E7" i="17"/>
  <c r="P7" i="17"/>
  <c r="F8" i="13" s="1"/>
  <c r="F29" i="13" s="1"/>
  <c r="N55" i="19"/>
  <c r="O48" i="19" s="1"/>
  <c r="M61" i="19"/>
  <c r="M63" i="19"/>
  <c r="M60" i="19" s="1"/>
  <c r="Z61" i="19"/>
  <c r="Y63" i="19"/>
  <c r="Y60" i="19" s="1"/>
  <c r="Y61" i="19"/>
  <c r="L50" i="11"/>
  <c r="L57" i="11" s="1"/>
  <c r="M50" i="11" s="1"/>
  <c r="H74" i="1"/>
  <c r="I61" i="1"/>
  <c r="I68" i="1" s="1"/>
  <c r="H76" i="1"/>
  <c r="H73" i="1" s="1"/>
  <c r="M69" i="1"/>
  <c r="N62" i="1" s="1"/>
  <c r="J59" i="11"/>
  <c r="K52" i="11" s="1"/>
  <c r="I64" i="11"/>
  <c r="K56" i="11"/>
  <c r="L49" i="11" s="1"/>
  <c r="K70" i="1"/>
  <c r="I62" i="11"/>
  <c r="K58" i="11"/>
  <c r="M71" i="1"/>
  <c r="N64" i="1" s="1"/>
  <c r="K60" i="11"/>
  <c r="H7" i="17" l="1"/>
  <c r="M7" i="17" s="1"/>
  <c r="I19" i="17"/>
  <c r="O55" i="19"/>
  <c r="P48" i="19" s="1"/>
  <c r="N61" i="19"/>
  <c r="N63" i="19"/>
  <c r="N60" i="19" s="1"/>
  <c r="Z63" i="19"/>
  <c r="Z60" i="19" s="1"/>
  <c r="L53" i="11"/>
  <c r="L60" i="11" s="1"/>
  <c r="M53" i="11" s="1"/>
  <c r="M60" i="11" s="1"/>
  <c r="N53" i="11" s="1"/>
  <c r="L56" i="11"/>
  <c r="M49" i="11" s="1"/>
  <c r="M57" i="11"/>
  <c r="N50" i="11" s="1"/>
  <c r="L51" i="11"/>
  <c r="L58" i="11" s="1"/>
  <c r="M51" i="11" s="1"/>
  <c r="I76" i="1"/>
  <c r="J61" i="1"/>
  <c r="J68" i="1" s="1"/>
  <c r="I74" i="1"/>
  <c r="J62" i="11"/>
  <c r="N71" i="1"/>
  <c r="N69" i="1"/>
  <c r="K59" i="11"/>
  <c r="L63" i="1"/>
  <c r="I61" i="11"/>
  <c r="J64" i="11"/>
  <c r="P55" i="19" l="1"/>
  <c r="O61" i="19"/>
  <c r="O63" i="19"/>
  <c r="O60" i="19" s="1"/>
  <c r="N57" i="11"/>
  <c r="N60" i="11"/>
  <c r="M58" i="11"/>
  <c r="N51" i="11" s="1"/>
  <c r="M56" i="11"/>
  <c r="N49" i="11" s="1"/>
  <c r="L52" i="11"/>
  <c r="L59" i="11" s="1"/>
  <c r="M52" i="11" s="1"/>
  <c r="M59" i="11" s="1"/>
  <c r="N52" i="11" s="1"/>
  <c r="I73" i="1"/>
  <c r="J76" i="1"/>
  <c r="K61" i="1"/>
  <c r="K68" i="1" s="1"/>
  <c r="K74" i="1" s="1"/>
  <c r="J74" i="1"/>
  <c r="K62" i="11"/>
  <c r="L70" i="1"/>
  <c r="J61" i="11"/>
  <c r="K64" i="11"/>
  <c r="P61" i="19" l="1"/>
  <c r="P63" i="19"/>
  <c r="P60" i="19" s="1"/>
  <c r="Q48" i="19"/>
  <c r="L62" i="11"/>
  <c r="L64" i="11"/>
  <c r="L61" i="11" s="1"/>
  <c r="N56" i="11"/>
  <c r="N58" i="11"/>
  <c r="N59" i="11"/>
  <c r="M62" i="11"/>
  <c r="J73" i="1"/>
  <c r="K61" i="11"/>
  <c r="M63" i="1"/>
  <c r="Q55" i="19" l="1"/>
  <c r="R48" i="19" s="1"/>
  <c r="M64" i="11"/>
  <c r="M61" i="11" s="1"/>
  <c r="N62" i="11"/>
  <c r="L61" i="1"/>
  <c r="L68" i="1" s="1"/>
  <c r="M61" i="1" s="1"/>
  <c r="K76" i="1"/>
  <c r="K73" i="1" s="1"/>
  <c r="M70" i="1"/>
  <c r="R55" i="19" l="1"/>
  <c r="Q61" i="19"/>
  <c r="Q63" i="19"/>
  <c r="Q60" i="19" s="1"/>
  <c r="M68" i="1"/>
  <c r="N61" i="1" s="1"/>
  <c r="N64" i="11"/>
  <c r="N61" i="11" s="1"/>
  <c r="L74" i="1"/>
  <c r="L76" i="1"/>
  <c r="L73" i="1" s="1"/>
  <c r="N63" i="1"/>
  <c r="M74" i="1" l="1"/>
  <c r="R61" i="19"/>
  <c r="R63" i="19"/>
  <c r="R60" i="19" s="1"/>
  <c r="S48" i="19"/>
  <c r="N68" i="1"/>
  <c r="M76" i="1"/>
  <c r="N70" i="1"/>
  <c r="S55" i="19" l="1"/>
  <c r="T48" i="19" s="1"/>
  <c r="M73" i="1"/>
  <c r="N76" i="1"/>
  <c r="N74" i="1"/>
  <c r="T55" i="19" l="1"/>
  <c r="U48" i="19" s="1"/>
  <c r="S61" i="19"/>
  <c r="S63" i="19"/>
  <c r="S60" i="19" s="1"/>
  <c r="N73" i="1"/>
  <c r="U55" i="19" l="1"/>
  <c r="V48" i="19" s="1"/>
  <c r="T61" i="19"/>
  <c r="T63" i="19"/>
  <c r="T60" i="19" s="1"/>
  <c r="V55" i="19" l="1"/>
  <c r="V61" i="19" s="1"/>
  <c r="W48" i="19"/>
  <c r="E4" i="19" s="1"/>
  <c r="U61" i="19"/>
  <c r="U63" i="19"/>
  <c r="U60" i="19" s="1"/>
  <c r="W61" i="19" l="1"/>
  <c r="V63" i="19"/>
  <c r="V60" i="19" s="1"/>
  <c r="E9" i="19"/>
  <c r="E10" i="19" s="1"/>
  <c r="F4" i="19"/>
  <c r="W63" i="19" l="1"/>
  <c r="W60" i="19" s="1"/>
  <c r="E26" i="17"/>
  <c r="L4" i="17" s="1"/>
  <c r="P4" i="17" s="1"/>
  <c r="F9" i="19"/>
  <c r="F26" i="17" l="1"/>
  <c r="E4" i="17"/>
  <c r="I16" i="17" s="1"/>
  <c r="F5" i="13" l="1"/>
  <c r="F26" i="13" s="1"/>
  <c r="H4" i="17"/>
  <c r="M4" i="17" s="1"/>
  <c r="I22" i="17"/>
  <c r="O65" i="1" l="1"/>
  <c r="O72" i="1" s="1"/>
  <c r="P65" i="1" s="1"/>
  <c r="P72" i="1" s="1"/>
  <c r="Q65" i="1" s="1"/>
  <c r="Q72" i="1" s="1"/>
  <c r="R65" i="1" s="1"/>
  <c r="R72" i="1" s="1"/>
  <c r="S65" i="1" s="1"/>
  <c r="S72" i="1" s="1"/>
  <c r="T65" i="1" s="1"/>
  <c r="T72" i="1" s="1"/>
  <c r="U65" i="1" s="1"/>
  <c r="U72" i="1" s="1"/>
  <c r="V65" i="1" s="1"/>
  <c r="V72" i="1" s="1"/>
  <c r="W65" i="1" s="1"/>
  <c r="B8" i="1"/>
  <c r="F8" i="1" s="1"/>
  <c r="O64" i="1"/>
  <c r="O71" i="1" s="1"/>
  <c r="P64" i="1" s="1"/>
  <c r="P71" i="1" s="1"/>
  <c r="Q64" i="1" s="1"/>
  <c r="Q71" i="1" s="1"/>
  <c r="R64" i="1" s="1"/>
  <c r="R71" i="1" s="1"/>
  <c r="S64" i="1" s="1"/>
  <c r="S71" i="1" s="1"/>
  <c r="T64" i="1" s="1"/>
  <c r="T71" i="1" s="1"/>
  <c r="U64" i="1" s="1"/>
  <c r="U71" i="1" s="1"/>
  <c r="V64" i="1" s="1"/>
  <c r="V71" i="1" s="1"/>
  <c r="W64" i="1" s="1"/>
  <c r="B7" i="1"/>
  <c r="F7" i="1" s="1"/>
  <c r="W71" i="1" l="1"/>
  <c r="X64" i="1"/>
  <c r="W72" i="1"/>
  <c r="O63" i="1"/>
  <c r="O70" i="1" s="1"/>
  <c r="B6" i="1"/>
  <c r="F6" i="1" s="1"/>
  <c r="X65" i="1" l="1"/>
  <c r="X72" i="1" s="1"/>
  <c r="X71" i="1"/>
  <c r="Y64" i="1" s="1"/>
  <c r="Y71" i="1" s="1"/>
  <c r="Z64" i="1" s="1"/>
  <c r="Z71" i="1" s="1"/>
  <c r="AA64" i="1" s="1"/>
  <c r="AA71" i="1" s="1"/>
  <c r="AB64" i="1" s="1"/>
  <c r="AB71" i="1" s="1"/>
  <c r="AC64" i="1" s="1"/>
  <c r="AC71" i="1" s="1"/>
  <c r="AD64" i="1" s="1"/>
  <c r="AD71" i="1" s="1"/>
  <c r="AE64" i="1" s="1"/>
  <c r="AE71" i="1" s="1"/>
  <c r="AF64" i="1" s="1"/>
  <c r="AF71" i="1" s="1"/>
  <c r="AG64" i="1" s="1"/>
  <c r="AG71" i="1" s="1"/>
  <c r="AH64" i="1" s="1"/>
  <c r="AH71" i="1" s="1"/>
  <c r="AI64" i="1" s="1"/>
  <c r="Y65" i="1"/>
  <c r="Y72" i="1" s="1"/>
  <c r="Z65" i="1" s="1"/>
  <c r="Z72" i="1" s="1"/>
  <c r="AA65" i="1" s="1"/>
  <c r="AA72" i="1" s="1"/>
  <c r="AB65" i="1" s="1"/>
  <c r="AB72" i="1" s="1"/>
  <c r="AC65" i="1" s="1"/>
  <c r="AC72" i="1" s="1"/>
  <c r="AD65" i="1" s="1"/>
  <c r="AD72" i="1" s="1"/>
  <c r="AE65" i="1" s="1"/>
  <c r="AE72" i="1" s="1"/>
  <c r="AF65" i="1" s="1"/>
  <c r="AF72" i="1" s="1"/>
  <c r="AG65" i="1" s="1"/>
  <c r="AG72" i="1" s="1"/>
  <c r="AH65" i="1" s="1"/>
  <c r="AH72" i="1" s="1"/>
  <c r="AI65" i="1" s="1"/>
  <c r="P63" i="1"/>
  <c r="AI71" i="1" l="1"/>
  <c r="AJ64" i="1"/>
  <c r="AJ71" i="1" s="1"/>
  <c r="AK64" i="1" s="1"/>
  <c r="AK71" i="1" s="1"/>
  <c r="AL64" i="1" s="1"/>
  <c r="AL71" i="1" s="1"/>
  <c r="AI72" i="1"/>
  <c r="AJ65" i="1" s="1"/>
  <c r="AJ72" i="1" s="1"/>
  <c r="AK65" i="1" s="1"/>
  <c r="AK72" i="1" s="1"/>
  <c r="AL65" i="1" s="1"/>
  <c r="AL72" i="1" s="1"/>
  <c r="O62" i="1"/>
  <c r="O69" i="1" s="1"/>
  <c r="P62" i="1" s="1"/>
  <c r="P69" i="1" s="1"/>
  <c r="Q62" i="1" s="1"/>
  <c r="Q69" i="1" s="1"/>
  <c r="R62" i="1" s="1"/>
  <c r="R69" i="1" s="1"/>
  <c r="S62" i="1" s="1"/>
  <c r="S69" i="1" s="1"/>
  <c r="T62" i="1" s="1"/>
  <c r="T69" i="1" s="1"/>
  <c r="U62" i="1" s="1"/>
  <c r="U69" i="1" s="1"/>
  <c r="V62" i="1" s="1"/>
  <c r="V69" i="1" s="1"/>
  <c r="W62" i="1" s="1"/>
  <c r="B5" i="1"/>
  <c r="F5" i="1" s="1"/>
  <c r="P70" i="1"/>
  <c r="G8" i="1" l="1"/>
  <c r="H8" i="1" s="1"/>
  <c r="C30" i="5" s="1"/>
  <c r="C8" i="5" s="1"/>
  <c r="J8" i="5" s="1"/>
  <c r="G7" i="1"/>
  <c r="H7" i="1" s="1"/>
  <c r="C29" i="5" s="1"/>
  <c r="C7" i="5" s="1"/>
  <c r="J7" i="5" s="1"/>
  <c r="W69" i="1"/>
  <c r="X62" i="1"/>
  <c r="Q63" i="1"/>
  <c r="P7" i="5" l="1"/>
  <c r="D18" i="13" s="1"/>
  <c r="D29" i="13" s="1"/>
  <c r="P8" i="5"/>
  <c r="D19" i="13" s="1"/>
  <c r="D30" i="13" s="1"/>
  <c r="X69" i="1"/>
  <c r="Y62" i="1" s="1"/>
  <c r="Y69" i="1" s="1"/>
  <c r="Z62" i="1" s="1"/>
  <c r="Z69" i="1" s="1"/>
  <c r="AA62" i="1" s="1"/>
  <c r="AA69" i="1" s="1"/>
  <c r="AB62" i="1" s="1"/>
  <c r="AB69" i="1" s="1"/>
  <c r="AC62" i="1" s="1"/>
  <c r="AC69" i="1" s="1"/>
  <c r="AD62" i="1" s="1"/>
  <c r="AD69" i="1" s="1"/>
  <c r="AE62" i="1" s="1"/>
  <c r="AE69" i="1" s="1"/>
  <c r="AF62" i="1" s="1"/>
  <c r="AF69" i="1" s="1"/>
  <c r="AG62" i="1" s="1"/>
  <c r="AG69" i="1" s="1"/>
  <c r="AH62" i="1" s="1"/>
  <c r="AH69" i="1" s="1"/>
  <c r="AI62" i="1" s="1"/>
  <c r="B8" i="11"/>
  <c r="E8" i="11" s="1"/>
  <c r="Q70" i="1"/>
  <c r="R63" i="1" s="1"/>
  <c r="R70" i="1" s="1"/>
  <c r="S63" i="1" s="1"/>
  <c r="AI69" i="1" l="1"/>
  <c r="AJ62" i="1"/>
  <c r="O53" i="11"/>
  <c r="O60" i="11" s="1"/>
  <c r="B5" i="11"/>
  <c r="E5" i="11" s="1"/>
  <c r="O50" i="11"/>
  <c r="O57" i="11" s="1"/>
  <c r="S70" i="1"/>
  <c r="T63" i="1"/>
  <c r="AJ69" i="1" l="1"/>
  <c r="P53" i="11"/>
  <c r="P60" i="11" s="1"/>
  <c r="Q53" i="11" s="1"/>
  <c r="Q60" i="11" s="1"/>
  <c r="R53" i="11" s="1"/>
  <c r="R60" i="11" s="1"/>
  <c r="S53" i="11" s="1"/>
  <c r="S60" i="11" s="1"/>
  <c r="T53" i="11" s="1"/>
  <c r="T60" i="11" s="1"/>
  <c r="U53" i="11" s="1"/>
  <c r="U60" i="11" s="1"/>
  <c r="V53" i="11" s="1"/>
  <c r="V60" i="11" s="1"/>
  <c r="W53" i="11" s="1"/>
  <c r="B7" i="11"/>
  <c r="E7" i="11" s="1"/>
  <c r="O52" i="11"/>
  <c r="O59" i="11" s="1"/>
  <c r="P52" i="11" s="1"/>
  <c r="P59" i="11" s="1"/>
  <c r="Q52" i="11" s="1"/>
  <c r="Q59" i="11" s="1"/>
  <c r="R52" i="11" s="1"/>
  <c r="R59" i="11" s="1"/>
  <c r="S52" i="11" s="1"/>
  <c r="S59" i="11" s="1"/>
  <c r="T52" i="11" s="1"/>
  <c r="T59" i="11" s="1"/>
  <c r="U52" i="11" s="1"/>
  <c r="U59" i="11" s="1"/>
  <c r="V52" i="11" s="1"/>
  <c r="P50" i="11"/>
  <c r="T70" i="1"/>
  <c r="U63" i="1" s="1"/>
  <c r="AK62" i="1" l="1"/>
  <c r="AK69" i="1" s="1"/>
  <c r="AL62" i="1" s="1"/>
  <c r="AL69" i="1" s="1"/>
  <c r="W60" i="11"/>
  <c r="AJ60" i="11" s="1"/>
  <c r="AK53" i="11" s="1"/>
  <c r="AK60" i="11" s="1"/>
  <c r="AL53" i="11" s="1"/>
  <c r="AL60" i="11" s="1"/>
  <c r="X53" i="11"/>
  <c r="V59" i="11"/>
  <c r="W52" i="11" s="1"/>
  <c r="P57" i="11"/>
  <c r="Q50" i="11" s="1"/>
  <c r="Q57" i="11" s="1"/>
  <c r="R50" i="11" s="1"/>
  <c r="R57" i="11" s="1"/>
  <c r="S50" i="11" s="1"/>
  <c r="S57" i="11" s="1"/>
  <c r="T50" i="11" s="1"/>
  <c r="T57" i="11" s="1"/>
  <c r="U50" i="11" s="1"/>
  <c r="U70" i="1"/>
  <c r="V63" i="1" s="1"/>
  <c r="G5" i="1" l="1"/>
  <c r="H5" i="1" s="1"/>
  <c r="C27" i="5" s="1"/>
  <c r="C5" i="5" s="1"/>
  <c r="J5" i="5" s="1"/>
  <c r="X60" i="11"/>
  <c r="W59" i="11"/>
  <c r="X52" i="11" s="1"/>
  <c r="U57" i="11"/>
  <c r="V50" i="11" s="1"/>
  <c r="V57" i="11" s="1"/>
  <c r="W50" i="11" s="1"/>
  <c r="V70" i="1"/>
  <c r="W63" i="1" s="1"/>
  <c r="P5" i="5" l="1"/>
  <c r="D16" i="13" s="1"/>
  <c r="D27" i="13" s="1"/>
  <c r="X59" i="11"/>
  <c r="Y52" i="11" s="1"/>
  <c r="Y59" i="11" s="1"/>
  <c r="Z52" i="11" s="1"/>
  <c r="Z59" i="11" s="1"/>
  <c r="AA52" i="11" s="1"/>
  <c r="Y53" i="11"/>
  <c r="AJ59" i="11"/>
  <c r="AK52" i="11" s="1"/>
  <c r="AK59" i="11" s="1"/>
  <c r="AL52" i="11" s="1"/>
  <c r="AL59" i="11" s="1"/>
  <c r="W57" i="11"/>
  <c r="W70" i="1"/>
  <c r="X50" i="11" l="1"/>
  <c r="AA59" i="11"/>
  <c r="AB52" i="11" s="1"/>
  <c r="Y60" i="11"/>
  <c r="Z53" i="11" s="1"/>
  <c r="Z60" i="11" s="1"/>
  <c r="AA53" i="11" s="1"/>
  <c r="AA60" i="11" s="1"/>
  <c r="AB53" i="11" s="1"/>
  <c r="X63" i="1"/>
  <c r="X70" i="1" s="1"/>
  <c r="AJ57" i="11"/>
  <c r="AK50" i="11" l="1"/>
  <c r="AK57" i="11" s="1"/>
  <c r="AL50" i="11" s="1"/>
  <c r="AL57" i="11" s="1"/>
  <c r="AB60" i="11"/>
  <c r="AC53" i="11"/>
  <c r="X57" i="11"/>
  <c r="Y50" i="11" s="1"/>
  <c r="Y57" i="11" s="1"/>
  <c r="Z50" i="11" s="1"/>
  <c r="AB59" i="11"/>
  <c r="AC52" i="11" s="1"/>
  <c r="AC59" i="11" s="1"/>
  <c r="AD52" i="11" s="1"/>
  <c r="AD59" i="11" s="1"/>
  <c r="AE52" i="11" s="1"/>
  <c r="Y63" i="1"/>
  <c r="Y70" i="1" s="1"/>
  <c r="Z63" i="1" s="1"/>
  <c r="Z70" i="1" s="1"/>
  <c r="AA63" i="1" s="1"/>
  <c r="AA70" i="1" s="1"/>
  <c r="AB63" i="1" s="1"/>
  <c r="AB70" i="1" s="1"/>
  <c r="AC63" i="1" s="1"/>
  <c r="AC70" i="1" s="1"/>
  <c r="AD63" i="1" s="1"/>
  <c r="AD70" i="1" s="1"/>
  <c r="AE63" i="1" s="1"/>
  <c r="AE70" i="1" s="1"/>
  <c r="AF63" i="1" s="1"/>
  <c r="AF70" i="1" s="1"/>
  <c r="AG63" i="1" s="1"/>
  <c r="AG70" i="1" s="1"/>
  <c r="AH63" i="1" s="1"/>
  <c r="AH70" i="1" s="1"/>
  <c r="AI63" i="1" s="1"/>
  <c r="AI70" i="1" l="1"/>
  <c r="AJ63" i="1"/>
  <c r="Z57" i="11"/>
  <c r="AA50" i="11" s="1"/>
  <c r="AA57" i="11" s="1"/>
  <c r="AB50" i="11" s="1"/>
  <c r="AB57" i="11" s="1"/>
  <c r="AC50" i="11" s="1"/>
  <c r="AE59" i="11"/>
  <c r="AC60" i="11"/>
  <c r="AD53" i="11" s="1"/>
  <c r="AJ70" i="1" l="1"/>
  <c r="AK63" i="1"/>
  <c r="AK70" i="1" s="1"/>
  <c r="AL63" i="1" s="1"/>
  <c r="AL70" i="1" s="1"/>
  <c r="AC57" i="11"/>
  <c r="AD50" i="11"/>
  <c r="AD60" i="11"/>
  <c r="AE53" i="11" s="1"/>
  <c r="AE60" i="11" s="1"/>
  <c r="AF53" i="11" s="1"/>
  <c r="AF52" i="11"/>
  <c r="G6" i="1" l="1"/>
  <c r="H6" i="1" s="1"/>
  <c r="C28" i="5" s="1"/>
  <c r="C6" i="5" s="1"/>
  <c r="J6" i="5" s="1"/>
  <c r="AF59" i="11"/>
  <c r="AG52" i="11" s="1"/>
  <c r="AG59" i="11" s="1"/>
  <c r="AH52" i="11" s="1"/>
  <c r="AD57" i="11"/>
  <c r="AF60" i="11"/>
  <c r="AG53" i="11" s="1"/>
  <c r="P6" i="5" l="1"/>
  <c r="D17" i="13" s="1"/>
  <c r="D28" i="13" s="1"/>
  <c r="AH59" i="11"/>
  <c r="AI52" i="11"/>
  <c r="AI59" i="11" s="1"/>
  <c r="AG60" i="11"/>
  <c r="AH53" i="11" s="1"/>
  <c r="AE50" i="11"/>
  <c r="AE57" i="11" s="1"/>
  <c r="AF50" i="11" s="1"/>
  <c r="AF57" i="11" s="1"/>
  <c r="AG50" i="11" s="1"/>
  <c r="AH60" i="11" l="1"/>
  <c r="AI53" i="11"/>
  <c r="AI60" i="11" s="1"/>
  <c r="F7" i="11"/>
  <c r="G7" i="11" s="1"/>
  <c r="D29" i="5" s="1"/>
  <c r="G29" i="5" s="1"/>
  <c r="J29" i="5" s="1"/>
  <c r="AG57" i="11"/>
  <c r="AH50" i="11" s="1"/>
  <c r="D7" i="5" l="1"/>
  <c r="L29" i="5"/>
  <c r="AH57" i="11"/>
  <c r="AI50" i="11" s="1"/>
  <c r="AI57" i="11" s="1"/>
  <c r="F8" i="11"/>
  <c r="G8" i="11" s="1"/>
  <c r="D30" i="5" s="1"/>
  <c r="G30" i="5" s="1"/>
  <c r="J30" i="5" s="1"/>
  <c r="O49" i="11"/>
  <c r="O56" i="11" s="1"/>
  <c r="P49" i="11" s="1"/>
  <c r="E4" i="11"/>
  <c r="Q7" i="5" l="1"/>
  <c r="E18" i="13" s="1"/>
  <c r="E29" i="13" s="1"/>
  <c r="H29" i="13" s="1"/>
  <c r="K7" i="5"/>
  <c r="J19" i="5"/>
  <c r="T7" i="5"/>
  <c r="D8" i="5"/>
  <c r="L30" i="5"/>
  <c r="H7" i="5"/>
  <c r="L7" i="5" s="1"/>
  <c r="F5" i="11"/>
  <c r="G5" i="11" s="1"/>
  <c r="D27" i="5" s="1"/>
  <c r="G27" i="5" s="1"/>
  <c r="J27" i="5" s="1"/>
  <c r="P56" i="11"/>
  <c r="Q49" i="11" s="1"/>
  <c r="Q56" i="11" s="1"/>
  <c r="N7" i="5" l="1"/>
  <c r="Q8" i="5"/>
  <c r="K8" i="5"/>
  <c r="N8" i="5" s="1"/>
  <c r="J20" i="5"/>
  <c r="L8" i="5"/>
  <c r="D5" i="5"/>
  <c r="L27" i="5"/>
  <c r="R49" i="11"/>
  <c r="Q5" i="5" l="1"/>
  <c r="K5" i="5"/>
  <c r="J17" i="5"/>
  <c r="E16" i="13"/>
  <c r="E27" i="13" s="1"/>
  <c r="H27" i="13" s="1"/>
  <c r="T5" i="5"/>
  <c r="E19" i="13"/>
  <c r="E30" i="13" s="1"/>
  <c r="H30" i="13" s="1"/>
  <c r="T8" i="5"/>
  <c r="H5" i="5"/>
  <c r="L5" i="5" s="1"/>
  <c r="R56" i="11"/>
  <c r="S49" i="11" s="1"/>
  <c r="N5" i="5" l="1"/>
  <c r="S56" i="11"/>
  <c r="T49" i="11" s="1"/>
  <c r="T56" i="11" s="1"/>
  <c r="U49" i="11" l="1"/>
  <c r="U56" i="11" s="1"/>
  <c r="V49" i="11" l="1"/>
  <c r="B4" i="1" l="1"/>
  <c r="O61" i="1"/>
  <c r="V56" i="11"/>
  <c r="W49" i="11" s="1"/>
  <c r="O68" i="1"/>
  <c r="O74" i="1" l="1"/>
  <c r="O76" i="1"/>
  <c r="O73" i="1" s="1"/>
  <c r="P61" i="1"/>
  <c r="F9" i="1"/>
  <c r="B9" i="1"/>
  <c r="W56" i="11"/>
  <c r="X49" i="11" l="1"/>
  <c r="P68" i="1"/>
  <c r="Q61" i="1" s="1"/>
  <c r="P76" i="1"/>
  <c r="AK49" i="11" l="1"/>
  <c r="X56" i="11"/>
  <c r="Y49" i="11"/>
  <c r="Q68" i="1"/>
  <c r="Q74" i="1" s="1"/>
  <c r="P74" i="1"/>
  <c r="P73" i="1"/>
  <c r="AK56" i="11" l="1"/>
  <c r="AL49" i="11"/>
  <c r="Y56" i="11"/>
  <c r="Q76" i="1"/>
  <c r="Q73" i="1" s="1"/>
  <c r="R61" i="1"/>
  <c r="R68" i="1" s="1"/>
  <c r="AL56" i="11" l="1"/>
  <c r="Z49" i="11"/>
  <c r="B6" i="11"/>
  <c r="O51" i="11"/>
  <c r="O58" i="11" s="1"/>
  <c r="R76" i="1"/>
  <c r="R73" i="1" s="1"/>
  <c r="S61" i="1"/>
  <c r="S68" i="1" s="1"/>
  <c r="S74" i="1" s="1"/>
  <c r="R74" i="1"/>
  <c r="Z56" i="11" l="1"/>
  <c r="AA49" i="11"/>
  <c r="O64" i="11"/>
  <c r="O61" i="11" s="1"/>
  <c r="P51" i="11"/>
  <c r="P58" i="11" s="1"/>
  <c r="O62" i="11"/>
  <c r="E6" i="11"/>
  <c r="E9" i="11" s="1"/>
  <c r="B9" i="11"/>
  <c r="S76" i="1"/>
  <c r="S73" i="1" s="1"/>
  <c r="T61" i="1"/>
  <c r="T68" i="1" s="1"/>
  <c r="AA56" i="11" l="1"/>
  <c r="AB49" i="11"/>
  <c r="Q51" i="11"/>
  <c r="Q58" i="11" s="1"/>
  <c r="P62" i="11"/>
  <c r="P64" i="11"/>
  <c r="T76" i="1"/>
  <c r="T73" i="1" s="1"/>
  <c r="U61" i="1"/>
  <c r="U68" i="1" s="1"/>
  <c r="T74" i="1"/>
  <c r="AB56" i="11" l="1"/>
  <c r="P61" i="11"/>
  <c r="Q64" i="11"/>
  <c r="R51" i="11"/>
  <c r="Q62" i="11"/>
  <c r="U74" i="1"/>
  <c r="V61" i="1"/>
  <c r="U76" i="1"/>
  <c r="U73" i="1" s="1"/>
  <c r="AC49" i="11" l="1"/>
  <c r="R58" i="11"/>
  <c r="S51" i="11" s="1"/>
  <c r="S58" i="11" s="1"/>
  <c r="Q61" i="11"/>
  <c r="R64" i="11"/>
  <c r="V68" i="1"/>
  <c r="V76" i="1" s="1"/>
  <c r="V73" i="1" s="1"/>
  <c r="AC56" i="11" l="1"/>
  <c r="AD49" i="11"/>
  <c r="V74" i="1"/>
  <c r="R61" i="11"/>
  <c r="S64" i="11"/>
  <c r="T51" i="11"/>
  <c r="T58" i="11" s="1"/>
  <c r="S62" i="11"/>
  <c r="R62" i="11"/>
  <c r="W61" i="1"/>
  <c r="AD56" i="11" l="1"/>
  <c r="AE49" i="11"/>
  <c r="W68" i="1"/>
  <c r="X61" i="1" s="1"/>
  <c r="X68" i="1" s="1"/>
  <c r="U51" i="11"/>
  <c r="U58" i="11" s="1"/>
  <c r="T62" i="11"/>
  <c r="S61" i="11"/>
  <c r="T64" i="11"/>
  <c r="W76" i="1" l="1"/>
  <c r="W74" i="1"/>
  <c r="AE56" i="11"/>
  <c r="AF49" i="11"/>
  <c r="W73" i="1"/>
  <c r="T61" i="11"/>
  <c r="U64" i="11"/>
  <c r="V51" i="11"/>
  <c r="V58" i="11" s="1"/>
  <c r="U62" i="11"/>
  <c r="AF56" i="11" l="1"/>
  <c r="AG49" i="11" s="1"/>
  <c r="X76" i="1"/>
  <c r="X74" i="1"/>
  <c r="Y61" i="1"/>
  <c r="Y68" i="1" s="1"/>
  <c r="Y74" i="1" s="1"/>
  <c r="W51" i="11"/>
  <c r="V62" i="11"/>
  <c r="U61" i="11"/>
  <c r="V64" i="11"/>
  <c r="AG56" i="11" l="1"/>
  <c r="AH49" i="11"/>
  <c r="Y76" i="1"/>
  <c r="Y73" i="1" s="1"/>
  <c r="Z61" i="1"/>
  <c r="Z68" i="1" s="1"/>
  <c r="Z74" i="1" s="1"/>
  <c r="X73" i="1"/>
  <c r="W58" i="11"/>
  <c r="X51" i="11" s="1"/>
  <c r="X58" i="11" s="1"/>
  <c r="X62" i="11" s="1"/>
  <c r="V61" i="11"/>
  <c r="AH56" i="11" l="1"/>
  <c r="AI49" i="11" s="1"/>
  <c r="AI56" i="11" s="1"/>
  <c r="Y51" i="11"/>
  <c r="Y58" i="11" s="1"/>
  <c r="AA61" i="1"/>
  <c r="AA68" i="1"/>
  <c r="Z76" i="1"/>
  <c r="Z73" i="1" s="1"/>
  <c r="W62" i="11"/>
  <c r="W64" i="11"/>
  <c r="W61" i="11" s="1"/>
  <c r="AJ58" i="11"/>
  <c r="AJ62" i="11" l="1"/>
  <c r="AJ64" i="11"/>
  <c r="AJ61" i="11" s="1"/>
  <c r="X64" i="11"/>
  <c r="X61" i="11" s="1"/>
  <c r="F4" i="11"/>
  <c r="G4" i="11" s="1"/>
  <c r="D26" i="5" s="1"/>
  <c r="Z51" i="11"/>
  <c r="Z58" i="11" s="1"/>
  <c r="Y62" i="11"/>
  <c r="Y64" i="11"/>
  <c r="Y61" i="11" s="1"/>
  <c r="AB61" i="1"/>
  <c r="AB68" i="1" s="1"/>
  <c r="AB74" i="1" s="1"/>
  <c r="AA74" i="1"/>
  <c r="AA76" i="1"/>
  <c r="AA73" i="1" s="1"/>
  <c r="AK51" i="11"/>
  <c r="AK58" i="11" s="1"/>
  <c r="D4" i="5" l="1"/>
  <c r="AC61" i="1"/>
  <c r="AA51" i="11"/>
  <c r="Z62" i="11"/>
  <c r="Z64" i="11"/>
  <c r="Z61" i="11" s="1"/>
  <c r="AB76" i="1"/>
  <c r="AB73" i="1" s="1"/>
  <c r="AC68" i="1"/>
  <c r="AD61" i="1" s="1"/>
  <c r="AL51" i="11"/>
  <c r="AL58" i="11" s="1"/>
  <c r="AK64" i="11"/>
  <c r="AK61" i="11" s="1"/>
  <c r="AK62" i="11"/>
  <c r="K4" i="5" l="1"/>
  <c r="Q4" i="5"/>
  <c r="E15" i="13"/>
  <c r="E26" i="13" s="1"/>
  <c r="AA58" i="11"/>
  <c r="AB51" i="11"/>
  <c r="AD68" i="1"/>
  <c r="AE61" i="1" s="1"/>
  <c r="AC74" i="1"/>
  <c r="AC76" i="1"/>
  <c r="AC73" i="1" s="1"/>
  <c r="AL62" i="11"/>
  <c r="AL64" i="11"/>
  <c r="AL61" i="11" s="1"/>
  <c r="AB58" i="11" l="1"/>
  <c r="AC51" i="11"/>
  <c r="AC58" i="11" s="1"/>
  <c r="AA64" i="11"/>
  <c r="AA61" i="11" s="1"/>
  <c r="AA62" i="11"/>
  <c r="AE68" i="1"/>
  <c r="AF61" i="1"/>
  <c r="AD74" i="1"/>
  <c r="AD76" i="1"/>
  <c r="AD73" i="1" s="1"/>
  <c r="AD51" i="11" l="1"/>
  <c r="AC62" i="11"/>
  <c r="AB62" i="11"/>
  <c r="AB64" i="11"/>
  <c r="AB61" i="11" s="1"/>
  <c r="AF68" i="1"/>
  <c r="AG61" i="1"/>
  <c r="AG68" i="1" s="1"/>
  <c r="AE74" i="1"/>
  <c r="AE76" i="1"/>
  <c r="AE73" i="1" s="1"/>
  <c r="AC64" i="11" l="1"/>
  <c r="AC61" i="11" s="1"/>
  <c r="AD58" i="11"/>
  <c r="AE51" i="11" s="1"/>
  <c r="AH61" i="1"/>
  <c r="AG74" i="1"/>
  <c r="AF74" i="1"/>
  <c r="AF76" i="1"/>
  <c r="AF73" i="1" s="1"/>
  <c r="AE58" i="11" l="1"/>
  <c r="AD64" i="11"/>
  <c r="AD61" i="11" s="1"/>
  <c r="AD62" i="11"/>
  <c r="AG76" i="1"/>
  <c r="AG73" i="1" s="1"/>
  <c r="AH68" i="1"/>
  <c r="AI61" i="1" s="1"/>
  <c r="AI68" i="1" l="1"/>
  <c r="AJ61" i="1"/>
  <c r="AE64" i="11"/>
  <c r="AE61" i="11" s="1"/>
  <c r="AE62" i="11"/>
  <c r="AF51" i="11"/>
  <c r="AF58" i="11" s="1"/>
  <c r="AI74" i="1"/>
  <c r="AH74" i="1"/>
  <c r="AH76" i="1"/>
  <c r="AJ68" i="1" l="1"/>
  <c r="AK61" i="1"/>
  <c r="AH73" i="1"/>
  <c r="AI76" i="1"/>
  <c r="AI73" i="1" s="1"/>
  <c r="AG51" i="11"/>
  <c r="AG58" i="11" s="1"/>
  <c r="AF64" i="11"/>
  <c r="AF61" i="11" s="1"/>
  <c r="AF62" i="11"/>
  <c r="AK68" i="1" l="1"/>
  <c r="AL61" i="1"/>
  <c r="AL68" i="1" s="1"/>
  <c r="G4" i="1" s="1"/>
  <c r="AJ74" i="1"/>
  <c r="AJ76" i="1"/>
  <c r="AJ73" i="1" s="1"/>
  <c r="AH51" i="11"/>
  <c r="AG62" i="11"/>
  <c r="AG64" i="11"/>
  <c r="AG61" i="11" s="1"/>
  <c r="G9" i="1" l="1"/>
  <c r="G10" i="1" s="1"/>
  <c r="H4" i="1"/>
  <c r="AL74" i="1"/>
  <c r="AK74" i="1"/>
  <c r="AK76" i="1"/>
  <c r="AK73" i="1" s="1"/>
  <c r="AH58" i="11"/>
  <c r="AI51" i="11" s="1"/>
  <c r="AI58" i="11" s="1"/>
  <c r="AH62" i="11"/>
  <c r="AH64" i="11"/>
  <c r="AL76" i="1" l="1"/>
  <c r="AL73" i="1" s="1"/>
  <c r="C26" i="5"/>
  <c r="H9" i="1"/>
  <c r="F6" i="11"/>
  <c r="AI62" i="11"/>
  <c r="AH61" i="11"/>
  <c r="AI64" i="11"/>
  <c r="AI61" i="11" s="1"/>
  <c r="F9" i="11"/>
  <c r="F10" i="11" s="1"/>
  <c r="G6" i="11"/>
  <c r="G26" i="5" l="1"/>
  <c r="J26" i="5" s="1"/>
  <c r="L26" i="5" s="1"/>
  <c r="C4" i="5"/>
  <c r="D28" i="5"/>
  <c r="G28" i="5" s="1"/>
  <c r="J28" i="5" s="1"/>
  <c r="G9" i="11"/>
  <c r="J4" i="5" l="1"/>
  <c r="P4" i="5"/>
  <c r="H4" i="5"/>
  <c r="L4" i="5" s="1"/>
  <c r="J16" i="5"/>
  <c r="D6" i="5"/>
  <c r="N4" i="5" l="1"/>
  <c r="Q6" i="5"/>
  <c r="T6" i="5" s="1"/>
  <c r="K6" i="5"/>
  <c r="N6" i="5" s="1"/>
  <c r="D15" i="13"/>
  <c r="D26" i="13" s="1"/>
  <c r="H26" i="13" s="1"/>
  <c r="J18" i="5"/>
  <c r="J22" i="5" s="1"/>
  <c r="L28" i="5"/>
  <c r="L32" i="5" s="1"/>
  <c r="J32" i="5"/>
  <c r="E17" i="13"/>
  <c r="E28" i="13" s="1"/>
  <c r="H28" i="13" s="1"/>
  <c r="H6" i="5"/>
  <c r="L6" i="5" s="1"/>
</calcChain>
</file>

<file path=xl/comments1.xml><?xml version="1.0" encoding="utf-8"?>
<comments xmlns="http://schemas.openxmlformats.org/spreadsheetml/2006/main">
  <authors>
    <author>Logan, Raysene</author>
  </authors>
  <commentList>
    <comment ref="X68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$3,196 Interest adj - interest on Cardinals sign/radio allocation adjustments booked in Nov 2018</t>
        </r>
      </text>
    </comment>
    <comment ref="N77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</commentList>
</comments>
</file>

<file path=xl/comments2.xml><?xml version="1.0" encoding="utf-8"?>
<comments xmlns="http://schemas.openxmlformats.org/spreadsheetml/2006/main">
  <authors>
    <author>Logan, Raysene</author>
  </authors>
  <commentList>
    <comment ref="N65" authorId="0" shape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Effective Feb 1, 2017, ending MEEIA 1 balance rolled into MEEIA 2</t>
        </r>
      </text>
    </comment>
  </commentList>
</comments>
</file>

<file path=xl/sharedStrings.xml><?xml version="1.0" encoding="utf-8"?>
<sst xmlns="http://schemas.openxmlformats.org/spreadsheetml/2006/main" count="559" uniqueCount="173">
  <si>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</si>
  <si>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</si>
  <si>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</si>
  <si>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</si>
  <si>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</si>
  <si>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</si>
  <si>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</si>
  <si>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</si>
  <si>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</si>
  <si>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</si>
  <si>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</si>
  <si>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Program Cost Calculation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</si>
  <si>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</si>
  <si>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</si>
  <si>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</si>
  <si>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</si>
  <si>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</si>
  <si>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</si>
  <si>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</si>
  <si>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</si>
  <si>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</si>
  <si>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</si>
  <si>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</si>
  <si>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</si>
  <si>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</si>
  <si>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</si>
  <si>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</si>
  <si>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</si>
  <si>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</si>
  <si>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</si>
  <si>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</si>
  <si>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</si>
  <si>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</si>
  <si>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</si>
  <si>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</si>
  <si>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</si>
  <si>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</si>
  <si>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</si>
  <si>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RES excluding low income</t>
  </si>
  <si>
    <t>2. Total</t>
  </si>
  <si>
    <t>3. Low income exemption</t>
  </si>
  <si>
    <t>3. Low income exemption %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</si>
  <si>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</si>
  <si>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</si>
  <si>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</si>
  <si>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</si>
  <si>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</si>
  <si>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</si>
  <si>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</si>
  <si>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</si>
  <si>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NPI/PE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</si>
  <si>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</si>
  <si>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</si>
  <si>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</si>
  <si>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</si>
  <si>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</si>
  <si>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</si>
  <si>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</si>
  <si>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2013-15 EEIR Components (Applicable to MEEIA Cycle 1 Plan)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</si>
  <si>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</si>
  <si>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</si>
  <si>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</si>
  <si>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</si>
  <si>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</si>
  <si>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</si>
  <si>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</si>
  <si>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</si>
  <si>
    <t>Revenues</t>
  </si>
  <si>
    <t>Interest</t>
  </si>
  <si>
    <t>TDR</t>
  </si>
  <si>
    <t>FORECASTED</t>
  </si>
  <si>
    <t>SOURCE: GL</t>
  </si>
  <si>
    <t>Over/Under</t>
  </si>
  <si>
    <t>Cumulative Over/Under</t>
  </si>
  <si>
    <t>cumulative check</t>
  </si>
  <si>
    <t>monthly interest check</t>
  </si>
  <si>
    <t>Regulatory Asset/(Liability)</t>
  </si>
  <si>
    <t>Starting Balance</t>
  </si>
  <si>
    <t>1. Actual TD</t>
  </si>
  <si>
    <t>Actual TD</t>
  </si>
  <si>
    <t>Program Cost Reconciliation Calculation</t>
  </si>
  <si>
    <t>Billed kWh</t>
  </si>
  <si>
    <t>PCR</t>
  </si>
  <si>
    <t>1. Actual monthly program costs by allocation bucket (RES, BUS, Low Income, Common/General)</t>
  </si>
  <si>
    <t>3. Actual monthly billed revenues by rate class (program cost revenues only)</t>
  </si>
  <si>
    <t>4. Total monthly interest booked</t>
  </si>
  <si>
    <t>1. Actual Program Costs</t>
  </si>
  <si>
    <t>Allocated Actual Program Costs</t>
  </si>
  <si>
    <t>2. Actual KWh - Reduced for Opt-Out</t>
  </si>
  <si>
    <t>SOURCE: CSS DATA WAREHOUSE</t>
  </si>
  <si>
    <t>3. Actual Revenues - Program Costs Only</t>
  </si>
  <si>
    <t>4. Total Interest</t>
  </si>
  <si>
    <t>SOURCE: MEEIA 2 Over/Under Calculation file</t>
  </si>
  <si>
    <t>1. Actual monthly TD</t>
  </si>
  <si>
    <t>(Over)/Under</t>
  </si>
  <si>
    <t>5. Total Interest</t>
  </si>
  <si>
    <t>Performance Incentive Calculation</t>
  </si>
  <si>
    <t>1. PI</t>
  </si>
  <si>
    <t>PI</t>
  </si>
  <si>
    <t>PIR ($)</t>
  </si>
  <si>
    <t>PI ($)</t>
  </si>
  <si>
    <t>NPI</t>
  </si>
  <si>
    <t>PI Rate</t>
  </si>
  <si>
    <t>2. Cumulative 3-yr MWh savings</t>
  </si>
  <si>
    <t>2. MWh savings</t>
  </si>
  <si>
    <t>PI Totals</t>
  </si>
  <si>
    <t>2. Actual monthly kWh billed sales by rate class (reduced for opt-out)</t>
  </si>
  <si>
    <t>1F. Forecasted program costs by allocation bucket (RES, BUS, Low Income, Common/General)</t>
  </si>
  <si>
    <t>2F. Forecasted kWh billed sales by rate class (reduced for opt-out)</t>
  </si>
  <si>
    <t>4F. Forecasted interest for accrued over/under</t>
  </si>
  <si>
    <t>Program Costs</t>
  </si>
  <si>
    <t>1F. Forecasted TD</t>
  </si>
  <si>
    <t>2. Actual monthly billed revenues by rate class (TD revenues only)</t>
  </si>
  <si>
    <t>TD Reconciliation Calculation</t>
  </si>
  <si>
    <t>3. SGS</t>
  </si>
  <si>
    <t>3. Business MWh savings split by rate class</t>
  </si>
  <si>
    <t>Total $</t>
  </si>
  <si>
    <t>Allocated Actual Revenue</t>
  </si>
  <si>
    <t>4. Actual Revenue Credits - Low Income Exemption</t>
  </si>
  <si>
    <t>6. Current Tariff Rate</t>
  </si>
  <si>
    <t>MEEIA 1 Ending Balance</t>
  </si>
  <si>
    <t>1. Actual PI Amortization</t>
  </si>
  <si>
    <t>PI Amortization</t>
  </si>
  <si>
    <t>2. Actual Revenues - Performance Incentive</t>
  </si>
  <si>
    <t>3. Actual Revenue Credits - Low Income Exemption</t>
  </si>
  <si>
    <t>5. Current Tariff Rate</t>
  </si>
  <si>
    <t>1. Actual monthly performance incentive amortization by rate class</t>
  </si>
  <si>
    <t>1F. Forecasted monthly performance incentive amortization by rate class</t>
  </si>
  <si>
    <t>2. Actual monthly billed revenues by rate class (performance incentive revenues only)</t>
  </si>
  <si>
    <t>2F. Forecasted billed revenues by rate class</t>
  </si>
  <si>
    <t>Performance Incentive Reconciliation Calculation</t>
  </si>
  <si>
    <t>5. Actual performance incentive rate component of the tariff rate</t>
  </si>
  <si>
    <t>3. Actual monthly revenue credit for low income exempt customers (performance incentive revenues only)</t>
  </si>
  <si>
    <t>PIR</t>
  </si>
  <si>
    <t>SOURCE: Caculated based on amounts in Stipulation</t>
  </si>
  <si>
    <t>4. Actual monthly revenue credit for low income exempt customers (program cost revenues only)</t>
  </si>
  <si>
    <t>5. Total monthly interest booked</t>
  </si>
  <si>
    <t>5F. Forecasted interest for accrued over/under</t>
  </si>
  <si>
    <t>6. Actual program cost rate component of the tariff rate</t>
  </si>
  <si>
    <t>Beg Bal (M1)</t>
  </si>
  <si>
    <t>Ordered Adjustments</t>
  </si>
  <si>
    <t>1. OA</t>
  </si>
  <si>
    <t>4. Effective Period kWh</t>
  </si>
  <si>
    <t xml:space="preserve">Total </t>
  </si>
  <si>
    <t>MEEIA 2 PC</t>
  </si>
  <si>
    <t>MEEIA 2 TD</t>
  </si>
  <si>
    <t>5. Actual TD rate component of the tariff rate</t>
  </si>
  <si>
    <t>3. Actual monthly revenue credit for low income exempt customers (TD revenues only)</t>
  </si>
  <si>
    <t>OA.1</t>
  </si>
  <si>
    <t>2. Actual TD Revenues</t>
  </si>
  <si>
    <t>Total Reconciled</t>
  </si>
  <si>
    <t>Total Forecasted</t>
  </si>
  <si>
    <t>Ordered Adjustments Reconciliation Calculation</t>
  </si>
  <si>
    <t>OAR</t>
  </si>
  <si>
    <t>1. Actual OA to Amortize</t>
  </si>
  <si>
    <t>2. Actual Revenues - Ordered Adjustments</t>
  </si>
  <si>
    <t>1. Actual ordered adjustments to amortize by rate class</t>
  </si>
  <si>
    <t>2. Actual monthly billed revenues by rate class (ordered adjustment revenues only)</t>
  </si>
  <si>
    <t>3. Actual monthly revenue credit for low income exempt customers (ordered adjustment revenues only)</t>
  </si>
  <si>
    <t>5. Actual ordered adjustment rate component of the tariff rate</t>
  </si>
  <si>
    <t>1. Total OA from MEEIA 2 First Prudence Review - PC</t>
  </si>
  <si>
    <t>Projections for 2019 EEIC</t>
  </si>
  <si>
    <t>Nov 2018 filing</t>
  </si>
  <si>
    <t>Nov 2019 filing</t>
  </si>
  <si>
    <t>4. Forecasted kWh by Rate Class (Reduced for Opt-Out, Includes Low Income) - 12 Months</t>
  </si>
  <si>
    <t>1. Additional PI awarded &amp; split between 2018 and 2019 filings</t>
  </si>
  <si>
    <t>OA to Amortize</t>
  </si>
  <si>
    <t>OA ($)</t>
  </si>
  <si>
    <t>OAR ($)</t>
  </si>
  <si>
    <t>OA</t>
  </si>
  <si>
    <t>Ordered Adj Rate</t>
  </si>
  <si>
    <t>EO Rate</t>
  </si>
  <si>
    <t>For Tariff (rounded)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</si>
</sst>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_(&quot;$&quot;* #,##0.000000_);_(&quot;$&quot;* \(#,##0.000000\);_(&quot;$&quot;* &quot;-&quot;??_);_(@_)"/>
    <numFmt numFmtId="171" formatCode="&quot;$&quot;#,##0.000000_);[Red]\(&quot;$&quot;#,##0.000000\)"/>
    <numFmt numFmtId="172" formatCode="_(&quot;$&quot;* #,##0.000_);_(&quot;$&quot;* \(#,##0.000\);_(&quot;$&quot;* &quot;-&quot;??_);_(@_)"/>
    <numFmt numFmtId="173" formatCode="_(* #,##0.000000_);_(* \(#,##0.000000\);_(* &quot;-&quot;??_);_(@_)"/>
    <numFmt numFmtId="180" formatCode="&quot;$&quot;#,##0.00000000_);[Red]\(&quot;$&quot;#,##0.0000000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7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medium">
        <color auto="1"/>
      </right>
      <top/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/>
      <right style="medium">
        <color auto="1"/>
      </right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/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double">
        <color rgb="FF3F3F3F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292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0" fontId="0" fillId="0" borderId="0" xfId="0" quotePrefix="1"/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1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2" fontId="0" fillId="0" borderId="0" xfId="11" applyNumberFormat="1" applyFont="1"/>
    <xf numFmtId="172" fontId="0" fillId="0" borderId="0" xfId="0" applyNumberFormat="1"/>
    <xf numFmtId="168" fontId="0" fillId="0" borderId="0" xfId="2" applyNumberFormat="1" applyFont="1"/>
    <xf numFmtId="0" fontId="10" fillId="0" borderId="0" xfId="0" applyFont="1" applyFill="1" applyBorder="1" applyAlignment="1">
      <alignment vertical="center" wrapText="1"/>
    </xf>
    <xf numFmtId="171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1" fontId="10" fillId="7" borderId="3" xfId="0" applyNumberFormat="1" applyFont="1" applyFill="1" applyBorder="1" applyAlignment="1">
      <alignment vertical="center" wrapText="1"/>
    </xf>
    <xf numFmtId="43" fontId="0" fillId="0" borderId="0" xfId="0" applyNumberFormat="1"/>
    <xf numFmtId="171" fontId="10" fillId="7" borderId="5" xfId="0" applyNumberFormat="1" applyFont="1" applyFill="1" applyBorder="1" applyAlignment="1">
      <alignment vertical="center" wrapText="1"/>
    </xf>
    <xf numFmtId="171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1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1" fillId="0" borderId="8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171" fontId="33" fillId="0" borderId="6" xfId="0" applyNumberFormat="1" applyFont="1" applyBorder="1" applyAlignment="1">
      <alignment horizontal="center" vertical="center" wrapText="1"/>
    </xf>
    <xf numFmtId="171" fontId="31" fillId="0" borderId="8" xfId="0" applyNumberFormat="1" applyFont="1" applyBorder="1" applyAlignment="1">
      <alignment horizontal="center" vertical="center" wrapText="1"/>
    </xf>
    <xf numFmtId="171" fontId="31" fillId="0" borderId="10" xfId="0" applyNumberFormat="1" applyFont="1" applyBorder="1" applyAlignment="1">
      <alignment horizontal="center" vertical="center" wrapText="1"/>
    </xf>
    <xf numFmtId="171" fontId="0" fillId="0" borderId="6" xfId="0" applyNumberFormat="1" applyBorder="1" applyAlignment="1">
      <alignment vertical="center" wrapText="1"/>
    </xf>
    <xf numFmtId="171" fontId="3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14" fillId="8" borderId="1" xfId="13" applyNumberFormat="1"/>
    <xf numFmtId="165" fontId="6" fillId="6" borderId="2" xfId="7" applyNumberFormat="1"/>
    <xf numFmtId="0" fontId="0" fillId="0" borderId="17" xfId="0" applyBorder="1"/>
    <xf numFmtId="0" fontId="0" fillId="0" borderId="18" xfId="0" applyBorder="1"/>
    <xf numFmtId="0" fontId="7" fillId="0" borderId="18" xfId="8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8" xfId="0" applyNumberFormat="1" applyBorder="1"/>
    <xf numFmtId="165" fontId="5" fillId="5" borderId="31" xfId="6" applyNumberFormat="1" applyBorder="1"/>
    <xf numFmtId="165" fontId="5" fillId="5" borderId="1" xfId="6" applyNumberFormat="1" applyBorder="1"/>
    <xf numFmtId="165" fontId="4" fillId="4" borderId="9" xfId="5" applyNumberFormat="1" applyBorder="1"/>
    <xf numFmtId="165" fontId="4" fillId="4" borderId="0" xfId="5" applyNumberFormat="1" applyBorder="1"/>
    <xf numFmtId="0" fontId="0" fillId="0" borderId="9" xfId="0" applyBorder="1"/>
    <xf numFmtId="0" fontId="0" fillId="0" borderId="0" xfId="0" applyBorder="1"/>
    <xf numFmtId="165" fontId="0" fillId="0" borderId="9" xfId="0" applyNumberFormat="1" applyBorder="1"/>
    <xf numFmtId="165" fontId="0" fillId="0" borderId="0" xfId="0" applyNumberFormat="1" applyBorder="1"/>
    <xf numFmtId="0" fontId="0" fillId="0" borderId="10" xfId="0" applyBorder="1"/>
    <xf numFmtId="0" fontId="7" fillId="0" borderId="0" xfId="8" applyBorder="1"/>
    <xf numFmtId="165" fontId="5" fillId="5" borderId="32" xfId="6" applyNumberFormat="1" applyBorder="1"/>
    <xf numFmtId="170" fontId="5" fillId="5" borderId="33" xfId="6" applyNumberFormat="1" applyBorder="1"/>
    <xf numFmtId="44" fontId="0" fillId="0" borderId="0" xfId="0" applyNumberFormat="1" applyFill="1"/>
    <xf numFmtId="44" fontId="0" fillId="0" borderId="9" xfId="0" applyNumberFormat="1" applyBorder="1"/>
    <xf numFmtId="44" fontId="0" fillId="0" borderId="0" xfId="0" applyNumberFormat="1" applyBorder="1"/>
    <xf numFmtId="3" fontId="5" fillId="5" borderId="1" xfId="6" applyNumberFormat="1" applyBorder="1"/>
    <xf numFmtId="165" fontId="14" fillId="8" borderId="31" xfId="13" applyNumberFormat="1" applyBorder="1"/>
    <xf numFmtId="165" fontId="14" fillId="8" borderId="32" xfId="13" applyNumberFormat="1" applyBorder="1"/>
    <xf numFmtId="44" fontId="8" fillId="0" borderId="10" xfId="0" applyNumberFormat="1" applyFont="1" applyBorder="1"/>
    <xf numFmtId="44" fontId="14" fillId="8" borderId="1" xfId="13" applyNumberFormat="1"/>
    <xf numFmtId="165" fontId="14" fillId="8" borderId="1" xfId="13" applyNumberFormat="1" applyBorder="1"/>
    <xf numFmtId="165" fontId="14" fillId="8" borderId="13" xfId="13" applyNumberFormat="1" applyBorder="1"/>
    <xf numFmtId="0" fontId="0" fillId="0" borderId="0" xfId="0" applyFont="1"/>
    <xf numFmtId="165" fontId="5" fillId="5" borderId="34" xfId="11" applyNumberFormat="1" applyFont="1" applyFill="1" applyBorder="1"/>
    <xf numFmtId="165" fontId="5" fillId="5" borderId="14" xfId="11" applyNumberFormat="1" applyFont="1" applyFill="1" applyBorder="1"/>
    <xf numFmtId="165" fontId="5" fillId="5" borderId="35" xfId="11" applyNumberFormat="1" applyFont="1" applyFill="1" applyBorder="1"/>
    <xf numFmtId="0" fontId="0" fillId="0" borderId="12" xfId="0" applyBorder="1"/>
    <xf numFmtId="0" fontId="0" fillId="0" borderId="8" xfId="0" applyBorder="1"/>
    <xf numFmtId="10" fontId="5" fillId="0" borderId="9" xfId="2" applyNumberFormat="1" applyFont="1" applyFill="1" applyBorder="1"/>
    <xf numFmtId="169" fontId="0" fillId="0" borderId="9" xfId="2" applyNumberFormat="1" applyFont="1" applyBorder="1"/>
    <xf numFmtId="169" fontId="0" fillId="0" borderId="0" xfId="2" applyNumberFormat="1" applyFont="1" applyBorder="1"/>
    <xf numFmtId="169" fontId="0" fillId="0" borderId="38" xfId="2" applyNumberFormat="1" applyFont="1" applyBorder="1"/>
    <xf numFmtId="0" fontId="7" fillId="0" borderId="0" xfId="8" applyBorder="1" applyAlignment="1">
      <alignment horizontal="right"/>
    </xf>
    <xf numFmtId="44" fontId="6" fillId="6" borderId="41" xfId="7" applyNumberFormat="1" applyBorder="1"/>
    <xf numFmtId="44" fontId="6" fillId="6" borderId="2" xfId="7" applyNumberFormat="1" applyBorder="1"/>
    <xf numFmtId="44" fontId="6" fillId="6" borderId="20" xfId="7" applyNumberFormat="1" applyBorder="1"/>
    <xf numFmtId="165" fontId="6" fillId="6" borderId="41" xfId="7" applyNumberFormat="1" applyBorder="1"/>
    <xf numFmtId="165" fontId="6" fillId="6" borderId="2" xfId="7" applyNumberFormat="1" applyBorder="1"/>
    <xf numFmtId="165" fontId="6" fillId="6" borderId="20" xfId="7" applyNumberFormat="1" applyBorder="1"/>
    <xf numFmtId="0" fontId="0" fillId="0" borderId="11" xfId="0" applyBorder="1"/>
    <xf numFmtId="0" fontId="0" fillId="0" borderId="42" xfId="0" applyBorder="1"/>
    <xf numFmtId="0" fontId="0" fillId="0" borderId="6" xfId="0" applyBorder="1"/>
    <xf numFmtId="43" fontId="5" fillId="5" borderId="1" xfId="1" applyFont="1" applyFill="1" applyBorder="1"/>
    <xf numFmtId="44" fontId="14" fillId="8" borderId="1" xfId="13" applyNumberFormat="1" applyBorder="1"/>
    <xf numFmtId="0" fontId="7" fillId="0" borderId="12" xfId="8" applyBorder="1"/>
    <xf numFmtId="165" fontId="4" fillId="4" borderId="9" xfId="11" applyNumberFormat="1" applyFont="1" applyFill="1" applyBorder="1"/>
    <xf numFmtId="165" fontId="4" fillId="4" borderId="0" xfId="11" applyNumberFormat="1" applyFont="1" applyFill="1" applyBorder="1"/>
    <xf numFmtId="165" fontId="4" fillId="4" borderId="10" xfId="11" applyNumberFormat="1" applyFont="1" applyFill="1" applyBorder="1"/>
    <xf numFmtId="167" fontId="5" fillId="5" borderId="31" xfId="6" applyNumberFormat="1" applyBorder="1"/>
    <xf numFmtId="3" fontId="0" fillId="0" borderId="0" xfId="0" applyNumberFormat="1" applyFill="1"/>
    <xf numFmtId="165" fontId="5" fillId="0" borderId="7" xfId="11" applyNumberFormat="1" applyFont="1" applyFill="1" applyBorder="1"/>
    <xf numFmtId="165" fontId="5" fillId="0" borderId="12" xfId="11" applyNumberFormat="1" applyFont="1" applyFill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165" fontId="0" fillId="0" borderId="11" xfId="0" applyNumberFormat="1" applyBorder="1"/>
    <xf numFmtId="165" fontId="0" fillId="0" borderId="42" xfId="0" applyNumberForma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5" fillId="0" borderId="9" xfId="6" applyNumberFormat="1" applyFill="1" applyBorder="1"/>
    <xf numFmtId="165" fontId="4" fillId="4" borderId="6" xfId="5" applyNumberFormat="1" applyBorder="1"/>
    <xf numFmtId="165" fontId="4" fillId="0" borderId="0" xfId="11" applyNumberFormat="1" applyFont="1" applyFill="1" applyBorder="1"/>
    <xf numFmtId="165" fontId="6" fillId="6" borderId="43" xfId="7" applyNumberFormat="1" applyBorder="1"/>
    <xf numFmtId="44" fontId="5" fillId="5" borderId="1" xfId="11" applyNumberFormat="1" applyFont="1" applyFill="1" applyBorder="1"/>
    <xf numFmtId="167" fontId="6" fillId="6" borderId="46" xfId="1" applyNumberFormat="1" applyFont="1" applyFill="1" applyBorder="1"/>
    <xf numFmtId="171" fontId="33" fillId="0" borderId="6" xfId="0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165" fontId="6" fillId="6" borderId="48" xfId="11" applyNumberFormat="1" applyFont="1" applyFill="1" applyBorder="1"/>
    <xf numFmtId="10" fontId="6" fillId="0" borderId="44" xfId="1" applyNumberFormat="1" applyFont="1" applyFill="1" applyBorder="1"/>
    <xf numFmtId="165" fontId="14" fillId="8" borderId="37" xfId="13" applyNumberFormat="1" applyBorder="1" applyAlignment="1">
      <alignment horizontal="center"/>
    </xf>
    <xf numFmtId="167" fontId="6" fillId="0" borderId="44" xfId="1" applyNumberFormat="1" applyFont="1" applyFill="1" applyBorder="1"/>
    <xf numFmtId="167" fontId="5" fillId="5" borderId="13" xfId="1" applyNumberFormat="1" applyFont="1" applyFill="1" applyBorder="1" applyAlignment="1">
      <alignment horizontal="center"/>
    </xf>
    <xf numFmtId="10" fontId="6" fillId="0" borderId="45" xfId="1" applyNumberFormat="1" applyFont="1" applyFill="1" applyBorder="1"/>
    <xf numFmtId="165" fontId="6" fillId="6" borderId="47" xfId="11" applyNumberFormat="1" applyFont="1" applyFill="1" applyBorder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43" fontId="0" fillId="0" borderId="0" xfId="1" applyFont="1"/>
    <xf numFmtId="0" fontId="10" fillId="0" borderId="0" xfId="0" applyFont="1" applyFill="1" applyBorder="1" applyAlignment="1">
      <alignment horizontal="center" vertical="center" wrapText="1"/>
    </xf>
    <xf numFmtId="171" fontId="0" fillId="0" borderId="0" xfId="0" applyNumberFormat="1"/>
    <xf numFmtId="0" fontId="0" fillId="0" borderId="0" xfId="0"/>
    <xf numFmtId="5" fontId="11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3" fontId="5" fillId="5" borderId="32" xfId="6" applyNumberFormat="1" applyBorder="1"/>
    <xf numFmtId="167" fontId="6" fillId="6" borderId="2" xfId="1" applyNumberFormat="1" applyFont="1" applyFill="1" applyBorder="1"/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/>
    <xf numFmtId="10" fontId="14" fillId="0" borderId="49" xfId="13" applyNumberFormat="1" applyFill="1" applyBorder="1" applyAlignment="1">
      <alignment horizontal="center"/>
    </xf>
    <xf numFmtId="10" fontId="14" fillId="0" borderId="50" xfId="13" applyNumberFormat="1" applyFill="1" applyBorder="1" applyAlignment="1">
      <alignment horizontal="center"/>
    </xf>
    <xf numFmtId="10" fontId="14" fillId="0" borderId="36" xfId="13" applyNumberFormat="1" applyFill="1" applyBorder="1" applyAlignment="1">
      <alignment horizontal="center"/>
    </xf>
    <xf numFmtId="10" fontId="14" fillId="0" borderId="40" xfId="13" applyNumberFormat="1" applyFill="1" applyBorder="1" applyAlignment="1">
      <alignment horizontal="center"/>
    </xf>
    <xf numFmtId="10" fontId="14" fillId="0" borderId="0" xfId="13" applyNumberFormat="1" applyFill="1" applyBorder="1" applyAlignment="1">
      <alignment horizontal="center"/>
    </xf>
    <xf numFmtId="10" fontId="14" fillId="0" borderId="10" xfId="13" applyNumberFormat="1" applyFill="1" applyBorder="1" applyAlignment="1">
      <alignment horizontal="center"/>
    </xf>
    <xf numFmtId="168" fontId="5" fillId="5" borderId="1" xfId="2" applyNumberFormat="1" applyFont="1" applyFill="1" applyBorder="1" applyAlignment="1">
      <alignment horizontal="center"/>
    </xf>
    <xf numFmtId="41" fontId="14" fillId="8" borderId="1" xfId="11" applyNumberFormat="1" applyFont="1" applyFill="1" applyBorder="1" applyAlignment="1">
      <alignment horizontal="center"/>
    </xf>
    <xf numFmtId="169" fontId="0" fillId="0" borderId="0" xfId="2" applyNumberFormat="1" applyFont="1" applyFill="1" applyBorder="1"/>
    <xf numFmtId="169" fontId="0" fillId="0" borderId="10" xfId="2" applyNumberFormat="1" applyFont="1" applyBorder="1"/>
    <xf numFmtId="169" fontId="0" fillId="0" borderId="39" xfId="0" applyNumberFormat="1" applyBorder="1"/>
    <xf numFmtId="169" fontId="0" fillId="0" borderId="36" xfId="0" applyNumberFormat="1" applyBorder="1"/>
    <xf numFmtId="169" fontId="0" fillId="0" borderId="40" xfId="0" applyNumberFormat="1" applyBorder="1"/>
    <xf numFmtId="44" fontId="0" fillId="0" borderId="12" xfId="0" applyNumberFormat="1" applyBorder="1"/>
    <xf numFmtId="44" fontId="5" fillId="0" borderId="0" xfId="2" applyNumberFormat="1" applyFont="1" applyFill="1" applyBorder="1"/>
    <xf numFmtId="6" fontId="8" fillId="0" borderId="0" xfId="0" applyNumberFormat="1" applyFont="1"/>
    <xf numFmtId="0" fontId="0" fillId="0" borderId="0" xfId="0" applyFont="1" applyFill="1"/>
    <xf numFmtId="165" fontId="14" fillId="0" borderId="0" xfId="13" applyNumberFormat="1" applyFill="1" applyBorder="1"/>
    <xf numFmtId="165" fontId="5" fillId="5" borderId="0" xfId="6" applyNumberFormat="1" applyBorder="1"/>
    <xf numFmtId="0" fontId="8" fillId="0" borderId="0" xfId="0" applyFont="1" applyAlignment="1">
      <alignment horizontal="center"/>
    </xf>
    <xf numFmtId="165" fontId="0" fillId="0" borderId="51" xfId="0" applyNumberFormat="1" applyBorder="1"/>
    <xf numFmtId="0" fontId="0" fillId="0" borderId="49" xfId="0" applyBorder="1"/>
    <xf numFmtId="165" fontId="0" fillId="0" borderId="49" xfId="0" applyNumberFormat="1" applyBorder="1"/>
    <xf numFmtId="0" fontId="0" fillId="0" borderId="50" xfId="0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0" fillId="0" borderId="9" xfId="0" applyFill="1" applyBorder="1"/>
    <xf numFmtId="170" fontId="5" fillId="0" borderId="0" xfId="6" applyNumberFormat="1" applyFill="1" applyBorder="1"/>
    <xf numFmtId="0" fontId="0" fillId="0" borderId="52" xfId="0" applyBorder="1"/>
    <xf numFmtId="8" fontId="0" fillId="0" borderId="52" xfId="0" applyNumberFormat="1" applyBorder="1"/>
    <xf numFmtId="3" fontId="0" fillId="0" borderId="52" xfId="0" applyNumberFormat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0" borderId="9" xfId="0" applyNumberFormat="1" applyFill="1" applyBorder="1"/>
    <xf numFmtId="165" fontId="14" fillId="0" borderId="9" xfId="13" applyNumberFormat="1" applyFill="1" applyBorder="1"/>
    <xf numFmtId="165" fontId="37" fillId="5" borderId="49" xfId="6" applyNumberFormat="1" applyFont="1" applyBorder="1"/>
    <xf numFmtId="165" fontId="5" fillId="5" borderId="42" xfId="6" applyNumberFormat="1" applyBorder="1"/>
    <xf numFmtId="8" fontId="0" fillId="0" borderId="0" xfId="0" applyNumberFormat="1" applyBorder="1"/>
    <xf numFmtId="8" fontId="0" fillId="0" borderId="42" xfId="0" applyNumberFormat="1" applyBorder="1"/>
    <xf numFmtId="165" fontId="0" fillId="0" borderId="0" xfId="2" applyNumberFormat="1" applyFont="1" applyBorder="1"/>
    <xf numFmtId="0" fontId="10" fillId="7" borderId="6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horizontal="center"/>
    </xf>
    <xf numFmtId="167" fontId="6" fillId="6" borderId="53" xfId="1" applyNumberFormat="1" applyFont="1" applyFill="1" applyBorder="1"/>
    <xf numFmtId="167" fontId="6" fillId="6" borderId="54" xfId="1" applyNumberFormat="1" applyFont="1" applyFill="1" applyBorder="1"/>
    <xf numFmtId="167" fontId="6" fillId="6" borderId="55" xfId="1" applyNumberFormat="1" applyFont="1" applyFill="1" applyBorder="1"/>
    <xf numFmtId="165" fontId="4" fillId="4" borderId="10" xfId="5" applyNumberFormat="1" applyBorder="1"/>
    <xf numFmtId="10" fontId="14" fillId="8" borderId="1" xfId="2" applyNumberFormat="1" applyFont="1" applyFill="1" applyBorder="1" applyAlignment="1">
      <alignment horizontal="center"/>
    </xf>
    <xf numFmtId="10" fontId="6" fillId="6" borderId="54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13" fillId="8" borderId="56" xfId="12" applyNumberFormat="1" applyBorder="1"/>
    <xf numFmtId="165" fontId="6" fillId="6" borderId="46" xfId="7" applyNumberFormat="1" applyBorder="1"/>
    <xf numFmtId="165" fontId="14" fillId="8" borderId="31" xfId="13" applyNumberFormat="1" applyBorder="1" applyAlignment="1">
      <alignment horizontal="center"/>
    </xf>
    <xf numFmtId="41" fontId="4" fillId="4" borderId="9" xfId="5" applyNumberFormat="1" applyBorder="1"/>
    <xf numFmtId="41" fontId="4" fillId="4" borderId="0" xfId="5" applyNumberFormat="1" applyBorder="1"/>
    <xf numFmtId="41" fontId="4" fillId="4" borderId="10" xfId="5" applyNumberFormat="1" applyBorder="1"/>
    <xf numFmtId="0" fontId="0" fillId="0" borderId="0" xfId="0" applyAlignment="1">
      <alignment horizontal="right"/>
    </xf>
    <xf numFmtId="173" fontId="0" fillId="0" borderId="0" xfId="1" applyNumberFormat="1" applyFont="1"/>
    <xf numFmtId="5" fontId="0" fillId="0" borderId="0" xfId="0" applyNumberFormat="1"/>
    <xf numFmtId="0" fontId="8" fillId="0" borderId="0" xfId="0" applyFont="1" applyAlignment="1">
      <alignment horizontal="center"/>
    </xf>
    <xf numFmtId="44" fontId="4" fillId="0" borderId="9" xfId="5" applyNumberFormat="1" applyFill="1" applyBorder="1"/>
    <xf numFmtId="165" fontId="4" fillId="0" borderId="10" xfId="11" applyNumberFormat="1" applyFont="1" applyFill="1" applyBorder="1"/>
    <xf numFmtId="165" fontId="14" fillId="8" borderId="57" xfId="13" applyNumberFormat="1" applyBorder="1" applyAlignment="1">
      <alignment horizontal="center"/>
    </xf>
    <xf numFmtId="165" fontId="0" fillId="0" borderId="51" xfId="0" applyNumberFormat="1" applyFill="1" applyBorder="1"/>
    <xf numFmtId="165" fontId="4" fillId="4" borderId="11" xfId="5" applyNumberFormat="1" applyBorder="1"/>
    <xf numFmtId="165" fontId="4" fillId="4" borderId="42" xfId="5" applyNumberFormat="1" applyBorder="1"/>
    <xf numFmtId="43" fontId="0" fillId="0" borderId="0" xfId="1" applyFont="1" applyBorder="1"/>
    <xf numFmtId="43" fontId="0" fillId="0" borderId="0" xfId="1" applyNumberFormat="1" applyFont="1"/>
    <xf numFmtId="165" fontId="5" fillId="5" borderId="32" xfId="11" applyNumberFormat="1" applyFont="1" applyFill="1" applyBorder="1"/>
    <xf numFmtId="165" fontId="14" fillId="8" borderId="32" xfId="1" applyNumberFormat="1" applyFont="1" applyFill="1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3" borderId="17" xfId="4" applyBorder="1" applyAlignment="1">
      <alignment horizontal="center"/>
    </xf>
    <xf numFmtId="0" fontId="3" fillId="3" borderId="18" xfId="4" applyBorder="1" applyAlignment="1">
      <alignment horizontal="center"/>
    </xf>
    <xf numFmtId="0" fontId="3" fillId="3" borderId="4" xfId="4" applyBorder="1" applyAlignment="1">
      <alignment horizontal="center"/>
    </xf>
    <xf numFmtId="0" fontId="3" fillId="3" borderId="7" xfId="4" applyBorder="1" applyAlignment="1">
      <alignment horizontal="center"/>
    </xf>
    <xf numFmtId="0" fontId="3" fillId="3" borderId="12" xfId="4" applyBorder="1" applyAlignment="1">
      <alignment horizontal="center"/>
    </xf>
    <xf numFmtId="0" fontId="3" fillId="3" borderId="8" xfId="4" applyBorder="1" applyAlignment="1">
      <alignment horizontal="center"/>
    </xf>
    <xf numFmtId="0" fontId="30" fillId="0" borderId="29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171" fontId="0" fillId="0" borderId="0" xfId="1" applyNumberFormat="1" applyFont="1"/>
    <xf numFmtId="0" fontId="8" fillId="36" borderId="0" xfId="0" applyFont="1" applyFill="1" applyAlignment="1">
      <alignment horizontal="center"/>
    </xf>
    <xf numFmtId="180" fontId="10" fillId="7" borderId="4" xfId="0" applyNumberFormat="1" applyFont="1" applyFill="1" applyBorder="1" applyAlignment="1">
      <alignment vertical="center" wrapText="1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49"/>
  <sheetViews>
    <sheetView workbookViewId="0"/>
  </sheetViews>
  <sheetFormatPr defaultRowHeight="15" x14ac:dyDescent="0.25"/>
  <cols>
    <col min="1" max="1" width="23.5703125" customWidth="1"/>
    <col min="2" max="2" width="20.42578125" customWidth="1"/>
    <col min="3" max="3" width="15.140625" customWidth="1"/>
    <col min="4" max="4" width="16.140625" customWidth="1"/>
    <col min="5" max="5" width="12.7109375" customWidth="1"/>
    <col min="6" max="9" width="17.7109375" customWidth="1"/>
  </cols>
  <sheetData>
    <row r="1" spans="1:19" ht="15.75" thickBot="1" x14ac:dyDescent="0.3">
      <c r="A1" s="8" t="s">
        <v>161</v>
      </c>
    </row>
    <row r="2" spans="1:19" ht="15.75" thickBot="1" x14ac:dyDescent="0.3">
      <c r="B2" s="279" t="s">
        <v>11</v>
      </c>
      <c r="C2" s="279"/>
      <c r="E2" s="276" t="s">
        <v>8</v>
      </c>
      <c r="F2" s="277"/>
      <c r="G2" s="277"/>
      <c r="H2" s="277"/>
      <c r="I2" s="278"/>
      <c r="K2" s="3" t="s">
        <v>27</v>
      </c>
    </row>
    <row r="3" spans="1:19" x14ac:dyDescent="0.25">
      <c r="B3" s="48" t="s">
        <v>31</v>
      </c>
      <c r="C3" s="6" t="s">
        <v>10</v>
      </c>
      <c r="E3" s="19"/>
      <c r="F3" s="33" t="s">
        <v>0</v>
      </c>
      <c r="G3" s="33" t="s">
        <v>1</v>
      </c>
      <c r="H3" s="33" t="s">
        <v>2</v>
      </c>
      <c r="I3" s="34" t="s">
        <v>3</v>
      </c>
      <c r="K3" s="58" t="s">
        <v>46</v>
      </c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60" t="s">
        <v>32</v>
      </c>
      <c r="B4" s="40">
        <v>12908193916.666666</v>
      </c>
      <c r="C4" s="42">
        <f>SUM(F11:I11)</f>
        <v>2864899.2288513472</v>
      </c>
      <c r="D4" s="49"/>
      <c r="E4" s="25"/>
      <c r="F4" s="45">
        <v>1</v>
      </c>
      <c r="G4" s="45">
        <v>0</v>
      </c>
      <c r="H4" s="27">
        <f>IFERROR(B4/SUM($B$4:$B$8),0)</f>
        <v>0.44406369282256108</v>
      </c>
      <c r="I4" s="28">
        <f>H4</f>
        <v>0.44406369282256108</v>
      </c>
      <c r="K4" s="58" t="s">
        <v>28</v>
      </c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22" t="s">
        <v>4</v>
      </c>
      <c r="B5" s="40">
        <v>3321740257.2261481</v>
      </c>
      <c r="C5" s="42">
        <f>SUM(F12:I12)</f>
        <v>2734953.8670789679</v>
      </c>
      <c r="D5" s="49"/>
      <c r="E5" s="25"/>
      <c r="F5" s="45">
        <v>0</v>
      </c>
      <c r="G5" s="27">
        <f>IFERROR(B5/SUM($B$5:$B$8),0)</f>
        <v>0.2055513895706774</v>
      </c>
      <c r="H5" s="27">
        <f>IFERROR(B5/SUM($B$4:$B$8),0)</f>
        <v>0.11427348045311353</v>
      </c>
      <c r="I5" s="28">
        <f>H5</f>
        <v>0.11427348045311353</v>
      </c>
      <c r="K5" s="58" t="s">
        <v>41</v>
      </c>
    </row>
    <row r="6" spans="1:19" x14ac:dyDescent="0.25">
      <c r="A6" s="22" t="s">
        <v>5</v>
      </c>
      <c r="B6" s="40">
        <v>7694288799.8094788</v>
      </c>
      <c r="C6" s="42">
        <f>SUM(F13:I13)</f>
        <v>6335090.4278812958</v>
      </c>
      <c r="D6" s="49"/>
      <c r="E6" s="25"/>
      <c r="F6" s="45">
        <v>0</v>
      </c>
      <c r="G6" s="27">
        <f>IFERROR(B6/SUM($B$5:$B$8),0)</f>
        <v>0.47612746093508374</v>
      </c>
      <c r="H6" s="27">
        <f>IFERROR(B6/SUM($B$4:$B$8),0)</f>
        <v>0.26469654237802082</v>
      </c>
      <c r="I6" s="28">
        <f>H6</f>
        <v>0.26469654237802082</v>
      </c>
    </row>
    <row r="7" spans="1:19" x14ac:dyDescent="0.25">
      <c r="A7" s="22" t="s">
        <v>6</v>
      </c>
      <c r="B7" s="40">
        <v>3425587360.2288609</v>
      </c>
      <c r="C7" s="42">
        <f>SUM(F14:I14)</f>
        <v>2820456.3488953486</v>
      </c>
      <c r="D7" s="49"/>
      <c r="E7" s="25"/>
      <c r="F7" s="45">
        <v>0</v>
      </c>
      <c r="G7" s="27">
        <f>IFERROR(B7/SUM($B$5:$B$8),0)</f>
        <v>0.21197751403319692</v>
      </c>
      <c r="H7" s="27">
        <f>IFERROR(B7/SUM($B$4:$B$8),0)</f>
        <v>0.11784599635626924</v>
      </c>
      <c r="I7" s="28">
        <f>H7</f>
        <v>0.11784599635626924</v>
      </c>
    </row>
    <row r="8" spans="1:19" ht="15.75" thickBot="1" x14ac:dyDescent="0.3">
      <c r="A8" s="22" t="s">
        <v>7</v>
      </c>
      <c r="B8" s="40">
        <v>1718528567.2285078</v>
      </c>
      <c r="C8" s="42">
        <f>SUM(F15:I15)</f>
        <v>1414949.9920719713</v>
      </c>
      <c r="D8" s="49"/>
      <c r="E8" s="25"/>
      <c r="F8" s="45">
        <v>0</v>
      </c>
      <c r="G8" s="27">
        <f>IFERROR(B8/SUM($B$5:$B$8),0)</f>
        <v>0.10634363546104189</v>
      </c>
      <c r="H8" s="27">
        <f>IFERROR(B8/SUM($B$4:$B$8),0)</f>
        <v>5.9120287990035381E-2</v>
      </c>
      <c r="I8" s="28">
        <f>H8</f>
        <v>5.9120287990035381E-2</v>
      </c>
    </row>
    <row r="9" spans="1:19" ht="16.5" thickTop="1" thickBot="1" x14ac:dyDescent="0.3">
      <c r="A9" s="22" t="s">
        <v>9</v>
      </c>
      <c r="B9" s="41">
        <f>SUM(B4:B8)</f>
        <v>29068338901.15966</v>
      </c>
      <c r="C9" s="24">
        <f>SUM(C4:C8)</f>
        <v>16170349.864778932</v>
      </c>
      <c r="D9" s="4"/>
      <c r="E9" s="35" t="s">
        <v>26</v>
      </c>
      <c r="F9" s="61">
        <f>1-SUM(F4:F8)</f>
        <v>0</v>
      </c>
      <c r="G9" s="61">
        <f>(1-SUM(G4:G8))</f>
        <v>0</v>
      </c>
      <c r="H9" s="61">
        <f>1-SUM(H4:H8)</f>
        <v>0</v>
      </c>
      <c r="I9" s="62">
        <f>1-SUM(I4:I8)</f>
        <v>0</v>
      </c>
    </row>
    <row r="10" spans="1:19" ht="16.5" thickTop="1" thickBot="1" x14ac:dyDescent="0.3">
      <c r="B10" s="39" t="s">
        <v>26</v>
      </c>
      <c r="C10" s="21">
        <f>SUM(F10:I10)-C9</f>
        <v>0</v>
      </c>
      <c r="D10" s="4"/>
      <c r="E10" s="38" t="s">
        <v>39</v>
      </c>
      <c r="F10" s="43">
        <v>2763079.4206603691</v>
      </c>
      <c r="G10" s="43">
        <v>13177979.444118563</v>
      </c>
      <c r="H10" s="43">
        <v>79291</v>
      </c>
      <c r="I10" s="70">
        <v>150000</v>
      </c>
      <c r="J10" s="2" t="s">
        <v>37</v>
      </c>
    </row>
    <row r="11" spans="1:19" ht="15.75" thickTop="1" x14ac:dyDescent="0.25">
      <c r="D11" s="4"/>
      <c r="E11" s="25" t="s">
        <v>0</v>
      </c>
      <c r="F11" s="36">
        <f>F4*F$10</f>
        <v>2763079.4206603691</v>
      </c>
      <c r="G11" s="36">
        <f>G4*G$10</f>
        <v>0</v>
      </c>
      <c r="H11" s="36">
        <f>H4*H$10</f>
        <v>35210.254267593693</v>
      </c>
      <c r="I11" s="37">
        <f t="shared" ref="F11:I15" si="0">I4*I$10</f>
        <v>66609.553923384155</v>
      </c>
    </row>
    <row r="12" spans="1:19" x14ac:dyDescent="0.25">
      <c r="D12" s="4"/>
      <c r="E12" s="25" t="s">
        <v>4</v>
      </c>
      <c r="F12" s="29">
        <f t="shared" si="0"/>
        <v>0</v>
      </c>
      <c r="G12" s="29">
        <f t="shared" si="0"/>
        <v>2708751.9864723934</v>
      </c>
      <c r="H12" s="29">
        <f t="shared" si="0"/>
        <v>9060.8585386078248</v>
      </c>
      <c r="I12" s="30">
        <f t="shared" si="0"/>
        <v>17141.022067967031</v>
      </c>
    </row>
    <row r="13" spans="1:19" x14ac:dyDescent="0.25">
      <c r="B13" s="53"/>
      <c r="C13" s="53"/>
      <c r="D13" s="4"/>
      <c r="E13" s="25" t="s">
        <v>5</v>
      </c>
      <c r="F13" s="29">
        <f t="shared" si="0"/>
        <v>0</v>
      </c>
      <c r="G13" s="29">
        <f t="shared" si="0"/>
        <v>6274397.8929828973</v>
      </c>
      <c r="H13" s="29">
        <f t="shared" si="0"/>
        <v>20988.053541695648</v>
      </c>
      <c r="I13" s="30">
        <f t="shared" si="0"/>
        <v>39704.481356703123</v>
      </c>
    </row>
    <row r="14" spans="1:19" x14ac:dyDescent="0.25">
      <c r="A14" s="60" t="s">
        <v>40</v>
      </c>
      <c r="B14" s="64">
        <v>3.2239201521064388E-2</v>
      </c>
      <c r="C14" s="76"/>
      <c r="D14" s="4"/>
      <c r="E14" s="25" t="s">
        <v>6</v>
      </c>
      <c r="F14" s="29">
        <f t="shared" si="0"/>
        <v>0</v>
      </c>
      <c r="G14" s="29">
        <f t="shared" si="0"/>
        <v>2793435.3225448234</v>
      </c>
      <c r="H14" s="29">
        <f t="shared" si="0"/>
        <v>9344.1268970849451</v>
      </c>
      <c r="I14" s="30">
        <f t="shared" si="0"/>
        <v>17676.899453440386</v>
      </c>
    </row>
    <row r="15" spans="1:19" ht="15.75" thickBot="1" x14ac:dyDescent="0.3">
      <c r="A15" s="22" t="s">
        <v>38</v>
      </c>
      <c r="B15" s="41">
        <f>B4*(1-B14)</f>
        <v>12492044051.714272</v>
      </c>
      <c r="C15" s="76"/>
      <c r="D15" s="4"/>
      <c r="E15" s="26" t="s">
        <v>7</v>
      </c>
      <c r="F15" s="31">
        <f t="shared" si="0"/>
        <v>0</v>
      </c>
      <c r="G15" s="31">
        <f t="shared" si="0"/>
        <v>1401394.242118448</v>
      </c>
      <c r="H15" s="31">
        <f t="shared" si="0"/>
        <v>4687.7067550178954</v>
      </c>
      <c r="I15" s="32">
        <f t="shared" si="0"/>
        <v>8868.0431985053074</v>
      </c>
    </row>
    <row r="16" spans="1:19" x14ac:dyDescent="0.25">
      <c r="C16" s="5"/>
    </row>
    <row r="17" spans="1:32" x14ac:dyDescent="0.25">
      <c r="B17" s="73"/>
    </row>
    <row r="18" spans="1:32" x14ac:dyDescent="0.25">
      <c r="H18" s="4"/>
      <c r="I18" s="4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0" spans="1:32" x14ac:dyDescent="0.25">
      <c r="A20" s="44"/>
    </row>
    <row r="31" spans="1:32" x14ac:dyDescent="0.25">
      <c r="C31" s="2"/>
    </row>
    <row r="45" spans="2:4" x14ac:dyDescent="0.25">
      <c r="B45" s="7"/>
      <c r="C45" s="7"/>
      <c r="D45" s="7"/>
    </row>
    <row r="49" spans="2:4" x14ac:dyDescent="0.25">
      <c r="B49" s="7"/>
      <c r="C49" s="7"/>
      <c r="D49" s="7"/>
    </row>
  </sheetData>
  <mergeCells count="2">
    <mergeCell ref="E2:I2"/>
    <mergeCell ref="B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67"/>
  <sheetViews>
    <sheetView zoomScaleNormal="100" workbookViewId="0">
      <pane xSplit="1" ySplit="14" topLeftCell="B15" activePane="bottomRight" state="frozen"/>
      <selection activeCell="K28" sqref="K28"/>
      <selection pane="topRight" activeCell="K28" sqref="K28"/>
      <selection pane="bottomLeft" activeCell="K28" sqref="K28"/>
      <selection pane="bottomRight" activeCell="B15" sqref="B15"/>
    </sheetView>
  </sheetViews>
  <sheetFormatPr defaultColWidth="9.140625" defaultRowHeight="15" x14ac:dyDescent="0.25"/>
  <cols>
    <col min="1" max="1" width="23.42578125" style="183" customWidth="1"/>
    <col min="2" max="2" width="18" style="183" customWidth="1"/>
    <col min="3" max="3" width="16.42578125" style="183" customWidth="1"/>
    <col min="4" max="4" width="15.140625" style="183" customWidth="1"/>
    <col min="5" max="5" width="16.140625" style="183" customWidth="1"/>
    <col min="6" max="6" width="15" style="183" bestFit="1" customWidth="1"/>
    <col min="7" max="7" width="16" style="183" customWidth="1"/>
    <col min="8" max="8" width="15" style="183" bestFit="1" customWidth="1"/>
    <col min="9" max="11" width="16" style="183" bestFit="1" customWidth="1"/>
    <col min="12" max="13" width="16" style="183" customWidth="1"/>
    <col min="14" max="14" width="16.42578125" style="183" customWidth="1"/>
    <col min="15" max="15" width="17.28515625" style="183" customWidth="1"/>
    <col min="16" max="16" width="16.85546875" style="183" customWidth="1"/>
    <col min="17" max="17" width="13.85546875" style="183" bestFit="1" customWidth="1"/>
    <col min="18" max="18" width="10.85546875" style="183" bestFit="1" customWidth="1"/>
    <col min="19" max="19" width="9.140625" style="183"/>
    <col min="20" max="20" width="12.7109375" style="183" bestFit="1" customWidth="1"/>
    <col min="21" max="16384" width="9.140625" style="183"/>
  </cols>
  <sheetData>
    <row r="2" spans="1:23" x14ac:dyDescent="0.25">
      <c r="B2" s="204" t="s">
        <v>152</v>
      </c>
      <c r="I2" s="3" t="s">
        <v>27</v>
      </c>
    </row>
    <row r="3" spans="1:23" x14ac:dyDescent="0.25">
      <c r="B3" s="265" t="s">
        <v>166</v>
      </c>
      <c r="C3" s="265" t="s">
        <v>67</v>
      </c>
      <c r="D3" s="265" t="s">
        <v>94</v>
      </c>
      <c r="E3" s="265" t="s">
        <v>68</v>
      </c>
      <c r="F3" s="265" t="s">
        <v>153</v>
      </c>
      <c r="H3" s="58" t="s">
        <v>156</v>
      </c>
      <c r="I3" s="50"/>
      <c r="J3" s="50"/>
      <c r="K3" s="50"/>
      <c r="L3" s="50"/>
      <c r="M3" s="50"/>
      <c r="N3" s="50"/>
    </row>
    <row r="4" spans="1:23" x14ac:dyDescent="0.25">
      <c r="A4" s="183" t="s">
        <v>0</v>
      </c>
      <c r="B4" s="24">
        <f>SUM(B15:P15)</f>
        <v>-921734.3709472178</v>
      </c>
      <c r="C4" s="24">
        <f>SUM(B29:P29)</f>
        <v>-1020249.1792753487</v>
      </c>
      <c r="D4" s="24">
        <f>B4-C4</f>
        <v>98514.808328130865</v>
      </c>
      <c r="E4" s="24">
        <f>SUM(B55:P55)</f>
        <v>-12082.666662813632</v>
      </c>
      <c r="F4" s="42">
        <f>D4+E4</f>
        <v>86432.141665317235</v>
      </c>
      <c r="H4" s="58" t="s">
        <v>157</v>
      </c>
      <c r="I4" s="50"/>
      <c r="J4" s="50"/>
      <c r="K4" s="50"/>
      <c r="L4" s="50"/>
      <c r="M4" s="50"/>
      <c r="N4" s="50"/>
    </row>
    <row r="5" spans="1:23" x14ac:dyDescent="0.25">
      <c r="A5" s="183" t="s">
        <v>4</v>
      </c>
      <c r="B5" s="24">
        <f>SUM(B16:P16)</f>
        <v>-5996.3551165116669</v>
      </c>
      <c r="C5" s="24">
        <f t="shared" ref="C5:C8" si="0">SUM(B30:P30)</f>
        <v>-6018.4795557326252</v>
      </c>
      <c r="D5" s="24">
        <f>B5-C5</f>
        <v>22.124439220958266</v>
      </c>
      <c r="E5" s="24">
        <f>SUM(B56:P56)</f>
        <v>-87.729346249150609</v>
      </c>
      <c r="F5" s="42">
        <f>D5+E5</f>
        <v>-65.604907028192343</v>
      </c>
      <c r="H5" s="58" t="s">
        <v>129</v>
      </c>
      <c r="I5" s="50"/>
      <c r="J5" s="50"/>
      <c r="K5" s="50"/>
      <c r="L5" s="50"/>
      <c r="M5" s="50"/>
      <c r="N5" s="50"/>
    </row>
    <row r="6" spans="1:23" x14ac:dyDescent="0.25">
      <c r="A6" s="183" t="s">
        <v>5</v>
      </c>
      <c r="B6" s="24">
        <f>SUM(B17:P17)</f>
        <v>-13905.086120111719</v>
      </c>
      <c r="C6" s="24">
        <f t="shared" si="0"/>
        <v>-15322.164279414972</v>
      </c>
      <c r="D6" s="24">
        <f>B6-C6</f>
        <v>1417.0781593032534</v>
      </c>
      <c r="E6" s="24">
        <f>SUM(B57:P57)</f>
        <v>-183.35724513741383</v>
      </c>
      <c r="F6" s="42">
        <f>D6+E6</f>
        <v>1233.7209141658395</v>
      </c>
      <c r="H6" s="58" t="s">
        <v>158</v>
      </c>
      <c r="I6" s="50"/>
      <c r="J6" s="50"/>
      <c r="K6" s="50"/>
      <c r="L6" s="50"/>
      <c r="M6" s="50"/>
      <c r="N6" s="50"/>
    </row>
    <row r="7" spans="1:23" x14ac:dyDescent="0.25">
      <c r="A7" s="183" t="s">
        <v>6</v>
      </c>
      <c r="B7" s="24">
        <f>SUM(B18:P18)</f>
        <v>-6107.6805178623044</v>
      </c>
      <c r="C7" s="24">
        <f t="shared" si="0"/>
        <v>-6712.8978011731706</v>
      </c>
      <c r="D7" s="24">
        <f>B7-C7</f>
        <v>605.21728331086615</v>
      </c>
      <c r="E7" s="24">
        <f>SUM(B58:P58)</f>
        <v>-81.507297643528929</v>
      </c>
      <c r="F7" s="42">
        <f>D7+E7</f>
        <v>523.70998566733726</v>
      </c>
      <c r="H7" s="58" t="s">
        <v>85</v>
      </c>
      <c r="I7" s="50"/>
      <c r="J7" s="50"/>
      <c r="K7" s="50"/>
      <c r="L7" s="50"/>
      <c r="M7" s="50"/>
      <c r="N7" s="50"/>
    </row>
    <row r="8" spans="1:23" ht="15.75" thickBot="1" x14ac:dyDescent="0.3">
      <c r="A8" s="183" t="s">
        <v>7</v>
      </c>
      <c r="B8" s="24">
        <f>SUM(B19:P19)</f>
        <v>-2843.7872982965264</v>
      </c>
      <c r="C8" s="24">
        <f t="shared" si="0"/>
        <v>-3057.5625463534934</v>
      </c>
      <c r="D8" s="24">
        <f>B8-C8</f>
        <v>213.77524805696703</v>
      </c>
      <c r="E8" s="24">
        <f>SUM(B59:P59)</f>
        <v>-41.072418849172323</v>
      </c>
      <c r="F8" s="42">
        <f>D8+E8</f>
        <v>172.70282920779471</v>
      </c>
      <c r="H8" s="58" t="s">
        <v>109</v>
      </c>
      <c r="I8" s="50"/>
      <c r="J8" s="50"/>
      <c r="K8" s="50"/>
      <c r="L8" s="50"/>
      <c r="M8" s="50"/>
      <c r="N8" s="50"/>
    </row>
    <row r="9" spans="1:23" ht="16.5" thickTop="1" thickBot="1" x14ac:dyDescent="0.3">
      <c r="B9" s="91">
        <f>SUM(B4:B8)</f>
        <v>-950587.28000000014</v>
      </c>
      <c r="C9" s="91">
        <f>SUM(C4:C8)</f>
        <v>-1051360.2834580229</v>
      </c>
      <c r="D9" s="91">
        <f>SUM(D4:D8)</f>
        <v>100773.00345802291</v>
      </c>
      <c r="E9" s="91">
        <f>SUM(E4:E8)</f>
        <v>-12476.332970692898</v>
      </c>
      <c r="F9" s="91">
        <f>SUM(F4:F8)</f>
        <v>88296.670487330004</v>
      </c>
      <c r="H9" s="58" t="s">
        <v>159</v>
      </c>
      <c r="I9" s="50"/>
      <c r="J9" s="50"/>
      <c r="K9" s="50"/>
      <c r="L9" s="50"/>
      <c r="M9" s="50"/>
      <c r="N9" s="50"/>
    </row>
    <row r="10" spans="1:23" ht="16.5" thickTop="1" thickBot="1" x14ac:dyDescent="0.3">
      <c r="D10" s="39" t="s">
        <v>26</v>
      </c>
      <c r="E10" s="21">
        <f>E9-SUM(B38:P38)</f>
        <v>-8.3358888241491513E-3</v>
      </c>
      <c r="M10" s="50"/>
      <c r="N10" s="50"/>
    </row>
    <row r="11" spans="1:23" ht="15.75" thickTop="1" x14ac:dyDescent="0.25">
      <c r="E11" s="4"/>
      <c r="G11" s="3"/>
    </row>
    <row r="12" spans="1:23" ht="15.75" thickBot="1" x14ac:dyDescent="0.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49"/>
      <c r="O12" s="49"/>
    </row>
    <row r="13" spans="1:23" ht="15.75" thickBot="1" x14ac:dyDescent="0.3">
      <c r="B13" s="185"/>
      <c r="C13" s="124"/>
      <c r="D13" s="142" t="s">
        <v>134</v>
      </c>
      <c r="E13" s="124"/>
      <c r="F13" s="124"/>
      <c r="G13" s="124"/>
      <c r="H13" s="124"/>
      <c r="I13" s="124"/>
      <c r="J13" s="124"/>
      <c r="K13" s="124"/>
      <c r="L13" s="124"/>
      <c r="M13" s="124"/>
      <c r="N13" s="283" t="s">
        <v>70</v>
      </c>
      <c r="O13" s="284"/>
      <c r="P13" s="285"/>
    </row>
    <row r="14" spans="1:23" x14ac:dyDescent="0.25">
      <c r="A14" s="183" t="s">
        <v>154</v>
      </c>
      <c r="B14" s="95">
        <v>43040</v>
      </c>
      <c r="C14" s="96">
        <f t="shared" ref="C14:K14" si="1">EDATE(B14,1)</f>
        <v>43070</v>
      </c>
      <c r="D14" s="96">
        <f t="shared" si="1"/>
        <v>43101</v>
      </c>
      <c r="E14" s="96">
        <f t="shared" si="1"/>
        <v>43132</v>
      </c>
      <c r="F14" s="96">
        <f t="shared" si="1"/>
        <v>43160</v>
      </c>
      <c r="G14" s="96">
        <f t="shared" si="1"/>
        <v>43191</v>
      </c>
      <c r="H14" s="96">
        <f t="shared" si="1"/>
        <v>43221</v>
      </c>
      <c r="I14" s="96">
        <f t="shared" si="1"/>
        <v>43252</v>
      </c>
      <c r="J14" s="96">
        <f t="shared" si="1"/>
        <v>43282</v>
      </c>
      <c r="K14" s="96">
        <f t="shared" si="1"/>
        <v>43313</v>
      </c>
      <c r="L14" s="96">
        <f t="shared" ref="L14" si="2">EDATE(K14,1)</f>
        <v>43344</v>
      </c>
      <c r="M14" s="96">
        <f t="shared" ref="M14" si="3">EDATE(L14,1)</f>
        <v>43374</v>
      </c>
      <c r="N14" s="95">
        <f>EDATE(M14,1)</f>
        <v>43405</v>
      </c>
      <c r="O14" s="96">
        <f>EDATE(N14,1)</f>
        <v>43435</v>
      </c>
      <c r="P14" s="97">
        <f>EDATE(O14,1)</f>
        <v>43466</v>
      </c>
      <c r="Q14" s="1"/>
      <c r="R14" s="1"/>
      <c r="S14" s="1"/>
      <c r="T14" s="1"/>
      <c r="U14" s="1"/>
      <c r="V14" s="1"/>
      <c r="W14" s="1"/>
    </row>
    <row r="15" spans="1:23" x14ac:dyDescent="0.25">
      <c r="A15" s="50" t="s">
        <v>0</v>
      </c>
      <c r="B15" s="98">
        <v>-921734.3709472178</v>
      </c>
      <c r="C15" s="99"/>
      <c r="D15" s="99"/>
      <c r="E15" s="99"/>
      <c r="F15" s="99"/>
      <c r="G15" s="99"/>
      <c r="H15" s="99"/>
      <c r="I15" s="99"/>
      <c r="J15" s="99"/>
      <c r="K15" s="108"/>
      <c r="L15" s="108"/>
      <c r="M15" s="108"/>
      <c r="N15" s="143">
        <v>0</v>
      </c>
      <c r="O15" s="144">
        <v>0</v>
      </c>
      <c r="P15" s="145">
        <v>0</v>
      </c>
      <c r="Q15" s="50"/>
    </row>
    <row r="16" spans="1:23" x14ac:dyDescent="0.25">
      <c r="A16" s="50" t="s">
        <v>4</v>
      </c>
      <c r="B16" s="98">
        <v>-5996.3551165116669</v>
      </c>
      <c r="C16" s="99"/>
      <c r="D16" s="99"/>
      <c r="E16" s="99"/>
      <c r="F16" s="99"/>
      <c r="G16" s="99"/>
      <c r="H16" s="99"/>
      <c r="I16" s="99"/>
      <c r="J16" s="99"/>
      <c r="K16" s="108"/>
      <c r="L16" s="108"/>
      <c r="M16" s="108"/>
      <c r="N16" s="143">
        <v>0</v>
      </c>
      <c r="O16" s="144">
        <v>0</v>
      </c>
      <c r="P16" s="145">
        <v>0</v>
      </c>
      <c r="Q16" s="50"/>
    </row>
    <row r="17" spans="1:18" x14ac:dyDescent="0.25">
      <c r="A17" s="50" t="s">
        <v>5</v>
      </c>
      <c r="B17" s="98">
        <v>-13905.086120111719</v>
      </c>
      <c r="C17" s="99"/>
      <c r="D17" s="99"/>
      <c r="E17" s="99"/>
      <c r="F17" s="99"/>
      <c r="G17" s="99"/>
      <c r="H17" s="99"/>
      <c r="I17" s="99"/>
      <c r="J17" s="99"/>
      <c r="K17" s="108"/>
      <c r="L17" s="108"/>
      <c r="M17" s="108"/>
      <c r="N17" s="143">
        <v>0</v>
      </c>
      <c r="O17" s="144">
        <v>0</v>
      </c>
      <c r="P17" s="145">
        <v>0</v>
      </c>
      <c r="Q17" s="50"/>
    </row>
    <row r="18" spans="1:18" x14ac:dyDescent="0.25">
      <c r="A18" s="50" t="s">
        <v>6</v>
      </c>
      <c r="B18" s="98">
        <v>-6107.6805178623044</v>
      </c>
      <c r="C18" s="99"/>
      <c r="D18" s="99"/>
      <c r="E18" s="99"/>
      <c r="F18" s="99"/>
      <c r="G18" s="99"/>
      <c r="H18" s="99"/>
      <c r="I18" s="99"/>
      <c r="J18" s="99"/>
      <c r="K18" s="108"/>
      <c r="L18" s="108"/>
      <c r="M18" s="108"/>
      <c r="N18" s="143">
        <v>0</v>
      </c>
      <c r="O18" s="144">
        <v>0</v>
      </c>
      <c r="P18" s="145">
        <v>0</v>
      </c>
      <c r="Q18" s="50"/>
    </row>
    <row r="19" spans="1:18" x14ac:dyDescent="0.25">
      <c r="A19" s="50" t="s">
        <v>7</v>
      </c>
      <c r="B19" s="98">
        <v>-2843.7872982965264</v>
      </c>
      <c r="C19" s="99"/>
      <c r="D19" s="99"/>
      <c r="E19" s="99"/>
      <c r="F19" s="99"/>
      <c r="G19" s="99"/>
      <c r="H19" s="99"/>
      <c r="I19" s="99"/>
      <c r="J19" s="99"/>
      <c r="K19" s="108"/>
      <c r="L19" s="108"/>
      <c r="M19" s="108"/>
      <c r="N19" s="143">
        <v>0</v>
      </c>
      <c r="O19" s="144">
        <v>0</v>
      </c>
      <c r="P19" s="145">
        <v>0</v>
      </c>
      <c r="Q19" s="50"/>
    </row>
    <row r="20" spans="1:18" x14ac:dyDescent="0.25">
      <c r="B20" s="104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2"/>
      <c r="O20" s="103"/>
      <c r="P20" s="106"/>
    </row>
    <row r="21" spans="1:18" x14ac:dyDescent="0.25">
      <c r="A21" s="183" t="s">
        <v>155</v>
      </c>
      <c r="B21" s="104"/>
      <c r="C21" s="103"/>
      <c r="D21" s="107" t="s">
        <v>71</v>
      </c>
      <c r="E21" s="103"/>
      <c r="F21" s="103"/>
      <c r="G21" s="103"/>
      <c r="H21" s="103"/>
      <c r="I21" s="103"/>
      <c r="J21" s="103"/>
      <c r="K21" s="103"/>
      <c r="L21" s="103"/>
      <c r="M21" s="103"/>
      <c r="N21" s="102"/>
      <c r="O21" s="103"/>
      <c r="P21" s="106"/>
      <c r="Q21" s="120" t="s">
        <v>125</v>
      </c>
      <c r="R21" s="50"/>
    </row>
    <row r="22" spans="1:18" x14ac:dyDescent="0.25">
      <c r="A22" s="50" t="s">
        <v>0</v>
      </c>
      <c r="B22" s="98">
        <v>0</v>
      </c>
      <c r="C22" s="99">
        <v>0</v>
      </c>
      <c r="D22" s="99">
        <v>-11204.14</v>
      </c>
      <c r="E22" s="99">
        <v>-94588.49</v>
      </c>
      <c r="F22" s="99">
        <v>-76195.319999999978</v>
      </c>
      <c r="G22" s="99">
        <v>-73607.73</v>
      </c>
      <c r="H22" s="99">
        <v>-59967.37000000001</v>
      </c>
      <c r="I22" s="99">
        <v>-89116.420000000027</v>
      </c>
      <c r="J22" s="99">
        <v>-104503.22999999998</v>
      </c>
      <c r="K22" s="108">
        <v>-93654.23</v>
      </c>
      <c r="L22" s="108">
        <v>-90073.77</v>
      </c>
      <c r="M22" s="108">
        <v>-69694.899999999994</v>
      </c>
      <c r="N22" s="114">
        <f>PCR!AJ28*$Q22+N36</f>
        <v>-62419.500513274354</v>
      </c>
      <c r="O22" s="118">
        <f>PCR!AK28*$Q22+O36</f>
        <v>-85302.990415077162</v>
      </c>
      <c r="P22" s="119">
        <f>PCR!AL28*$Q22+P36</f>
        <v>-108942.62586165295</v>
      </c>
      <c r="Q22" s="109">
        <v>-7.3999999999999996E-5</v>
      </c>
      <c r="R22" s="50"/>
    </row>
    <row r="23" spans="1:18" x14ac:dyDescent="0.25">
      <c r="A23" s="50" t="s">
        <v>4</v>
      </c>
      <c r="B23" s="98">
        <v>0</v>
      </c>
      <c r="C23" s="99">
        <v>0</v>
      </c>
      <c r="D23" s="99">
        <v>-58.16</v>
      </c>
      <c r="E23" s="99">
        <v>-608.88999999999976</v>
      </c>
      <c r="F23" s="99">
        <v>-442.86000000000007</v>
      </c>
      <c r="G23" s="99">
        <v>-435.03000000000009</v>
      </c>
      <c r="H23" s="99">
        <v>-381.88000000000011</v>
      </c>
      <c r="I23" s="99">
        <v>-511.93000000000006</v>
      </c>
      <c r="J23" s="99">
        <v>-575.79</v>
      </c>
      <c r="K23" s="108">
        <v>-531.20000000000005</v>
      </c>
      <c r="L23" s="108">
        <v>-518.59000000000015</v>
      </c>
      <c r="M23" s="108">
        <v>-442.88</v>
      </c>
      <c r="N23" s="114">
        <f>PCR!AJ29*$Q23</f>
        <v>-479.37166199861861</v>
      </c>
      <c r="O23" s="118">
        <f>PCR!AK29*$Q23</f>
        <v>-559.28862192881184</v>
      </c>
      <c r="P23" s="119">
        <f>PCR!AL29*$Q23</f>
        <v>-663.84871174573061</v>
      </c>
      <c r="Q23" s="109">
        <v>-1.9999999999999999E-6</v>
      </c>
      <c r="R23" s="50"/>
    </row>
    <row r="24" spans="1:18" x14ac:dyDescent="0.25">
      <c r="A24" s="50" t="s">
        <v>5</v>
      </c>
      <c r="B24" s="98">
        <v>0</v>
      </c>
      <c r="C24" s="99">
        <v>0</v>
      </c>
      <c r="D24" s="99">
        <v>-102.03</v>
      </c>
      <c r="E24" s="99">
        <v>-1260.97</v>
      </c>
      <c r="F24" s="99">
        <v>-1173.2299999999998</v>
      </c>
      <c r="G24" s="99">
        <v>-1193.3399999999999</v>
      </c>
      <c r="H24" s="99">
        <v>-1183.3799999999999</v>
      </c>
      <c r="I24" s="99">
        <v>-1411.2900000000002</v>
      </c>
      <c r="J24" s="99">
        <v>-1498.6599999999996</v>
      </c>
      <c r="K24" s="108">
        <v>-1418.5000000000005</v>
      </c>
      <c r="L24" s="108">
        <v>-1442.8999999999999</v>
      </c>
      <c r="M24" s="108">
        <v>-1311.3</v>
      </c>
      <c r="N24" s="114">
        <f>PCR!AJ30*$Q24</f>
        <v>-1166.7607012470221</v>
      </c>
      <c r="O24" s="118">
        <f>PCR!AK30*$Q24</f>
        <v>-1255.8974160331086</v>
      </c>
      <c r="P24" s="119">
        <f>PCR!AL30*$Q24</f>
        <v>-1386.0685439997103</v>
      </c>
      <c r="Q24" s="109">
        <v>-1.9999999999999999E-6</v>
      </c>
      <c r="R24" s="50"/>
    </row>
    <row r="25" spans="1:18" x14ac:dyDescent="0.25">
      <c r="A25" s="50" t="s">
        <v>6</v>
      </c>
      <c r="B25" s="98">
        <v>0</v>
      </c>
      <c r="C25" s="99">
        <v>0</v>
      </c>
      <c r="D25" s="99">
        <v>-58.64</v>
      </c>
      <c r="E25" s="99">
        <v>-481.78999999999996</v>
      </c>
      <c r="F25" s="99">
        <v>-485.44</v>
      </c>
      <c r="G25" s="99">
        <v>-504.2999999999999</v>
      </c>
      <c r="H25" s="99">
        <v>-579.20000000000005</v>
      </c>
      <c r="I25" s="99">
        <v>-628.11999999999989</v>
      </c>
      <c r="J25" s="99">
        <v>-650.43000000000018</v>
      </c>
      <c r="K25" s="108">
        <v>-639.34</v>
      </c>
      <c r="L25" s="108">
        <v>-622.20999999999981</v>
      </c>
      <c r="M25" s="108">
        <v>-583.54999999999995</v>
      </c>
      <c r="N25" s="114">
        <f>PCR!AJ31*$Q25</f>
        <v>-533.9615694211119</v>
      </c>
      <c r="O25" s="118">
        <f>PCR!AK31*$Q25</f>
        <v>-554.53708941315574</v>
      </c>
      <c r="P25" s="119">
        <f>PCR!AL31*$Q25</f>
        <v>-602.10600418882791</v>
      </c>
      <c r="Q25" s="109">
        <v>-1.9999999999999999E-6</v>
      </c>
      <c r="R25" s="50"/>
    </row>
    <row r="26" spans="1:18" x14ac:dyDescent="0.25">
      <c r="A26" s="50" t="s">
        <v>7</v>
      </c>
      <c r="B26" s="98">
        <v>0</v>
      </c>
      <c r="C26" s="99">
        <v>0</v>
      </c>
      <c r="D26" s="99">
        <v>-11.07</v>
      </c>
      <c r="E26" s="99">
        <v>-122.92999999999999</v>
      </c>
      <c r="F26" s="99">
        <v>-142.99</v>
      </c>
      <c r="G26" s="99">
        <v>-245.89</v>
      </c>
      <c r="H26" s="99">
        <v>-281.14999999999998</v>
      </c>
      <c r="I26" s="99">
        <v>-311.15999999999997</v>
      </c>
      <c r="J26" s="99">
        <v>-281.26999999999992</v>
      </c>
      <c r="K26" s="108">
        <v>-320.44999999999993</v>
      </c>
      <c r="L26" s="108">
        <v>-300.97000000000003</v>
      </c>
      <c r="M26" s="108">
        <v>-297.18</v>
      </c>
      <c r="N26" s="114">
        <f>PCR!AJ32*$Q26</f>
        <v>-281.43247331712075</v>
      </c>
      <c r="O26" s="118">
        <f>PCR!AK32*$Q26</f>
        <v>-271.60440281563393</v>
      </c>
      <c r="P26" s="119">
        <f>PCR!AL32*$Q26</f>
        <v>-283.79947190949315</v>
      </c>
      <c r="Q26" s="109">
        <v>-1.9999999999999999E-6</v>
      </c>
      <c r="R26" s="50"/>
    </row>
    <row r="27" spans="1:18" x14ac:dyDescent="0.25">
      <c r="A27" s="50"/>
      <c r="B27" s="104"/>
      <c r="C27" s="112"/>
      <c r="D27" s="272"/>
      <c r="E27" s="272"/>
      <c r="F27" s="272"/>
      <c r="G27" s="272"/>
      <c r="H27" s="112"/>
      <c r="I27" s="112"/>
      <c r="J27" s="112"/>
      <c r="K27" s="112"/>
      <c r="L27" s="112"/>
      <c r="M27" s="112"/>
      <c r="N27" s="104"/>
      <c r="O27" s="103"/>
      <c r="P27" s="106"/>
    </row>
    <row r="28" spans="1:18" x14ac:dyDescent="0.25">
      <c r="A28" s="50" t="s">
        <v>117</v>
      </c>
      <c r="B28" s="240"/>
      <c r="C28" s="232"/>
      <c r="D28" s="107"/>
      <c r="E28" s="103"/>
      <c r="F28" s="103"/>
      <c r="G28" s="103"/>
      <c r="H28" s="103"/>
      <c r="I28" s="103"/>
      <c r="J28" s="103"/>
      <c r="K28" s="103"/>
      <c r="L28" s="103"/>
      <c r="M28" s="103"/>
      <c r="N28" s="102"/>
      <c r="O28" s="103"/>
      <c r="P28" s="106"/>
    </row>
    <row r="29" spans="1:18" x14ac:dyDescent="0.25">
      <c r="A29" s="183" t="s">
        <v>0</v>
      </c>
      <c r="B29" s="114">
        <f>+IFERROR((B22-B36)+(B36*B22/SUM(B22:B26)),0)</f>
        <v>0</v>
      </c>
      <c r="C29" s="118">
        <f>+IFERROR((C22-C36)+(C36*C22/SUM(C22:C26)),0)</f>
        <v>0</v>
      </c>
      <c r="D29" s="118">
        <f t="shared" ref="D29:F29" si="4">+(D22-D36)+(D36*D22/SUM(D22:D26))</f>
        <v>-11212.618540681071</v>
      </c>
      <c r="E29" s="118">
        <f t="shared" si="4"/>
        <v>-94682.744407777034</v>
      </c>
      <c r="F29" s="118">
        <f t="shared" si="4"/>
        <v>-76280.627958119221</v>
      </c>
      <c r="G29" s="118">
        <f>+(G22-G36)+(G36*G22/SUM(G22:G26))</f>
        <v>-73670.047933995724</v>
      </c>
      <c r="H29" s="118">
        <f t="shared" ref="H29:P29" si="5">+(H22-H36)+(H36*H22/SUM(H22:H26))</f>
        <v>-60045.195744928365</v>
      </c>
      <c r="I29" s="118">
        <f t="shared" si="5"/>
        <v>-89194.201368274415</v>
      </c>
      <c r="J29" s="118">
        <f t="shared" si="5"/>
        <v>-104584.84754104615</v>
      </c>
      <c r="K29" s="115">
        <f t="shared" si="5"/>
        <v>-93731.738888901542</v>
      </c>
      <c r="L29" s="115">
        <f t="shared" ref="L29:M29" si="6">+(L22-L36)+(L36*L22/SUM(L22:L26))</f>
        <v>-90149.75359462465</v>
      </c>
      <c r="M29" s="115">
        <f t="shared" si="6"/>
        <v>-69772.812741129834</v>
      </c>
      <c r="N29" s="114">
        <f>+(N22-N36)+(N36*N22/SUM(N22:N26))</f>
        <v>-62498.390761749586</v>
      </c>
      <c r="O29" s="118">
        <f t="shared" si="5"/>
        <v>-85388.33873571812</v>
      </c>
      <c r="P29" s="119">
        <f t="shared" si="5"/>
        <v>-109037.86105840284</v>
      </c>
    </row>
    <row r="30" spans="1:18" x14ac:dyDescent="0.25">
      <c r="A30" s="183" t="s">
        <v>4</v>
      </c>
      <c r="B30" s="114">
        <f>IFERROR(+B23+(B36*B23/SUM(B22:B26)),0)</f>
        <v>0</v>
      </c>
      <c r="C30" s="118">
        <f>IFERROR(+C23+(C36*C23/SUM(C22:C26)),0)</f>
        <v>0</v>
      </c>
      <c r="D30" s="118">
        <f t="shared" ref="D30:P30" si="7">+D23+(D36*D23/SUM(D22:D26))</f>
        <v>-56.015102540186433</v>
      </c>
      <c r="E30" s="118">
        <f t="shared" si="7"/>
        <v>-585.69795676383399</v>
      </c>
      <c r="F30" s="118">
        <f t="shared" si="7"/>
        <v>-426.02812399413364</v>
      </c>
      <c r="G30" s="118">
        <f t="shared" si="7"/>
        <v>-423.6322758197565</v>
      </c>
      <c r="H30" s="118">
        <f t="shared" si="7"/>
        <v>-369.62737263070312</v>
      </c>
      <c r="I30" s="118">
        <f t="shared" si="7"/>
        <v>-498.01956651154421</v>
      </c>
      <c r="J30" s="118">
        <f t="shared" si="7"/>
        <v>-560.15719260217099</v>
      </c>
      <c r="K30" s="115">
        <f t="shared" si="7"/>
        <v>-517.04881825182383</v>
      </c>
      <c r="L30" s="115">
        <f t="shared" ref="L30:M30" si="8">+L23+(L36*L23/SUM(L22:L26))</f>
        <v>-504.93009008434319</v>
      </c>
      <c r="M30" s="115">
        <f t="shared" si="8"/>
        <v>-429.78429851813519</v>
      </c>
      <c r="N30" s="114">
        <f t="shared" si="7"/>
        <v>-464.00812600927395</v>
      </c>
      <c r="O30" s="118">
        <f t="shared" si="7"/>
        <v>-541.21651837875459</v>
      </c>
      <c r="P30" s="119">
        <f t="shared" si="7"/>
        <v>-642.31411362796575</v>
      </c>
    </row>
    <row r="31" spans="1:18" x14ac:dyDescent="0.25">
      <c r="A31" s="183" t="s">
        <v>5</v>
      </c>
      <c r="B31" s="114">
        <f t="shared" ref="B31:C33" si="9">IFERROR(+B24+(B37*B24/SUM(B23:B27)),0)</f>
        <v>0</v>
      </c>
      <c r="C31" s="118">
        <f t="shared" si="9"/>
        <v>0</v>
      </c>
      <c r="D31" s="118">
        <f t="shared" ref="D31:P31" si="10">+D24+(D36*D24/SUM(D22:D26))</f>
        <v>-98.267209631623501</v>
      </c>
      <c r="E31" s="118">
        <f t="shared" si="10"/>
        <v>-1212.9408473459771</v>
      </c>
      <c r="F31" s="118">
        <f t="shared" si="10"/>
        <v>-1128.6387931030963</v>
      </c>
      <c r="G31" s="118">
        <f t="shared" si="10"/>
        <v>-1162.0746615790822</v>
      </c>
      <c r="H31" s="118">
        <f t="shared" si="10"/>
        <v>-1145.4112292440591</v>
      </c>
      <c r="I31" s="118">
        <f t="shared" si="10"/>
        <v>-1372.9416795696234</v>
      </c>
      <c r="J31" s="118">
        <f t="shared" si="10"/>
        <v>-1457.9710975619055</v>
      </c>
      <c r="K31" s="115">
        <f t="shared" si="10"/>
        <v>-1380.7111232872971</v>
      </c>
      <c r="L31" s="115">
        <f t="shared" ref="L31:M31" si="11">+L24+(L36*L24/SUM(L22:L26))</f>
        <v>-1404.8933203160466</v>
      </c>
      <c r="M31" s="115">
        <f t="shared" si="11"/>
        <v>-1272.5256291700475</v>
      </c>
      <c r="N31" s="114">
        <f t="shared" si="10"/>
        <v>-1129.3668136946676</v>
      </c>
      <c r="O31" s="118">
        <f t="shared" si="10"/>
        <v>-1215.316028783488</v>
      </c>
      <c r="P31" s="119">
        <f t="shared" si="10"/>
        <v>-1341.1058461280575</v>
      </c>
    </row>
    <row r="32" spans="1:18" x14ac:dyDescent="0.25">
      <c r="A32" s="183" t="s">
        <v>6</v>
      </c>
      <c r="B32" s="114">
        <f t="shared" si="9"/>
        <v>0</v>
      </c>
      <c r="C32" s="118">
        <f t="shared" si="9"/>
        <v>0</v>
      </c>
      <c r="D32" s="118">
        <f t="shared" ref="D32:P32" si="12">+D25+(D36*D25/SUM(D22:D26))</f>
        <v>-56.477400497877113</v>
      </c>
      <c r="E32" s="118">
        <f t="shared" si="12"/>
        <v>-463.43907534899188</v>
      </c>
      <c r="F32" s="118">
        <f t="shared" si="12"/>
        <v>-466.98977670530689</v>
      </c>
      <c r="G32" s="118">
        <f t="shared" si="12"/>
        <v>-491.08741166334073</v>
      </c>
      <c r="H32" s="118">
        <f t="shared" si="12"/>
        <v>-560.61635651959568</v>
      </c>
      <c r="I32" s="118">
        <f t="shared" si="12"/>
        <v>-611.05239020419015</v>
      </c>
      <c r="J32" s="118">
        <f t="shared" si="12"/>
        <v>-632.770702485681</v>
      </c>
      <c r="K32" s="115">
        <f t="shared" si="12"/>
        <v>-622.30796585301403</v>
      </c>
      <c r="L32" s="115">
        <f t="shared" ref="L32:M32" si="13">+L25+(L36*L25/SUM(L22:L26))</f>
        <v>-605.82068946832567</v>
      </c>
      <c r="M32" s="115">
        <f t="shared" si="13"/>
        <v>-566.29476923829884</v>
      </c>
      <c r="N32" s="114">
        <f t="shared" si="12"/>
        <v>-516.84846399780497</v>
      </c>
      <c r="O32" s="118">
        <f t="shared" si="12"/>
        <v>-536.61852052173015</v>
      </c>
      <c r="P32" s="119">
        <f t="shared" si="12"/>
        <v>-582.57427866901401</v>
      </c>
    </row>
    <row r="33" spans="1:18" x14ac:dyDescent="0.25">
      <c r="A33" s="183" t="s">
        <v>7</v>
      </c>
      <c r="B33" s="114">
        <f t="shared" si="9"/>
        <v>0</v>
      </c>
      <c r="C33" s="118">
        <f t="shared" si="9"/>
        <v>0</v>
      </c>
      <c r="D33" s="118">
        <f t="shared" ref="D33:P33" si="14">+D26+(D36*D26/SUM(D22:D26))</f>
        <v>-10.661746649241126</v>
      </c>
      <c r="E33" s="118">
        <f t="shared" si="14"/>
        <v>-118.24771276417437</v>
      </c>
      <c r="F33" s="118">
        <f t="shared" si="14"/>
        <v>-137.55534807822147</v>
      </c>
      <c r="G33" s="118">
        <f t="shared" si="14"/>
        <v>-239.44771694209572</v>
      </c>
      <c r="H33" s="118">
        <f t="shared" si="14"/>
        <v>-272.12929667728645</v>
      </c>
      <c r="I33" s="118">
        <f t="shared" si="14"/>
        <v>-302.70499544025955</v>
      </c>
      <c r="J33" s="118">
        <f t="shared" si="14"/>
        <v>-273.63346630405636</v>
      </c>
      <c r="K33" s="115">
        <f t="shared" si="14"/>
        <v>-311.91320370631945</v>
      </c>
      <c r="L33" s="115">
        <f t="shared" ref="L33:M33" si="15">+L26+(L36*L26/SUM(L22:L26))</f>
        <v>-293.04230550663289</v>
      </c>
      <c r="M33" s="115">
        <f t="shared" si="15"/>
        <v>-288.39256194368545</v>
      </c>
      <c r="N33" s="114">
        <f t="shared" si="14"/>
        <v>-272.41275380689586</v>
      </c>
      <c r="O33" s="118">
        <f t="shared" si="14"/>
        <v>-262.82814186577258</v>
      </c>
      <c r="P33" s="119">
        <f t="shared" si="14"/>
        <v>-274.59329666885236</v>
      </c>
    </row>
    <row r="34" spans="1:18" s="50" customFormat="1" x14ac:dyDescent="0.25">
      <c r="B34" s="241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102"/>
      <c r="O34" s="103"/>
      <c r="P34" s="106"/>
    </row>
    <row r="35" spans="1:18" x14ac:dyDescent="0.25">
      <c r="A35" s="50" t="s">
        <v>124</v>
      </c>
      <c r="B35" s="240"/>
      <c r="C35" s="232"/>
      <c r="D35" s="107" t="s">
        <v>89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2"/>
      <c r="O35" s="103"/>
      <c r="P35" s="106"/>
      <c r="Q35" s="221"/>
      <c r="R35" s="50"/>
    </row>
    <row r="36" spans="1:18" x14ac:dyDescent="0.25">
      <c r="A36" s="50" t="str">
        <f>A22</f>
        <v>RES</v>
      </c>
      <c r="B36" s="98"/>
      <c r="C36" s="99"/>
      <c r="D36" s="99">
        <v>421.67887468030682</v>
      </c>
      <c r="E36" s="99">
        <v>3697.040378516625</v>
      </c>
      <c r="F36" s="99">
        <v>2981.2800000000007</v>
      </c>
      <c r="G36" s="99">
        <v>1990.8299999999995</v>
      </c>
      <c r="H36" s="99">
        <v>2001.8799999999997</v>
      </c>
      <c r="I36" s="99">
        <v>2499.3000000000002</v>
      </c>
      <c r="J36" s="99">
        <v>2918.8999999999996</v>
      </c>
      <c r="K36" s="108">
        <v>2572.46</v>
      </c>
      <c r="L36" s="108">
        <v>2448.5699999999988</v>
      </c>
      <c r="M36" s="108">
        <v>2138.75</v>
      </c>
      <c r="N36" s="114">
        <f>-(PCR!AJ28*OAR!$Q$22*PPC!$B$14)</f>
        <v>2079.3928200589694</v>
      </c>
      <c r="O36" s="118">
        <f>-(PCR!AK28*OAR!$Q$22*PPC!$B$14)</f>
        <v>2841.714918256172</v>
      </c>
      <c r="P36" s="119">
        <f>-(PCR!AL28*OAR!$Q$22*PPC!$B$14)</f>
        <v>3629.2266383470355</v>
      </c>
      <c r="Q36" s="234"/>
      <c r="R36" s="50"/>
    </row>
    <row r="37" spans="1:18" x14ac:dyDescent="0.25">
      <c r="A37" s="50"/>
      <c r="B37" s="104"/>
      <c r="C37" s="112"/>
      <c r="D37" s="107" t="s">
        <v>71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1"/>
      <c r="O37" s="112"/>
      <c r="P37" s="106"/>
    </row>
    <row r="38" spans="1:18" ht="15.75" thickBot="1" x14ac:dyDescent="0.3">
      <c r="A38" s="50" t="s">
        <v>91</v>
      </c>
      <c r="B38" s="121">
        <v>-1142.98</v>
      </c>
      <c r="C38" s="122">
        <v>-1406.61</v>
      </c>
      <c r="D38" s="122">
        <v>-1346.15</v>
      </c>
      <c r="E38" s="122">
        <v>-1288.4100000000001</v>
      </c>
      <c r="F38" s="122">
        <v>-1315.95</v>
      </c>
      <c r="G38" s="122">
        <v>-1336.96</v>
      </c>
      <c r="H38" s="122">
        <v>-1160.06</v>
      </c>
      <c r="I38" s="122">
        <v>-1030.1500000000001</v>
      </c>
      <c r="J38" s="122">
        <v>-852.43</v>
      </c>
      <c r="K38" s="123">
        <v>-659.07</v>
      </c>
      <c r="L38" s="123">
        <v>-480.93</v>
      </c>
      <c r="M38" s="123">
        <v>-360.32</v>
      </c>
      <c r="N38" s="270">
        <v>-228.19091131982336</v>
      </c>
      <c r="O38" s="271">
        <v>-48.561952250760534</v>
      </c>
      <c r="P38" s="158">
        <v>180.4482287665096</v>
      </c>
      <c r="Q38" s="50"/>
    </row>
    <row r="39" spans="1:18" x14ac:dyDescent="0.25">
      <c r="B39" s="148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266"/>
      <c r="O39" s="159"/>
      <c r="P39" s="267"/>
    </row>
    <row r="40" spans="1:18" x14ac:dyDescent="0.25">
      <c r="A40" s="183" t="s">
        <v>72</v>
      </c>
      <c r="B40" s="104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2"/>
      <c r="O40" s="103"/>
      <c r="P40" s="106"/>
    </row>
    <row r="41" spans="1:18" x14ac:dyDescent="0.25">
      <c r="A41" s="183" t="s">
        <v>0</v>
      </c>
      <c r="B41" s="114">
        <f>B15-B29</f>
        <v>-921734.3709472178</v>
      </c>
      <c r="C41" s="118">
        <f>C15-C29</f>
        <v>0</v>
      </c>
      <c r="D41" s="118">
        <f t="shared" ref="B41:P45" si="16">D15-D29</f>
        <v>11212.618540681071</v>
      </c>
      <c r="E41" s="118">
        <f t="shared" si="16"/>
        <v>94682.744407777034</v>
      </c>
      <c r="F41" s="118">
        <f t="shared" si="16"/>
        <v>76280.627958119221</v>
      </c>
      <c r="G41" s="118">
        <f t="shared" si="16"/>
        <v>73670.047933995724</v>
      </c>
      <c r="H41" s="118">
        <f t="shared" si="16"/>
        <v>60045.195744928365</v>
      </c>
      <c r="I41" s="118">
        <f t="shared" si="16"/>
        <v>89194.201368274415</v>
      </c>
      <c r="J41" s="118">
        <f t="shared" si="16"/>
        <v>104584.84754104615</v>
      </c>
      <c r="K41" s="115">
        <f t="shared" si="16"/>
        <v>93731.738888901542</v>
      </c>
      <c r="L41" s="115">
        <f t="shared" ref="L41:M41" si="17">L15-L29</f>
        <v>90149.75359462465</v>
      </c>
      <c r="M41" s="115">
        <f t="shared" si="17"/>
        <v>69772.812741129834</v>
      </c>
      <c r="N41" s="114">
        <f>N15-N29</f>
        <v>62498.390761749586</v>
      </c>
      <c r="O41" s="118">
        <f t="shared" si="16"/>
        <v>85388.33873571812</v>
      </c>
      <c r="P41" s="119">
        <f t="shared" si="16"/>
        <v>109037.86105840284</v>
      </c>
    </row>
    <row r="42" spans="1:18" x14ac:dyDescent="0.25">
      <c r="A42" s="183" t="s">
        <v>4</v>
      </c>
      <c r="B42" s="114">
        <f t="shared" si="16"/>
        <v>-5996.3551165116669</v>
      </c>
      <c r="C42" s="118">
        <f t="shared" si="16"/>
        <v>0</v>
      </c>
      <c r="D42" s="118">
        <f t="shared" si="16"/>
        <v>56.015102540186433</v>
      </c>
      <c r="E42" s="118">
        <f t="shared" si="16"/>
        <v>585.69795676383399</v>
      </c>
      <c r="F42" s="118">
        <f t="shared" si="16"/>
        <v>426.02812399413364</v>
      </c>
      <c r="G42" s="118">
        <f t="shared" si="16"/>
        <v>423.6322758197565</v>
      </c>
      <c r="H42" s="118">
        <f t="shared" si="16"/>
        <v>369.62737263070312</v>
      </c>
      <c r="I42" s="118">
        <f t="shared" si="16"/>
        <v>498.01956651154421</v>
      </c>
      <c r="J42" s="118">
        <f t="shared" si="16"/>
        <v>560.15719260217099</v>
      </c>
      <c r="K42" s="115">
        <f t="shared" si="16"/>
        <v>517.04881825182383</v>
      </c>
      <c r="L42" s="115">
        <f t="shared" ref="L42:M42" si="18">L16-L30</f>
        <v>504.93009008434319</v>
      </c>
      <c r="M42" s="115">
        <f t="shared" si="18"/>
        <v>429.78429851813519</v>
      </c>
      <c r="N42" s="114">
        <f t="shared" si="16"/>
        <v>464.00812600927395</v>
      </c>
      <c r="O42" s="118">
        <f t="shared" si="16"/>
        <v>541.21651837875459</v>
      </c>
      <c r="P42" s="119">
        <f t="shared" si="16"/>
        <v>642.31411362796575</v>
      </c>
    </row>
    <row r="43" spans="1:18" x14ac:dyDescent="0.25">
      <c r="A43" s="183" t="s">
        <v>5</v>
      </c>
      <c r="B43" s="114">
        <f t="shared" si="16"/>
        <v>-13905.086120111719</v>
      </c>
      <c r="C43" s="118">
        <f t="shared" si="16"/>
        <v>0</v>
      </c>
      <c r="D43" s="118">
        <f t="shared" si="16"/>
        <v>98.267209631623501</v>
      </c>
      <c r="E43" s="118">
        <f t="shared" si="16"/>
        <v>1212.9408473459771</v>
      </c>
      <c r="F43" s="118">
        <f t="shared" si="16"/>
        <v>1128.6387931030963</v>
      </c>
      <c r="G43" s="118">
        <f t="shared" si="16"/>
        <v>1162.0746615790822</v>
      </c>
      <c r="H43" s="118">
        <f t="shared" si="16"/>
        <v>1145.4112292440591</v>
      </c>
      <c r="I43" s="118">
        <f t="shared" si="16"/>
        <v>1372.9416795696234</v>
      </c>
      <c r="J43" s="118">
        <f t="shared" si="16"/>
        <v>1457.9710975619055</v>
      </c>
      <c r="K43" s="115">
        <f t="shared" si="16"/>
        <v>1380.7111232872971</v>
      </c>
      <c r="L43" s="115">
        <f t="shared" ref="L43:M43" si="19">L17-L31</f>
        <v>1404.8933203160466</v>
      </c>
      <c r="M43" s="115">
        <f t="shared" si="19"/>
        <v>1272.5256291700475</v>
      </c>
      <c r="N43" s="114">
        <f t="shared" si="16"/>
        <v>1129.3668136946676</v>
      </c>
      <c r="O43" s="118">
        <f t="shared" si="16"/>
        <v>1215.316028783488</v>
      </c>
      <c r="P43" s="119">
        <f t="shared" si="16"/>
        <v>1341.1058461280575</v>
      </c>
    </row>
    <row r="44" spans="1:18" x14ac:dyDescent="0.25">
      <c r="A44" s="183" t="s">
        <v>6</v>
      </c>
      <c r="B44" s="114">
        <f t="shared" si="16"/>
        <v>-6107.6805178623044</v>
      </c>
      <c r="C44" s="118">
        <f t="shared" si="16"/>
        <v>0</v>
      </c>
      <c r="D44" s="118">
        <f t="shared" si="16"/>
        <v>56.477400497877113</v>
      </c>
      <c r="E44" s="118">
        <f t="shared" si="16"/>
        <v>463.43907534899188</v>
      </c>
      <c r="F44" s="118">
        <f t="shared" si="16"/>
        <v>466.98977670530689</v>
      </c>
      <c r="G44" s="118">
        <f t="shared" si="16"/>
        <v>491.08741166334073</v>
      </c>
      <c r="H44" s="118">
        <f t="shared" si="16"/>
        <v>560.61635651959568</v>
      </c>
      <c r="I44" s="118">
        <f t="shared" si="16"/>
        <v>611.05239020419015</v>
      </c>
      <c r="J44" s="118">
        <f t="shared" si="16"/>
        <v>632.770702485681</v>
      </c>
      <c r="K44" s="115">
        <f t="shared" si="16"/>
        <v>622.30796585301403</v>
      </c>
      <c r="L44" s="115">
        <f t="shared" ref="L44:M44" si="20">L18-L32</f>
        <v>605.82068946832567</v>
      </c>
      <c r="M44" s="115">
        <f t="shared" si="20"/>
        <v>566.29476923829884</v>
      </c>
      <c r="N44" s="114">
        <f t="shared" si="16"/>
        <v>516.84846399780497</v>
      </c>
      <c r="O44" s="118">
        <f t="shared" si="16"/>
        <v>536.61852052173015</v>
      </c>
      <c r="P44" s="119">
        <f t="shared" si="16"/>
        <v>582.57427866901401</v>
      </c>
    </row>
    <row r="45" spans="1:18" x14ac:dyDescent="0.25">
      <c r="A45" s="183" t="s">
        <v>7</v>
      </c>
      <c r="B45" s="114">
        <f t="shared" si="16"/>
        <v>-2843.7872982965264</v>
      </c>
      <c r="C45" s="118">
        <f t="shared" si="16"/>
        <v>0</v>
      </c>
      <c r="D45" s="118">
        <f t="shared" si="16"/>
        <v>10.661746649241126</v>
      </c>
      <c r="E45" s="118">
        <f t="shared" si="16"/>
        <v>118.24771276417437</v>
      </c>
      <c r="F45" s="118">
        <f t="shared" si="16"/>
        <v>137.55534807822147</v>
      </c>
      <c r="G45" s="118">
        <f t="shared" si="16"/>
        <v>239.44771694209572</v>
      </c>
      <c r="H45" s="118">
        <f t="shared" si="16"/>
        <v>272.12929667728645</v>
      </c>
      <c r="I45" s="118">
        <f t="shared" si="16"/>
        <v>302.70499544025955</v>
      </c>
      <c r="J45" s="118">
        <f t="shared" si="16"/>
        <v>273.63346630405636</v>
      </c>
      <c r="K45" s="115">
        <f t="shared" si="16"/>
        <v>311.91320370631945</v>
      </c>
      <c r="L45" s="115">
        <f t="shared" ref="L45:M45" si="21">L19-L33</f>
        <v>293.04230550663289</v>
      </c>
      <c r="M45" s="115">
        <f t="shared" si="21"/>
        <v>288.39256194368545</v>
      </c>
      <c r="N45" s="114">
        <f t="shared" si="16"/>
        <v>272.41275380689586</v>
      </c>
      <c r="O45" s="118">
        <f t="shared" si="16"/>
        <v>262.82814186577258</v>
      </c>
      <c r="P45" s="119">
        <f t="shared" si="16"/>
        <v>274.59329666885236</v>
      </c>
    </row>
    <row r="46" spans="1:18" x14ac:dyDescent="0.25">
      <c r="B46" s="104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2"/>
      <c r="O46" s="103"/>
      <c r="P46" s="106"/>
    </row>
    <row r="47" spans="1:18" x14ac:dyDescent="0.25">
      <c r="A47" s="183" t="s">
        <v>73</v>
      </c>
      <c r="B47" s="104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2"/>
      <c r="O47" s="103"/>
      <c r="P47" s="106"/>
    </row>
    <row r="48" spans="1:18" x14ac:dyDescent="0.25">
      <c r="A48" s="183" t="s">
        <v>0</v>
      </c>
      <c r="B48" s="114">
        <f>B41</f>
        <v>-921734.3709472178</v>
      </c>
      <c r="C48" s="118">
        <f>B48+C41+B55</f>
        <v>-922842.6558288018</v>
      </c>
      <c r="D48" s="118">
        <f t="shared" ref="C48:K52" si="22">C48+D41+C55</f>
        <v>-912993.95336033846</v>
      </c>
      <c r="E48" s="118">
        <f t="shared" si="22"/>
        <v>-819616.32315729395</v>
      </c>
      <c r="F48" s="118">
        <f t="shared" si="22"/>
        <v>-744583.9476368808</v>
      </c>
      <c r="G48" s="118">
        <f t="shared" si="22"/>
        <v>-672188.34572031256</v>
      </c>
      <c r="H48" s="118">
        <f t="shared" si="22"/>
        <v>-613437.78248861374</v>
      </c>
      <c r="I48" s="118">
        <f t="shared" si="22"/>
        <v>-525367.60106112855</v>
      </c>
      <c r="J48" s="118">
        <f t="shared" si="22"/>
        <v>-421780.75976511784</v>
      </c>
      <c r="K48" s="115">
        <f>J48+K41+J55</f>
        <v>-328874.0131463139</v>
      </c>
      <c r="L48" s="115">
        <f t="shared" ref="L48:M52" si="23">K48+L41+K55</f>
        <v>-239361.57518366846</v>
      </c>
      <c r="M48" s="115">
        <f t="shared" si="23"/>
        <v>-170053.31578659106</v>
      </c>
      <c r="N48" s="114">
        <f>M48+N41+M55</f>
        <v>-107903.16771559737</v>
      </c>
      <c r="O48" s="118">
        <f t="shared" ref="O48:P52" si="24">N48+O41+N55</f>
        <v>-22735.797852450494</v>
      </c>
      <c r="P48" s="119">
        <f>O48+P41+O55</f>
        <v>86255.503834945688</v>
      </c>
      <c r="Q48" s="49"/>
    </row>
    <row r="49" spans="1:17" x14ac:dyDescent="0.25">
      <c r="A49" s="183" t="s">
        <v>4</v>
      </c>
      <c r="B49" s="114">
        <f>B42</f>
        <v>-5996.3551165116669</v>
      </c>
      <c r="C49" s="118">
        <f t="shared" si="22"/>
        <v>-6003.5650784374757</v>
      </c>
      <c r="D49" s="118">
        <f t="shared" si="22"/>
        <v>-5956.4229499079365</v>
      </c>
      <c r="E49" s="118">
        <f t="shared" si="22"/>
        <v>-5379.2396302593952</v>
      </c>
      <c r="F49" s="118">
        <f t="shared" si="22"/>
        <v>-4961.4039358103573</v>
      </c>
      <c r="G49" s="118">
        <f t="shared" si="22"/>
        <v>-4546.2637064642186</v>
      </c>
      <c r="H49" s="118">
        <f t="shared" si="22"/>
        <v>-4185.3924225779538</v>
      </c>
      <c r="I49" s="118">
        <f t="shared" si="22"/>
        <v>-3695.0418726762446</v>
      </c>
      <c r="J49" s="118">
        <f t="shared" si="22"/>
        <v>-3141.9039078626733</v>
      </c>
      <c r="K49" s="115">
        <f t="shared" si="22"/>
        <v>-2631.0005724887778</v>
      </c>
      <c r="L49" s="115">
        <f t="shared" si="23"/>
        <v>-2131.1690238688443</v>
      </c>
      <c r="M49" s="115">
        <f t="shared" si="23"/>
        <v>-1705.5209017441823</v>
      </c>
      <c r="N49" s="114">
        <f t="shared" ref="N49:N52" si="25">M49+N42+M56</f>
        <v>-1245.0054167646731</v>
      </c>
      <c r="O49" s="118">
        <f t="shared" si="24"/>
        <v>-706.33847546610843</v>
      </c>
      <c r="P49" s="119">
        <f t="shared" si="24"/>
        <v>-65.470832964818172</v>
      </c>
      <c r="Q49" s="49"/>
    </row>
    <row r="50" spans="1:17" x14ac:dyDescent="0.25">
      <c r="A50" s="183" t="s">
        <v>5</v>
      </c>
      <c r="B50" s="114">
        <f>B43</f>
        <v>-13905.086120111719</v>
      </c>
      <c r="C50" s="118">
        <f t="shared" si="22"/>
        <v>-13921.805467040494</v>
      </c>
      <c r="D50" s="118">
        <f t="shared" si="22"/>
        <v>-13844.114001400389</v>
      </c>
      <c r="E50" s="118">
        <f t="shared" si="22"/>
        <v>-12650.96315350475</v>
      </c>
      <c r="F50" s="118">
        <f t="shared" si="22"/>
        <v>-11541.591418840486</v>
      </c>
      <c r="G50" s="118">
        <f t="shared" si="22"/>
        <v>-10399.271595201706</v>
      </c>
      <c r="H50" s="118">
        <f t="shared" si="22"/>
        <v>-9273.8893283857669</v>
      </c>
      <c r="I50" s="118">
        <f t="shared" si="22"/>
        <v>-7917.9404667209837</v>
      </c>
      <c r="J50" s="118">
        <f t="shared" si="22"/>
        <v>-6475.0105593992939</v>
      </c>
      <c r="K50" s="115">
        <f t="shared" si="22"/>
        <v>-5106.964389495075</v>
      </c>
      <c r="L50" s="115">
        <f t="shared" si="23"/>
        <v>-3711.9677107721063</v>
      </c>
      <c r="M50" s="115">
        <f t="shared" si="23"/>
        <v>-2446.6462747217383</v>
      </c>
      <c r="N50" s="114">
        <f t="shared" si="25"/>
        <v>-1322.2898113286565</v>
      </c>
      <c r="O50" s="118">
        <f t="shared" si="24"/>
        <v>-109.68162602194059</v>
      </c>
      <c r="P50" s="119">
        <f t="shared" si="24"/>
        <v>1231.1996092280774</v>
      </c>
      <c r="Q50" s="49"/>
    </row>
    <row r="51" spans="1:17" x14ac:dyDescent="0.25">
      <c r="A51" s="183" t="s">
        <v>6</v>
      </c>
      <c r="B51" s="114">
        <f>B44</f>
        <v>-6107.6805178623044</v>
      </c>
      <c r="C51" s="118">
        <f t="shared" si="22"/>
        <v>-6115.0243364209373</v>
      </c>
      <c r="D51" s="118">
        <f t="shared" si="22"/>
        <v>-6067.5846412369274</v>
      </c>
      <c r="E51" s="118">
        <f t="shared" si="22"/>
        <v>-5612.8191073440967</v>
      </c>
      <c r="F51" s="118">
        <f t="shared" si="22"/>
        <v>-5154.3774951094001</v>
      </c>
      <c r="G51" s="118">
        <f t="shared" si="22"/>
        <v>-4672.1124276448681</v>
      </c>
      <c r="H51" s="118">
        <f t="shared" si="22"/>
        <v>-4120.4945440872079</v>
      </c>
      <c r="I51" s="118">
        <f t="shared" si="22"/>
        <v>-3516.9922562172396</v>
      </c>
      <c r="J51" s="118">
        <f t="shared" si="22"/>
        <v>-2890.9025523853711</v>
      </c>
      <c r="K51" s="115">
        <f t="shared" si="22"/>
        <v>-2274.2491172431737</v>
      </c>
      <c r="L51" s="115">
        <f t="shared" si="23"/>
        <v>-1672.8356307020952</v>
      </c>
      <c r="M51" s="115">
        <f t="shared" si="23"/>
        <v>-1109.7875036439223</v>
      </c>
      <c r="N51" s="114">
        <f t="shared" si="25"/>
        <v>-595.21171151169403</v>
      </c>
      <c r="O51" s="118">
        <f t="shared" si="24"/>
        <v>-59.812091821314795</v>
      </c>
      <c r="P51" s="119">
        <f t="shared" si="24"/>
        <v>522.63970100436688</v>
      </c>
      <c r="Q51" s="49"/>
    </row>
    <row r="52" spans="1:17" x14ac:dyDescent="0.25">
      <c r="A52" s="183" t="s">
        <v>7</v>
      </c>
      <c r="B52" s="114">
        <f>B45</f>
        <v>-2843.7872982965264</v>
      </c>
      <c r="C52" s="118">
        <f t="shared" si="22"/>
        <v>-2847.2066418389654</v>
      </c>
      <c r="D52" s="118">
        <f t="shared" si="22"/>
        <v>-2840.7529266187025</v>
      </c>
      <c r="E52" s="118">
        <f t="shared" si="22"/>
        <v>-2726.5660370210121</v>
      </c>
      <c r="F52" s="118">
        <f t="shared" si="22"/>
        <v>-2593.1631717644691</v>
      </c>
      <c r="G52" s="118">
        <f t="shared" si="22"/>
        <v>-2358.1539690923673</v>
      </c>
      <c r="H52" s="118">
        <f t="shared" si="22"/>
        <v>-2090.5664690990398</v>
      </c>
      <c r="I52" s="118">
        <f t="shared" si="22"/>
        <v>-1791.6920795749656</v>
      </c>
      <c r="J52" s="118">
        <f t="shared" si="22"/>
        <v>-1521.462172761416</v>
      </c>
      <c r="K52" s="115">
        <f t="shared" si="22"/>
        <v>-1212.5249097605786</v>
      </c>
      <c r="L52" s="115">
        <f t="shared" si="23"/>
        <v>-921.83232192169828</v>
      </c>
      <c r="M52" s="115">
        <f t="shared" si="23"/>
        <v>-635.22885368478569</v>
      </c>
      <c r="N52" s="114">
        <f t="shared" si="25"/>
        <v>-364.11694958040658</v>
      </c>
      <c r="O52" s="118">
        <f t="shared" si="24"/>
        <v>-102.0344624858167</v>
      </c>
      <c r="P52" s="119">
        <f t="shared" si="24"/>
        <v>172.34988350423509</v>
      </c>
      <c r="Q52" s="49"/>
    </row>
    <row r="53" spans="1:17" x14ac:dyDescent="0.25">
      <c r="B53" s="104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2"/>
      <c r="O53" s="103"/>
      <c r="P53" s="106"/>
    </row>
    <row r="54" spans="1:17" x14ac:dyDescent="0.25">
      <c r="A54" s="183" t="s">
        <v>68</v>
      </c>
      <c r="B54" s="127">
        <f>+PCR!X67</f>
        <v>1.2023907500000001E-3</v>
      </c>
      <c r="C54" s="128">
        <f>+PCR!Y67</f>
        <v>1.4779508333333333E-3</v>
      </c>
      <c r="D54" s="128">
        <f>+PCR!Z67</f>
        <v>1.4294883333333334E-3</v>
      </c>
      <c r="E54" s="128">
        <f>+PCR!AA67</f>
        <v>1.5229716666666667E-3</v>
      </c>
      <c r="F54" s="128">
        <f>+PCR!AB67</f>
        <v>1.7116216666666665E-3</v>
      </c>
      <c r="G54" s="128">
        <f>+PCR!AC67</f>
        <v>1.9259966666666664E-3</v>
      </c>
      <c r="H54" s="128">
        <f>+PCR!AD67</f>
        <v>1.8323291666666665E-3</v>
      </c>
      <c r="I54" s="128">
        <f>+PCR!AE67</f>
        <v>1.8996341666666667E-3</v>
      </c>
      <c r="J54" s="128">
        <f>+PCR!AF67</f>
        <v>1.9559741666666667E-3</v>
      </c>
      <c r="K54" s="213">
        <f>+PCR!AG67</f>
        <v>1.9378716666666664E-3</v>
      </c>
      <c r="L54" s="213">
        <f>+PCR!AH67</f>
        <v>1.9408016666666668E-3</v>
      </c>
      <c r="M54" s="213">
        <f>+PCR!AI67</f>
        <v>2.0478441666666666E-3</v>
      </c>
      <c r="N54" s="127">
        <f>+PCR!AJ67</f>
        <v>2.0478441666666666E-3</v>
      </c>
      <c r="O54" s="128">
        <f>+PCR!AK67</f>
        <v>2.0478441666666666E-3</v>
      </c>
      <c r="P54" s="214">
        <f>+PCR!AL67</f>
        <v>2.0478441666666666E-3</v>
      </c>
    </row>
    <row r="55" spans="1:17" x14ac:dyDescent="0.25">
      <c r="A55" s="183" t="s">
        <v>0</v>
      </c>
      <c r="B55" s="114">
        <f t="shared" ref="B55:P59" si="26">B48*B$54</f>
        <v>-1108.2848815840034</v>
      </c>
      <c r="C55" s="118">
        <f t="shared" si="26"/>
        <v>-1363.9160722177241</v>
      </c>
      <c r="D55" s="118">
        <f t="shared" si="26"/>
        <v>-1305.1142047324813</v>
      </c>
      <c r="E55" s="118">
        <f t="shared" si="26"/>
        <v>-1248.2524377060693</v>
      </c>
      <c r="F55" s="118">
        <f t="shared" si="26"/>
        <v>-1274.4460174274839</v>
      </c>
      <c r="G55" s="118">
        <f t="shared" si="26"/>
        <v>-1294.6325132295028</v>
      </c>
      <c r="H55" s="118">
        <f t="shared" si="26"/>
        <v>-1124.0199407892094</v>
      </c>
      <c r="I55" s="118">
        <f t="shared" si="26"/>
        <v>-998.00624503542269</v>
      </c>
      <c r="J55" s="118">
        <f t="shared" si="26"/>
        <v>-824.99227009760989</v>
      </c>
      <c r="K55" s="115">
        <f t="shared" si="26"/>
        <v>-637.31563197920252</v>
      </c>
      <c r="L55" s="115">
        <f t="shared" ref="L55:M55" si="27">L48*L$54</f>
        <v>-464.5533440524224</v>
      </c>
      <c r="M55" s="115">
        <f t="shared" si="27"/>
        <v>-348.24269075589507</v>
      </c>
      <c r="N55" s="114">
        <f t="shared" si="26"/>
        <v>-220.96887257124106</v>
      </c>
      <c r="O55" s="118">
        <f t="shared" si="26"/>
        <v>-46.559371006653272</v>
      </c>
      <c r="P55" s="119">
        <f t="shared" si="26"/>
        <v>176.63783037128783</v>
      </c>
    </row>
    <row r="56" spans="1:17" x14ac:dyDescent="0.25">
      <c r="A56" s="183" t="s">
        <v>4</v>
      </c>
      <c r="B56" s="114">
        <f t="shared" si="26"/>
        <v>-7.209961925808801</v>
      </c>
      <c r="C56" s="118">
        <f t="shared" si="26"/>
        <v>-8.8729740106475656</v>
      </c>
      <c r="D56" s="118">
        <f t="shared" si="26"/>
        <v>-8.514637115292313</v>
      </c>
      <c r="E56" s="118">
        <f t="shared" si="26"/>
        <v>-8.1924295450955356</v>
      </c>
      <c r="F56" s="118">
        <f t="shared" si="26"/>
        <v>-8.4920464736182826</v>
      </c>
      <c r="G56" s="118">
        <f t="shared" si="26"/>
        <v>-8.7560887444377293</v>
      </c>
      <c r="H56" s="118">
        <f t="shared" si="26"/>
        <v>-7.6690166098352428</v>
      </c>
      <c r="I56" s="118">
        <f t="shared" si="26"/>
        <v>-7.0192277885997774</v>
      </c>
      <c r="J56" s="118">
        <f t="shared" si="26"/>
        <v>-6.1454828779284361</v>
      </c>
      <c r="K56" s="115">
        <f t="shared" si="26"/>
        <v>-5.0985414644097817</v>
      </c>
      <c r="L56" s="115">
        <f t="shared" ref="L56:M56" si="28">L49*L$54</f>
        <v>-4.1361763934730265</v>
      </c>
      <c r="M56" s="115">
        <f t="shared" si="28"/>
        <v>-3.4926410297648967</v>
      </c>
      <c r="N56" s="114">
        <f t="shared" si="26"/>
        <v>-2.549577080189938</v>
      </c>
      <c r="O56" s="118">
        <f t="shared" si="26"/>
        <v>-1.4464711266754966</v>
      </c>
      <c r="P56" s="119">
        <f t="shared" si="26"/>
        <v>-0.13407406337381059</v>
      </c>
    </row>
    <row r="57" spans="1:17" x14ac:dyDescent="0.25">
      <c r="A57" s="183" t="s">
        <v>5</v>
      </c>
      <c r="B57" s="114">
        <f t="shared" si="26"/>
        <v>-16.719346928775721</v>
      </c>
      <c r="C57" s="118">
        <f t="shared" si="26"/>
        <v>-20.575743991517054</v>
      </c>
      <c r="D57" s="118">
        <f t="shared" si="26"/>
        <v>-19.789999450338506</v>
      </c>
      <c r="E57" s="118">
        <f t="shared" si="26"/>
        <v>-19.267058438831718</v>
      </c>
      <c r="F57" s="118">
        <f t="shared" si="26"/>
        <v>-19.754837940301449</v>
      </c>
      <c r="G57" s="118">
        <f t="shared" si="26"/>
        <v>-20.028962428119833</v>
      </c>
      <c r="H57" s="118">
        <f t="shared" si="26"/>
        <v>-16.992817904839985</v>
      </c>
      <c r="I57" s="118">
        <f t="shared" si="26"/>
        <v>-15.041190240215794</v>
      </c>
      <c r="J57" s="118">
        <f t="shared" si="26"/>
        <v>-12.664953383078901</v>
      </c>
      <c r="K57" s="115">
        <f t="shared" si="26"/>
        <v>-9.8966415930781348</v>
      </c>
      <c r="L57" s="115">
        <f t="shared" ref="L57:M57" si="29">L50*L$54</f>
        <v>-7.2041931196793554</v>
      </c>
      <c r="M57" s="115">
        <f t="shared" si="29"/>
        <v>-5.0103503015856425</v>
      </c>
      <c r="N57" s="114">
        <f t="shared" si="26"/>
        <v>-2.7078434767721564</v>
      </c>
      <c r="O57" s="118">
        <f t="shared" si="26"/>
        <v>-0.22461087803954591</v>
      </c>
      <c r="P57" s="119">
        <f t="shared" si="26"/>
        <v>2.5213049377599979</v>
      </c>
    </row>
    <row r="58" spans="1:17" x14ac:dyDescent="0.25">
      <c r="A58" s="183" t="s">
        <v>6</v>
      </c>
      <c r="B58" s="114">
        <f t="shared" si="26"/>
        <v>-7.3438185586328446</v>
      </c>
      <c r="C58" s="118">
        <f t="shared" si="26"/>
        <v>-9.0377053138669385</v>
      </c>
      <c r="D58" s="118">
        <f t="shared" si="26"/>
        <v>-8.6735414561607076</v>
      </c>
      <c r="E58" s="118">
        <f t="shared" si="26"/>
        <v>-8.5481644706103506</v>
      </c>
      <c r="F58" s="118">
        <f t="shared" si="26"/>
        <v>-8.8223441988083096</v>
      </c>
      <c r="G58" s="118">
        <f t="shared" si="26"/>
        <v>-8.9984729619359225</v>
      </c>
      <c r="H58" s="118">
        <f t="shared" si="26"/>
        <v>-7.5501023342218598</v>
      </c>
      <c r="I58" s="118">
        <f t="shared" si="26"/>
        <v>-6.680998653812356</v>
      </c>
      <c r="J58" s="118">
        <f t="shared" si="26"/>
        <v>-5.6545307108165161</v>
      </c>
      <c r="K58" s="115">
        <f t="shared" si="26"/>
        <v>-4.4072029272472237</v>
      </c>
      <c r="L58" s="115">
        <f t="shared" ref="L58:M58" si="30">L51*L$54</f>
        <v>-3.246642180126011</v>
      </c>
      <c r="M58" s="115">
        <f t="shared" si="30"/>
        <v>-2.2726718655767684</v>
      </c>
      <c r="N58" s="114">
        <f t="shared" si="26"/>
        <v>-1.2189008313509055</v>
      </c>
      <c r="O58" s="118">
        <f t="shared" si="26"/>
        <v>-0.12248584333241054</v>
      </c>
      <c r="P58" s="119">
        <f t="shared" si="26"/>
        <v>1.0702846629702034</v>
      </c>
    </row>
    <row r="59" spans="1:17" ht="15.75" thickBot="1" x14ac:dyDescent="0.3">
      <c r="A59" s="183" t="s">
        <v>7</v>
      </c>
      <c r="B59" s="114">
        <f t="shared" si="26"/>
        <v>-3.4193435424392344</v>
      </c>
      <c r="C59" s="118">
        <f t="shared" si="26"/>
        <v>-4.2080314289781002</v>
      </c>
      <c r="D59" s="118">
        <f t="shared" si="26"/>
        <v>-4.0608231664839582</v>
      </c>
      <c r="E59" s="118">
        <f t="shared" si="26"/>
        <v>-4.1524828216786194</v>
      </c>
      <c r="F59" s="118">
        <f t="shared" si="26"/>
        <v>-4.43851426999412</v>
      </c>
      <c r="G59" s="118">
        <f t="shared" si="26"/>
        <v>-4.541796683958669</v>
      </c>
      <c r="H59" s="118">
        <f t="shared" si="26"/>
        <v>-3.8306059161855188</v>
      </c>
      <c r="I59" s="118">
        <f t="shared" si="26"/>
        <v>-3.4035594905066571</v>
      </c>
      <c r="J59" s="118">
        <f t="shared" si="26"/>
        <v>-2.9759407054818667</v>
      </c>
      <c r="K59" s="115">
        <f t="shared" si="26"/>
        <v>-2.3497176677525817</v>
      </c>
      <c r="L59" s="115">
        <f t="shared" ref="L59:M59" si="31">L52*L$54</f>
        <v>-1.7890937067728354</v>
      </c>
      <c r="M59" s="115">
        <f t="shared" si="31"/>
        <v>-1.3008497025167418</v>
      </c>
      <c r="N59" s="114">
        <f t="shared" si="26"/>
        <v>-0.74565477118269641</v>
      </c>
      <c r="O59" s="118">
        <f t="shared" si="26"/>
        <v>-0.20895067880054857</v>
      </c>
      <c r="P59" s="119">
        <f t="shared" si="26"/>
        <v>0.35294570355982741</v>
      </c>
    </row>
    <row r="60" spans="1:17" ht="16.5" thickTop="1" thickBot="1" x14ac:dyDescent="0.3">
      <c r="A60" s="130" t="s">
        <v>74</v>
      </c>
      <c r="B60" s="134">
        <f>SUM(B55:B59)+SUM(B48:B52)-B63</f>
        <v>0</v>
      </c>
      <c r="C60" s="135">
        <f>SUM(C55:C59)+SUM(C48:C52)-C63</f>
        <v>0</v>
      </c>
      <c r="D60" s="135">
        <f>SUM(D55:D59)+SUM(D48:D52)-D63</f>
        <v>0</v>
      </c>
      <c r="E60" s="135">
        <f t="shared" ref="E60:P60" si="32">SUM(E55:E59)+SUM(E48:E52)-E63</f>
        <v>0</v>
      </c>
      <c r="F60" s="135">
        <f t="shared" si="32"/>
        <v>0</v>
      </c>
      <c r="G60" s="135">
        <f t="shared" si="32"/>
        <v>0</v>
      </c>
      <c r="H60" s="135">
        <f t="shared" si="32"/>
        <v>0</v>
      </c>
      <c r="I60" s="135">
        <f t="shared" si="32"/>
        <v>0</v>
      </c>
      <c r="J60" s="135">
        <f t="shared" si="32"/>
        <v>0</v>
      </c>
      <c r="K60" s="160">
        <f t="shared" si="32"/>
        <v>0</v>
      </c>
      <c r="L60" s="160">
        <f t="shared" ref="L60:M60" si="33">SUM(L55:L59)+SUM(L48:L52)-L63</f>
        <v>0</v>
      </c>
      <c r="M60" s="160">
        <f t="shared" si="33"/>
        <v>0</v>
      </c>
      <c r="N60" s="131">
        <f>SUM(N55:N59)+SUM(N48:N52)-N63</f>
        <v>1.1641532182693481E-10</v>
      </c>
      <c r="O60" s="132">
        <f>SUM(O55:O59)+SUM(O48:O52)-O63</f>
        <v>1.127773430198431E-10</v>
      </c>
      <c r="P60" s="133">
        <f t="shared" si="32"/>
        <v>1.6007106751203537E-10</v>
      </c>
    </row>
    <row r="61" spans="1:17" ht="16.5" thickTop="1" thickBot="1" x14ac:dyDescent="0.3">
      <c r="A61" s="130" t="s">
        <v>75</v>
      </c>
      <c r="B61" s="134">
        <f>SUM(B55:B59)-B38</f>
        <v>2.6474603400856722E-3</v>
      </c>
      <c r="C61" s="135">
        <f>SUM(C55:C59)-C38</f>
        <v>-5.26962734056724E-4</v>
      </c>
      <c r="D61" s="135">
        <f t="shared" ref="D61:J61" si="34">SUM(D55:D59)-D38</f>
        <v>-3.2059207567272097E-3</v>
      </c>
      <c r="E61" s="135">
        <f t="shared" si="34"/>
        <v>-2.5729822855282691E-3</v>
      </c>
      <c r="F61" s="135">
        <f t="shared" si="34"/>
        <v>-3.7603102059620142E-3</v>
      </c>
      <c r="G61" s="135">
        <f>SUM(G55:G59)-G38</f>
        <v>2.1659520450612035E-3</v>
      </c>
      <c r="H61" s="135">
        <f t="shared" si="34"/>
        <v>-2.4835542922119203E-3</v>
      </c>
      <c r="I61" s="135">
        <f t="shared" si="34"/>
        <v>-1.2212085571263742E-3</v>
      </c>
      <c r="J61" s="135">
        <f t="shared" si="34"/>
        <v>-3.1777749156844948E-3</v>
      </c>
      <c r="K61" s="160">
        <f>SUM(K55:K59)-K38</f>
        <v>2.264368309852216E-3</v>
      </c>
      <c r="L61" s="160">
        <f t="shared" ref="L61" si="35">SUM(L55:L59)-L38</f>
        <v>5.5054752635896875E-4</v>
      </c>
      <c r="M61" s="160">
        <f>SUM(M55:M59)-M38</f>
        <v>7.9634466084144151E-4</v>
      </c>
      <c r="N61" s="131">
        <f>SUM(N55:N59)-N38</f>
        <v>6.2589086581965603E-5</v>
      </c>
      <c r="O61" s="132">
        <f>SUM(O55:O59)-O38</f>
        <v>6.271725925444116E-5</v>
      </c>
      <c r="P61" s="133">
        <f>SUM(P55:P59)-P38</f>
        <v>6.2845694458246726E-5</v>
      </c>
    </row>
    <row r="62" spans="1:17" ht="15.75" thickTop="1" x14ac:dyDescent="0.25">
      <c r="B62" s="104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2"/>
      <c r="O62" s="103"/>
      <c r="P62" s="106"/>
    </row>
    <row r="63" spans="1:17" x14ac:dyDescent="0.25">
      <c r="A63" s="183" t="s">
        <v>76</v>
      </c>
      <c r="B63" s="114">
        <f>(SUM(B15:B19)-SUM(B22:B26))+SUM(B55:B59)</f>
        <v>-951730.2573525398</v>
      </c>
      <c r="C63" s="118">
        <f>(SUM(C15:C19)-SUM(C22:C26))+SUM(C55:C59)+B63</f>
        <v>-953136.86787950259</v>
      </c>
      <c r="D63" s="118">
        <f t="shared" ref="D63:O63" si="36">(SUM(D15:D19)-SUM(D22:D26))+SUM(D55:D59)+C63</f>
        <v>-943048.98108542338</v>
      </c>
      <c r="E63" s="118">
        <f t="shared" si="36"/>
        <v>-847274.32365840569</v>
      </c>
      <c r="F63" s="118">
        <f t="shared" si="36"/>
        <v>-770150.43741871591</v>
      </c>
      <c r="G63" s="118">
        <f t="shared" si="36"/>
        <v>-695501.10525276384</v>
      </c>
      <c r="H63" s="118">
        <f t="shared" si="36"/>
        <v>-634268.1877363181</v>
      </c>
      <c r="I63" s="118">
        <f t="shared" si="36"/>
        <v>-543319.41895752668</v>
      </c>
      <c r="J63" s="118">
        <f t="shared" si="36"/>
        <v>-436662.47213530162</v>
      </c>
      <c r="K63" s="115">
        <f t="shared" si="36"/>
        <v>-340757.81987093331</v>
      </c>
      <c r="L63" s="115">
        <f t="shared" ref="L63" si="37">(SUM(L15:L19)-SUM(L22:L26))+SUM(L55:L59)+K63</f>
        <v>-248280.3093203858</v>
      </c>
      <c r="M63" s="115">
        <f t="shared" ref="M63" si="38">(SUM(M15:M19)-SUM(M22:M26))+SUM(M55:M59)+L63</f>
        <v>-176310.81852404115</v>
      </c>
      <c r="N63" s="114">
        <f>(SUM(N15:N19)-SUM(N22:N26))+SUM(N55:N59)+M63</f>
        <v>-111657.98245351366</v>
      </c>
      <c r="O63" s="118">
        <f t="shared" si="36"/>
        <v>-23762.22639777929</v>
      </c>
      <c r="P63" s="119">
        <f>(SUM(P15:P19)-SUM(P22:P26))+SUM(P55:P59)+O63</f>
        <v>88296.670487329611</v>
      </c>
    </row>
    <row r="64" spans="1:17" x14ac:dyDescent="0.25">
      <c r="A64" s="183" t="s">
        <v>77</v>
      </c>
      <c r="B64" s="104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2"/>
      <c r="O64" s="103"/>
      <c r="P64" s="106"/>
    </row>
    <row r="65" spans="1:16" ht="15.75" thickBot="1" x14ac:dyDescent="0.3">
      <c r="A65" s="108">
        <v>0</v>
      </c>
      <c r="B65" s="153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7"/>
      <c r="O65" s="138"/>
      <c r="P65" s="139"/>
    </row>
    <row r="67" spans="1:16" x14ac:dyDescent="0.25"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</row>
  </sheetData>
  <mergeCells count="1">
    <mergeCell ref="N13:P13"/>
  </mergeCells>
  <pageMargins left="0.7" right="0.7" top="0.75" bottom="0.75" header="0.3" footer="0.3"/>
  <pageSetup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Y36"/>
  <sheetViews>
    <sheetView tabSelected="1" workbookViewId="0">
      <selection activeCell="K17" sqref="K17"/>
    </sheetView>
  </sheetViews>
  <sheetFormatPr defaultRowHeight="15" x14ac:dyDescent="0.25"/>
  <cols>
    <col min="3" max="3" width="16.5703125" customWidth="1"/>
    <col min="4" max="4" width="15.5703125" customWidth="1"/>
    <col min="6" max="6" width="17.28515625" bestFit="1" customWidth="1"/>
    <col min="7" max="7" width="17.140625" customWidth="1"/>
    <col min="8" max="8" width="13.7109375" bestFit="1" customWidth="1"/>
    <col min="9" max="9" width="5.7109375" customWidth="1"/>
    <col min="10" max="10" width="14.85546875" customWidth="1"/>
    <col min="11" max="11" width="17.5703125" customWidth="1"/>
    <col min="12" max="12" width="14" style="183" customWidth="1"/>
    <col min="13" max="13" width="13.7109375" bestFit="1" customWidth="1"/>
    <col min="14" max="14" width="11" bestFit="1" customWidth="1"/>
    <col min="15" max="15" width="2.5703125" customWidth="1"/>
    <col min="16" max="16" width="11" bestFit="1" customWidth="1"/>
    <col min="17" max="17" width="10.28515625" bestFit="1" customWidth="1"/>
    <col min="18" max="18" width="10.28515625" style="183" customWidth="1"/>
    <col min="19" max="19" width="11" bestFit="1" customWidth="1"/>
    <col min="20" max="20" width="10.28515625" bestFit="1" customWidth="1"/>
  </cols>
  <sheetData>
    <row r="2" spans="2:25" ht="15.75" thickBot="1" x14ac:dyDescent="0.3">
      <c r="J2" s="290" t="s">
        <v>29</v>
      </c>
      <c r="K2" s="290"/>
      <c r="L2" s="290"/>
      <c r="M2" s="290"/>
      <c r="P2" s="290" t="s">
        <v>172</v>
      </c>
      <c r="Q2" s="290"/>
      <c r="R2" s="290"/>
      <c r="S2" s="290"/>
      <c r="T2" s="290"/>
    </row>
    <row r="3" spans="2:25" ht="27.75" thickBot="1" x14ac:dyDescent="0.3">
      <c r="B3" s="9" t="s">
        <v>12</v>
      </c>
      <c r="C3" s="10" t="s">
        <v>34</v>
      </c>
      <c r="D3" s="10" t="s">
        <v>35</v>
      </c>
      <c r="E3" s="10" t="s">
        <v>44</v>
      </c>
      <c r="F3" s="10" t="s">
        <v>36</v>
      </c>
      <c r="G3" s="10" t="s">
        <v>14</v>
      </c>
      <c r="H3" s="11" t="s">
        <v>15</v>
      </c>
      <c r="J3" s="47" t="s">
        <v>30</v>
      </c>
      <c r="K3" s="47" t="s">
        <v>45</v>
      </c>
      <c r="L3" s="181" t="s">
        <v>171</v>
      </c>
      <c r="M3" s="181" t="s">
        <v>170</v>
      </c>
      <c r="N3" s="181"/>
      <c r="P3" t="s">
        <v>34</v>
      </c>
      <c r="Q3" t="s">
        <v>35</v>
      </c>
      <c r="R3" s="183" t="s">
        <v>44</v>
      </c>
      <c r="S3" t="s">
        <v>36</v>
      </c>
      <c r="T3" t="s">
        <v>9</v>
      </c>
    </row>
    <row r="4" spans="2:25" ht="15.75" thickBot="1" x14ac:dyDescent="0.3">
      <c r="B4" s="12" t="s">
        <v>16</v>
      </c>
      <c r="C4" s="13">
        <f>C16+C26</f>
        <v>-7674779.5495992629</v>
      </c>
      <c r="D4" s="14">
        <f>D16+D26</f>
        <v>13856409.782303205</v>
      </c>
      <c r="E4" s="15">
        <v>0</v>
      </c>
      <c r="F4" s="184">
        <f>F16+F26</f>
        <v>67478.772365423763</v>
      </c>
      <c r="G4" s="63">
        <f>PPC!B15</f>
        <v>12492044051.714272</v>
      </c>
      <c r="H4" s="247">
        <f>SUM(C4:F4)/G4</f>
        <v>5.0024711562010593E-4</v>
      </c>
      <c r="J4" s="72">
        <f>C4/G4</f>
        <v>-6.1437339780642699E-4</v>
      </c>
      <c r="K4" s="75">
        <f>(D4)/G4</f>
        <v>1.1092187735602568E-3</v>
      </c>
      <c r="L4" s="75">
        <f>(E4)/H4</f>
        <v>0</v>
      </c>
      <c r="M4" s="75">
        <f>(F4)/G4</f>
        <v>5.4017398662762249E-6</v>
      </c>
      <c r="N4" s="289">
        <f>SUM(J4:M4)-H4</f>
        <v>0</v>
      </c>
      <c r="P4" s="69">
        <f>ROUND(C4/G4,6)</f>
        <v>-6.1399999999999996E-4</v>
      </c>
      <c r="Q4" s="69">
        <f>ROUND(D4/G4,6)</f>
        <v>1.109E-3</v>
      </c>
      <c r="R4" s="182">
        <f>+ROUND(E4/G4,6)</f>
        <v>0</v>
      </c>
      <c r="S4" s="182">
        <f>ROUND(F4/G4,6)</f>
        <v>5.0000000000000004E-6</v>
      </c>
      <c r="T4" s="69">
        <f>SUM(P4:S4)</f>
        <v>5.0000000000000001E-4</v>
      </c>
      <c r="W4" s="66"/>
      <c r="Y4" s="67"/>
    </row>
    <row r="5" spans="2:25" ht="15.75" thickBot="1" x14ac:dyDescent="0.3">
      <c r="B5" s="12" t="s">
        <v>17</v>
      </c>
      <c r="C5" s="13">
        <f t="shared" ref="C5:D9" si="0">C17+C27</f>
        <v>1926671.2215214674</v>
      </c>
      <c r="D5" s="14">
        <f>D17+D27</f>
        <v>7642610.8403725177</v>
      </c>
      <c r="E5" s="15">
        <v>0</v>
      </c>
      <c r="F5" s="184">
        <f t="shared" ref="F5:F8" si="1">F17+F27</f>
        <v>-5651.7166519064622</v>
      </c>
      <c r="G5" s="16">
        <f>PPC!B5</f>
        <v>3321740257.2261481</v>
      </c>
      <c r="H5" s="247">
        <f t="shared" ref="H5:H8" si="2">SUM(C5:F5)/G5</f>
        <v>2.8791023995441115E-3</v>
      </c>
      <c r="J5" s="72">
        <f t="shared" ref="J5:J8" si="3">C5/G5</f>
        <v>5.800186264805524E-4</v>
      </c>
      <c r="K5" s="75">
        <f t="shared" ref="K5:K8" si="4">(D5)/G5</f>
        <v>2.3007852055098839E-3</v>
      </c>
      <c r="L5" s="75">
        <f t="shared" ref="L5:L8" si="5">(E5)/H5</f>
        <v>0</v>
      </c>
      <c r="M5" s="75">
        <f t="shared" ref="M5:M8" si="6">(F5)/G5</f>
        <v>-1.7014324463243805E-6</v>
      </c>
      <c r="N5" s="289">
        <f t="shared" ref="N5:N8" si="7">SUM(J5:M5)-H5</f>
        <v>0</v>
      </c>
      <c r="P5" s="182">
        <f>ROUND(C5/G5,6)</f>
        <v>5.8E-4</v>
      </c>
      <c r="Q5" s="182">
        <f>ROUND(D5/G5,6)</f>
        <v>2.3010000000000001E-3</v>
      </c>
      <c r="R5" s="182">
        <f t="shared" ref="R5:R8" si="8">+ROUND(E5/G5,6)</f>
        <v>0</v>
      </c>
      <c r="S5" s="182">
        <f>ROUND(F5/G5,6)</f>
        <v>-1.9999999999999999E-6</v>
      </c>
      <c r="T5" s="182">
        <f t="shared" ref="T5:T8" si="9">SUM(P5:S5)</f>
        <v>2.879E-3</v>
      </c>
      <c r="V5" s="55"/>
      <c r="W5" s="66"/>
    </row>
    <row r="6" spans="2:25" ht="15.75" thickBot="1" x14ac:dyDescent="0.3">
      <c r="B6" s="12" t="s">
        <v>18</v>
      </c>
      <c r="C6" s="13">
        <f t="shared" si="0"/>
        <v>4491158.97396491</v>
      </c>
      <c r="D6" s="14">
        <f t="shared" si="0"/>
        <v>13864296.471447922</v>
      </c>
      <c r="E6" s="15">
        <v>0</v>
      </c>
      <c r="F6" s="184">
        <f t="shared" si="1"/>
        <v>-11667.776481629229</v>
      </c>
      <c r="G6" s="16">
        <f>PPC!B6</f>
        <v>7694288799.8094788</v>
      </c>
      <c r="H6" s="247">
        <f t="shared" si="2"/>
        <v>2.3840783919347325E-3</v>
      </c>
      <c r="J6" s="72">
        <f t="shared" si="3"/>
        <v>5.8370033811001702E-4</v>
      </c>
      <c r="K6" s="75">
        <f t="shared" si="4"/>
        <v>1.8018944742223897E-3</v>
      </c>
      <c r="L6" s="75">
        <f t="shared" si="5"/>
        <v>0</v>
      </c>
      <c r="M6" s="75">
        <f t="shared" si="6"/>
        <v>-1.5164203976744595E-6</v>
      </c>
      <c r="N6" s="289">
        <f t="shared" si="7"/>
        <v>0</v>
      </c>
      <c r="P6" s="182">
        <f>ROUND(C6/G6,6)</f>
        <v>5.8399999999999999E-4</v>
      </c>
      <c r="Q6" s="182">
        <f>ROUND(D6/G6,6)</f>
        <v>1.802E-3</v>
      </c>
      <c r="R6" s="182">
        <f t="shared" si="8"/>
        <v>0</v>
      </c>
      <c r="S6" s="182">
        <f>ROUND(F6/G6,6)</f>
        <v>-1.9999999999999999E-6</v>
      </c>
      <c r="T6" s="182">
        <f t="shared" si="9"/>
        <v>2.3840000000000003E-3</v>
      </c>
    </row>
    <row r="7" spans="2:25" ht="15.75" thickBot="1" x14ac:dyDescent="0.3">
      <c r="B7" s="12" t="s">
        <v>19</v>
      </c>
      <c r="C7" s="13">
        <f t="shared" si="0"/>
        <v>2047187.0948063885</v>
      </c>
      <c r="D7" s="14">
        <f t="shared" si="0"/>
        <v>5110172.6375769824</v>
      </c>
      <c r="E7" s="15">
        <v>0</v>
      </c>
      <c r="F7" s="184">
        <f t="shared" si="1"/>
        <v>-5204.3271645211744</v>
      </c>
      <c r="G7" s="16">
        <f>PPC!B7</f>
        <v>3425587360.2288609</v>
      </c>
      <c r="H7" s="247">
        <f t="shared" si="2"/>
        <v>2.0878625044731072E-3</v>
      </c>
      <c r="J7" s="72">
        <f t="shared" si="3"/>
        <v>5.9761637334790297E-4</v>
      </c>
      <c r="K7" s="75">
        <f t="shared" si="4"/>
        <v>1.4917653821666297E-3</v>
      </c>
      <c r="L7" s="75">
        <f t="shared" si="5"/>
        <v>0</v>
      </c>
      <c r="M7" s="75">
        <f t="shared" si="6"/>
        <v>-1.5192510414253388E-6</v>
      </c>
      <c r="N7" s="289">
        <f t="shared" si="7"/>
        <v>0</v>
      </c>
      <c r="P7" s="182">
        <f>ROUND(C7/G7,6)</f>
        <v>5.9800000000000001E-4</v>
      </c>
      <c r="Q7" s="182">
        <f>ROUND(D7/G7,6)</f>
        <v>1.4920000000000001E-3</v>
      </c>
      <c r="R7" s="182">
        <f t="shared" si="8"/>
        <v>0</v>
      </c>
      <c r="S7" s="182">
        <f>ROUND(F7/G7,6)</f>
        <v>-1.9999999999999999E-6</v>
      </c>
      <c r="T7" s="182">
        <f t="shared" si="9"/>
        <v>2.088E-3</v>
      </c>
    </row>
    <row r="8" spans="2:25" ht="15.75" thickBot="1" x14ac:dyDescent="0.3">
      <c r="B8" s="12" t="s">
        <v>20</v>
      </c>
      <c r="C8" s="13">
        <f t="shared" si="0"/>
        <v>1180508.1075028987</v>
      </c>
      <c r="D8" s="14">
        <f t="shared" si="0"/>
        <v>1114168.3914303889</v>
      </c>
      <c r="E8" s="15">
        <v>0</v>
      </c>
      <c r="F8" s="184">
        <f t="shared" si="1"/>
        <v>-2658.2815800368821</v>
      </c>
      <c r="G8" s="16">
        <f>PPC!B8</f>
        <v>1718528567.2285078</v>
      </c>
      <c r="H8" s="247">
        <f t="shared" si="2"/>
        <v>1.3337096985531153E-3</v>
      </c>
      <c r="J8" s="72">
        <f t="shared" si="3"/>
        <v>6.8692958034833175E-4</v>
      </c>
      <c r="K8" s="291">
        <f t="shared" si="4"/>
        <v>6.483269540448909E-4</v>
      </c>
      <c r="L8" s="75">
        <f t="shared" si="5"/>
        <v>0</v>
      </c>
      <c r="M8" s="75">
        <f t="shared" si="6"/>
        <v>-1.546835840107055E-6</v>
      </c>
      <c r="N8" s="289">
        <f t="shared" si="7"/>
        <v>0</v>
      </c>
      <c r="P8" s="182">
        <f>ROUND(C8/G8,6)</f>
        <v>6.87E-4</v>
      </c>
      <c r="Q8" s="182">
        <f>ROUND(D8/G8,6)</f>
        <v>6.4800000000000003E-4</v>
      </c>
      <c r="R8" s="182">
        <f t="shared" si="8"/>
        <v>0</v>
      </c>
      <c r="S8" s="182">
        <f>ROUND(F8/G8,6)</f>
        <v>-1.9999999999999999E-6</v>
      </c>
      <c r="T8" s="182">
        <f t="shared" si="9"/>
        <v>1.333E-3</v>
      </c>
    </row>
    <row r="9" spans="2:25" ht="15.75" thickBot="1" x14ac:dyDescent="0.3">
      <c r="B9" s="12" t="s">
        <v>21</v>
      </c>
      <c r="C9" s="13">
        <f t="shared" si="0"/>
        <v>0</v>
      </c>
      <c r="D9" s="14">
        <f t="shared" si="0"/>
        <v>0</v>
      </c>
      <c r="E9" s="15">
        <v>0</v>
      </c>
      <c r="F9" s="15">
        <v>0</v>
      </c>
      <c r="G9" s="16">
        <v>0</v>
      </c>
      <c r="H9" s="54">
        <v>0</v>
      </c>
      <c r="M9" s="183"/>
    </row>
    <row r="10" spans="2:25" x14ac:dyDescent="0.25">
      <c r="K10" s="263"/>
      <c r="L10" s="263"/>
    </row>
    <row r="14" spans="2:25" ht="15.75" thickBot="1" x14ac:dyDescent="0.3"/>
    <row r="15" spans="2:25" ht="27.75" thickBot="1" x14ac:dyDescent="0.3">
      <c r="B15" s="9" t="s">
        <v>12</v>
      </c>
      <c r="C15" s="10" t="s">
        <v>22</v>
      </c>
      <c r="D15" s="10" t="s">
        <v>23</v>
      </c>
      <c r="E15" s="10" t="s">
        <v>43</v>
      </c>
      <c r="F15" s="177" t="s">
        <v>167</v>
      </c>
      <c r="G15" s="10" t="s">
        <v>13</v>
      </c>
      <c r="I15" s="183"/>
      <c r="J15" s="181" t="s">
        <v>116</v>
      </c>
      <c r="L15"/>
    </row>
    <row r="16" spans="2:25" ht="15.75" thickBot="1" x14ac:dyDescent="0.3">
      <c r="B16" s="12" t="s">
        <v>16</v>
      </c>
      <c r="C16" s="15">
        <f>PPC!C4</f>
        <v>2864899.2288513472</v>
      </c>
      <c r="D16" s="15">
        <f>PTD!B4</f>
        <v>15851916.780496133</v>
      </c>
      <c r="E16" s="15">
        <v>0</v>
      </c>
      <c r="F16" s="179">
        <f>+OA!G9</f>
        <v>-18953.369299893475</v>
      </c>
      <c r="G16" s="13">
        <f>SUM(C16:F16)</f>
        <v>18697862.640047587</v>
      </c>
      <c r="I16" s="186" t="s">
        <v>16</v>
      </c>
      <c r="J16" s="23">
        <f>SUM(C4:F4)</f>
        <v>6249109.0050693657</v>
      </c>
      <c r="L16"/>
    </row>
    <row r="17" spans="2:12" ht="15.75" thickBot="1" x14ac:dyDescent="0.3">
      <c r="B17" s="12" t="s">
        <v>17</v>
      </c>
      <c r="C17" s="15">
        <f>PPC!C5</f>
        <v>2734953.8670789679</v>
      </c>
      <c r="D17" s="15">
        <f>PTD!B5</f>
        <v>7198017.7686088225</v>
      </c>
      <c r="E17" s="15">
        <v>0</v>
      </c>
      <c r="F17" s="179">
        <f>+OA!G10</f>
        <v>-5586.1117448782697</v>
      </c>
      <c r="G17" s="13">
        <f t="shared" ref="G17:G21" si="10">SUM(C17:F17)</f>
        <v>9927385.523942912</v>
      </c>
      <c r="I17" s="186" t="s">
        <v>17</v>
      </c>
      <c r="J17" s="23">
        <f>SUM(C5:F5)</f>
        <v>9563630.3452420775</v>
      </c>
      <c r="L17"/>
    </row>
    <row r="18" spans="2:12" ht="15.75" thickBot="1" x14ac:dyDescent="0.3">
      <c r="B18" s="12" t="s">
        <v>18</v>
      </c>
      <c r="C18" s="15">
        <f>PPC!C6</f>
        <v>6335090.4278812958</v>
      </c>
      <c r="D18" s="15">
        <f>PTD!B6</f>
        <v>13370298.405779386</v>
      </c>
      <c r="E18" s="15">
        <v>0</v>
      </c>
      <c r="F18" s="179">
        <f>+OA!G11</f>
        <v>-12901.497395795068</v>
      </c>
      <c r="G18" s="13">
        <f t="shared" si="10"/>
        <v>19692487.336264886</v>
      </c>
      <c r="I18" s="186" t="s">
        <v>18</v>
      </c>
      <c r="J18" s="23">
        <f>SUM(C6:F6)</f>
        <v>18343787.668931205</v>
      </c>
      <c r="L18"/>
    </row>
    <row r="19" spans="2:12" ht="15.75" thickBot="1" x14ac:dyDescent="0.3">
      <c r="B19" s="12" t="s">
        <v>19</v>
      </c>
      <c r="C19" s="15">
        <f>PPC!C7</f>
        <v>2820456.3488953486</v>
      </c>
      <c r="D19" s="15">
        <f>PTD!B7</f>
        <v>5745609.8156835204</v>
      </c>
      <c r="E19" s="15">
        <v>0</v>
      </c>
      <c r="F19" s="179">
        <f>+OA!G12</f>
        <v>-5728.037150188512</v>
      </c>
      <c r="G19" s="13">
        <f t="shared" si="10"/>
        <v>8560338.1274286807</v>
      </c>
      <c r="I19" s="186" t="s">
        <v>19</v>
      </c>
      <c r="J19" s="23">
        <f>SUM(C7:F7)</f>
        <v>7152155.405218849</v>
      </c>
      <c r="L19"/>
    </row>
    <row r="20" spans="2:12" ht="15.75" thickBot="1" x14ac:dyDescent="0.3">
      <c r="B20" s="12" t="s">
        <v>20</v>
      </c>
      <c r="C20" s="15">
        <f>PPC!C8</f>
        <v>1414949.9920719713</v>
      </c>
      <c r="D20" s="15">
        <f>PTD!B8</f>
        <v>1154890.9294321279</v>
      </c>
      <c r="E20" s="15">
        <v>0</v>
      </c>
      <c r="F20" s="179">
        <f>+OA!G13</f>
        <v>-2830.984409244677</v>
      </c>
      <c r="G20" s="13">
        <f t="shared" si="10"/>
        <v>2567009.9370948542</v>
      </c>
      <c r="I20" s="186" t="s">
        <v>20</v>
      </c>
      <c r="J20" s="23">
        <f>SUM(C8:F8)</f>
        <v>2292018.2173532504</v>
      </c>
      <c r="L20"/>
    </row>
    <row r="21" spans="2:12" ht="15.75" thickBot="1" x14ac:dyDescent="0.3">
      <c r="B21" s="12" t="s">
        <v>21</v>
      </c>
      <c r="C21" s="17">
        <v>0</v>
      </c>
      <c r="D21" s="15">
        <v>0</v>
      </c>
      <c r="E21" s="15">
        <v>0</v>
      </c>
      <c r="F21" s="179">
        <v>0</v>
      </c>
      <c r="G21" s="13">
        <f t="shared" si="10"/>
        <v>0</v>
      </c>
      <c r="I21" s="186" t="s">
        <v>21</v>
      </c>
      <c r="J21" s="23">
        <f>SUM(C9:F9)</f>
        <v>0</v>
      </c>
      <c r="L21"/>
    </row>
    <row r="22" spans="2:12" x14ac:dyDescent="0.25">
      <c r="I22" s="186" t="s">
        <v>9</v>
      </c>
      <c r="J22" s="220">
        <f>SUM(J16:J21)</f>
        <v>43600700.641814739</v>
      </c>
      <c r="L22"/>
    </row>
    <row r="23" spans="2:12" x14ac:dyDescent="0.25">
      <c r="L23" s="57"/>
    </row>
    <row r="24" spans="2:12" ht="15.75" thickBot="1" x14ac:dyDescent="0.3">
      <c r="L24"/>
    </row>
    <row r="25" spans="2:12" ht="27.75" thickBot="1" x14ac:dyDescent="0.3">
      <c r="B25" s="9" t="s">
        <v>12</v>
      </c>
      <c r="C25" s="10" t="s">
        <v>24</v>
      </c>
      <c r="D25" s="10" t="s">
        <v>25</v>
      </c>
      <c r="E25" s="10" t="s">
        <v>42</v>
      </c>
      <c r="F25" s="177" t="s">
        <v>168</v>
      </c>
      <c r="G25" s="10" t="s">
        <v>33</v>
      </c>
      <c r="I25" s="183"/>
      <c r="J25" s="68" t="s">
        <v>150</v>
      </c>
      <c r="K25" s="68" t="s">
        <v>151</v>
      </c>
      <c r="L25" s="68" t="s">
        <v>9</v>
      </c>
    </row>
    <row r="26" spans="2:12" ht="15.75" thickBot="1" x14ac:dyDescent="0.3">
      <c r="B26" s="12" t="s">
        <v>16</v>
      </c>
      <c r="C26" s="14">
        <f>PCR!H4</f>
        <v>-10539678.77845061</v>
      </c>
      <c r="D26" s="14">
        <f>TDR!G4</f>
        <v>-1995506.998192929</v>
      </c>
      <c r="E26" s="15">
        <v>0</v>
      </c>
      <c r="F26" s="179">
        <f>+OAR!F4</f>
        <v>86432.141665317235</v>
      </c>
      <c r="G26" s="18">
        <f>SUM(C26:F26)</f>
        <v>-12448753.634978222</v>
      </c>
      <c r="I26" s="186" t="s">
        <v>16</v>
      </c>
      <c r="J26" s="264">
        <f>+G26+'tariff tables (M1)'!F26</f>
        <v>-14518525.76971741</v>
      </c>
      <c r="K26" s="23">
        <f>+G16+'tariff tables (M1)'!F16</f>
        <v>21252717.803119823</v>
      </c>
      <c r="L26" s="264">
        <f>+K26+J26</f>
        <v>6734192.0334024131</v>
      </c>
    </row>
    <row r="27" spans="2:12" ht="15.75" thickBot="1" x14ac:dyDescent="0.3">
      <c r="B27" s="12" t="s">
        <v>17</v>
      </c>
      <c r="C27" s="184">
        <f>PCR!H5</f>
        <v>-808282.64555750031</v>
      </c>
      <c r="D27" s="184">
        <f>TDR!G5</f>
        <v>444593.07176369551</v>
      </c>
      <c r="E27" s="15">
        <v>0</v>
      </c>
      <c r="F27" s="179">
        <f>+OAR!F5</f>
        <v>-65.604907028192343</v>
      </c>
      <c r="G27" s="18">
        <f t="shared" ref="G27:G31" si="11">SUM(C27:F27)</f>
        <v>-363755.178700833</v>
      </c>
      <c r="I27" s="186" t="s">
        <v>17</v>
      </c>
      <c r="J27" s="264">
        <f>+G27+'tariff tables (M1)'!F27</f>
        <v>-444664.33442360128</v>
      </c>
      <c r="K27" s="23">
        <f>+G17+'tariff tables (M1)'!F17</f>
        <v>10190921.631961664</v>
      </c>
      <c r="L27" s="264">
        <f t="shared" ref="L27:L31" si="12">+K27+J27</f>
        <v>9746257.2975380626</v>
      </c>
    </row>
    <row r="28" spans="2:12" ht="15.75" thickBot="1" x14ac:dyDescent="0.3">
      <c r="B28" s="12" t="s">
        <v>18</v>
      </c>
      <c r="C28" s="184">
        <f>PCR!H6</f>
        <v>-1843931.4539163858</v>
      </c>
      <c r="D28" s="184">
        <f>TDR!G6</f>
        <v>493998.06566853559</v>
      </c>
      <c r="E28" s="15">
        <v>0</v>
      </c>
      <c r="F28" s="179">
        <f>+OAR!F6</f>
        <v>1233.7209141658395</v>
      </c>
      <c r="G28" s="18">
        <f t="shared" si="11"/>
        <v>-1348699.6673336842</v>
      </c>
      <c r="I28" s="186" t="s">
        <v>18</v>
      </c>
      <c r="J28" s="264">
        <f>+G28+'tariff tables (M1)'!F28</f>
        <v>-1602779.8693774843</v>
      </c>
      <c r="K28" s="23">
        <f>+G18+'tariff tables (M1)'!F18</f>
        <v>20806425.675201289</v>
      </c>
      <c r="L28" s="264">
        <f t="shared" si="12"/>
        <v>19203645.805823807</v>
      </c>
    </row>
    <row r="29" spans="2:12" ht="15.75" thickBot="1" x14ac:dyDescent="0.3">
      <c r="B29" s="12" t="s">
        <v>19</v>
      </c>
      <c r="C29" s="184">
        <f>PCR!H7</f>
        <v>-773269.25408896024</v>
      </c>
      <c r="D29" s="184">
        <f>TDR!G7</f>
        <v>-635437.17810653849</v>
      </c>
      <c r="E29" s="15">
        <v>0</v>
      </c>
      <c r="F29" s="179">
        <f>+OAR!F7</f>
        <v>523.70998566733726</v>
      </c>
      <c r="G29" s="18">
        <f t="shared" si="11"/>
        <v>-1408182.7222098312</v>
      </c>
      <c r="I29" s="186" t="s">
        <v>19</v>
      </c>
      <c r="J29" s="264">
        <f>+G29+'tariff tables (M1)'!F29</f>
        <v>-1582313.7836496246</v>
      </c>
      <c r="K29" s="23">
        <f>+G19+'tariff tables (M1)'!F19</f>
        <v>9056406.0954639781</v>
      </c>
      <c r="L29" s="264">
        <f t="shared" si="12"/>
        <v>7474092.3118143538</v>
      </c>
    </row>
    <row r="30" spans="2:12" ht="15.75" thickBot="1" x14ac:dyDescent="0.3">
      <c r="B30" s="12" t="s">
        <v>20</v>
      </c>
      <c r="C30" s="184">
        <f>PCR!H8</f>
        <v>-234441.88456907254</v>
      </c>
      <c r="D30" s="184">
        <f>TDR!G8</f>
        <v>-40722.538001738976</v>
      </c>
      <c r="E30" s="15">
        <v>0</v>
      </c>
      <c r="F30" s="179">
        <f>+OAR!F8</f>
        <v>172.70282920779471</v>
      </c>
      <c r="G30" s="18">
        <f t="shared" si="11"/>
        <v>-274991.71974160371</v>
      </c>
      <c r="I30" s="186" t="s">
        <v>20</v>
      </c>
      <c r="J30" s="264">
        <f>+G30+'tariff tables (M1)'!F30</f>
        <v>-298664.49368338252</v>
      </c>
      <c r="K30" s="23">
        <f>+G20+'tariff tables (M1)'!F20</f>
        <v>2908056.6651191209</v>
      </c>
      <c r="L30" s="264">
        <f t="shared" si="12"/>
        <v>2609392.1714357384</v>
      </c>
    </row>
    <row r="31" spans="2:12" ht="15.75" thickBot="1" x14ac:dyDescent="0.3">
      <c r="B31" s="12" t="s">
        <v>21</v>
      </c>
      <c r="C31" s="14">
        <v>0</v>
      </c>
      <c r="D31" s="14">
        <v>0</v>
      </c>
      <c r="E31" s="15">
        <v>0</v>
      </c>
      <c r="F31" s="179">
        <v>0</v>
      </c>
      <c r="G31" s="18">
        <f t="shared" si="11"/>
        <v>0</v>
      </c>
      <c r="I31" s="186" t="s">
        <v>21</v>
      </c>
      <c r="J31" s="264">
        <f>+G31+'tariff tables (M1)'!F31</f>
        <v>0</v>
      </c>
      <c r="K31" s="23">
        <f>+G21+'tariff tables (M1)'!F21</f>
        <v>0</v>
      </c>
      <c r="L31" s="264">
        <f t="shared" si="12"/>
        <v>0</v>
      </c>
    </row>
    <row r="32" spans="2:12" x14ac:dyDescent="0.25">
      <c r="I32" s="186" t="s">
        <v>9</v>
      </c>
      <c r="J32" s="264">
        <f>SUM(J26:J31)</f>
        <v>-18446948.250851505</v>
      </c>
      <c r="K32" s="264">
        <f>SUM(K26:K31)</f>
        <v>64214527.870865874</v>
      </c>
      <c r="L32" s="264">
        <f>SUM(L26:L31)</f>
        <v>45767579.620014369</v>
      </c>
    </row>
    <row r="33" spans="6:12" x14ac:dyDescent="0.25">
      <c r="K33" s="264"/>
      <c r="L33" s="264"/>
    </row>
    <row r="34" spans="6:12" x14ac:dyDescent="0.25">
      <c r="I34" s="264"/>
      <c r="J34" s="264"/>
      <c r="K34" s="264"/>
      <c r="L34" s="264"/>
    </row>
    <row r="35" spans="6:12" x14ac:dyDescent="0.25">
      <c r="F35" s="23"/>
      <c r="G35" s="57"/>
      <c r="K35" s="264"/>
      <c r="L35" s="264"/>
    </row>
    <row r="36" spans="6:12" x14ac:dyDescent="0.25">
      <c r="G36" s="57"/>
    </row>
  </sheetData>
  <mergeCells count="2">
    <mergeCell ref="J2:M2"/>
    <mergeCell ref="P2:T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X36"/>
  <sheetViews>
    <sheetView workbookViewId="0">
      <selection activeCell="M15" sqref="M15"/>
    </sheetView>
  </sheetViews>
  <sheetFormatPr defaultColWidth="9.140625" defaultRowHeight="15" x14ac:dyDescent="0.25"/>
  <cols>
    <col min="1" max="2" width="9.140625" style="76"/>
    <col min="3" max="3" width="16.5703125" style="76" customWidth="1"/>
    <col min="4" max="4" width="15.5703125" style="76" customWidth="1"/>
    <col min="5" max="5" width="16.28515625" style="76" customWidth="1"/>
    <col min="6" max="6" width="17" style="76" customWidth="1"/>
    <col min="7" max="7" width="17.140625" style="76" customWidth="1"/>
    <col min="8" max="8" width="13.7109375" style="76" bestFit="1" customWidth="1"/>
    <col min="9" max="9" width="12.28515625" style="76" customWidth="1"/>
    <col min="10" max="11" width="13.42578125" style="76" customWidth="1"/>
    <col min="12" max="12" width="13.42578125" style="175" customWidth="1"/>
    <col min="13" max="13" width="7.28515625" style="76" customWidth="1"/>
    <col min="14" max="14" width="11" style="76" bestFit="1" customWidth="1"/>
    <col min="15" max="15" width="12.28515625" style="76" customWidth="1"/>
    <col min="16" max="16" width="12.28515625" style="175" customWidth="1"/>
    <col min="17" max="17" width="11" style="76" bestFit="1" customWidth="1"/>
    <col min="18" max="16384" width="9.140625" style="76"/>
  </cols>
  <sheetData>
    <row r="2" spans="2:24" ht="15.75" thickBot="1" x14ac:dyDescent="0.3">
      <c r="I2" s="176"/>
      <c r="J2" s="290" t="s">
        <v>29</v>
      </c>
      <c r="K2" s="290"/>
      <c r="L2" s="290"/>
      <c r="N2" s="290" t="s">
        <v>172</v>
      </c>
      <c r="O2" s="290"/>
      <c r="P2" s="290"/>
      <c r="Q2" s="290"/>
    </row>
    <row r="3" spans="2:24" ht="27.75" thickBot="1" x14ac:dyDescent="0.3">
      <c r="B3" s="9" t="s">
        <v>12</v>
      </c>
      <c r="C3" s="177" t="s">
        <v>34</v>
      </c>
      <c r="D3" s="177" t="s">
        <v>35</v>
      </c>
      <c r="E3" s="177" t="s">
        <v>101</v>
      </c>
      <c r="F3" s="177" t="s">
        <v>36</v>
      </c>
      <c r="G3" s="177" t="s">
        <v>14</v>
      </c>
      <c r="H3" s="11" t="s">
        <v>15</v>
      </c>
      <c r="J3" s="47" t="s">
        <v>30</v>
      </c>
      <c r="K3" s="47" t="s">
        <v>45</v>
      </c>
      <c r="L3" s="181" t="s">
        <v>102</v>
      </c>
      <c r="N3" s="76" t="s">
        <v>34</v>
      </c>
      <c r="O3" s="76" t="s">
        <v>35</v>
      </c>
      <c r="P3" s="175" t="s">
        <v>101</v>
      </c>
      <c r="Q3" s="76" t="s">
        <v>9</v>
      </c>
    </row>
    <row r="4" spans="2:24" ht="15.75" thickBot="1" x14ac:dyDescent="0.3">
      <c r="B4" s="12" t="s">
        <v>16</v>
      </c>
      <c r="C4" s="13">
        <f>C16+C26</f>
        <v>0</v>
      </c>
      <c r="D4" s="14">
        <f>D16+D26</f>
        <v>0</v>
      </c>
      <c r="E4" s="178">
        <f>E16+E26</f>
        <v>485083.0283330488</v>
      </c>
      <c r="F4" s="15"/>
      <c r="G4" s="63">
        <f>+'PI (M1)'!B11*(1-PPC!B14)</f>
        <v>12492044051.714272</v>
      </c>
      <c r="H4" s="78">
        <f>SUM(C4:E4)/G4</f>
        <v>3.88313574884073E-5</v>
      </c>
      <c r="J4" s="72">
        <f>(C16+C26)/G4</f>
        <v>0</v>
      </c>
      <c r="K4" s="75">
        <f>(D16+D26)/G4</f>
        <v>0</v>
      </c>
      <c r="L4" s="75">
        <f>(E16+E26)/G4</f>
        <v>3.88313574884073E-5</v>
      </c>
      <c r="M4" s="180">
        <f>J4+K4+L4-H4</f>
        <v>0</v>
      </c>
      <c r="N4" s="69">
        <f>ROUND(J4,6)</f>
        <v>0</v>
      </c>
      <c r="O4" s="69">
        <f>ROUND(K4,6)</f>
        <v>0</v>
      </c>
      <c r="P4" s="182">
        <f>ROUND(L4,6)</f>
        <v>3.8999999999999999E-5</v>
      </c>
      <c r="Q4" s="69">
        <f>SUM(N4:O4)</f>
        <v>0</v>
      </c>
      <c r="S4" s="65"/>
      <c r="V4" s="66"/>
      <c r="X4" s="67"/>
    </row>
    <row r="5" spans="2:24" ht="15.75" thickBot="1" x14ac:dyDescent="0.3">
      <c r="B5" s="12" t="s">
        <v>17</v>
      </c>
      <c r="C5" s="13">
        <f t="shared" ref="C5:D9" si="0">C17+C27</f>
        <v>0</v>
      </c>
      <c r="D5" s="14">
        <f>D17+D27</f>
        <v>0</v>
      </c>
      <c r="E5" s="178">
        <f>E17+E27</f>
        <v>182626.95229598338</v>
      </c>
      <c r="F5" s="15"/>
      <c r="G5" s="63">
        <f>+'PI (M1)'!B12</f>
        <v>3321740257.2261481</v>
      </c>
      <c r="H5" s="78">
        <f>SUM(C5:E5)/G5</f>
        <v>5.4979299449646859E-5</v>
      </c>
      <c r="J5" s="74">
        <f>(C17+C27)/G5</f>
        <v>0</v>
      </c>
      <c r="K5" s="78">
        <f>(D17+D27)/G5</f>
        <v>0</v>
      </c>
      <c r="L5" s="75">
        <f>(E17+E27)/G5</f>
        <v>5.4979299449646859E-5</v>
      </c>
      <c r="M5" s="180">
        <f>J5+K5+L5-H5</f>
        <v>0</v>
      </c>
      <c r="N5" s="69">
        <f t="shared" ref="N5:O8" si="1">ROUND(J5,6)</f>
        <v>0</v>
      </c>
      <c r="O5" s="69">
        <f t="shared" si="1"/>
        <v>0</v>
      </c>
      <c r="P5" s="182">
        <f>ROUND(L5,6)</f>
        <v>5.5000000000000002E-5</v>
      </c>
      <c r="Q5" s="69">
        <f>SUM(N5:O5)</f>
        <v>0</v>
      </c>
      <c r="S5" s="65"/>
      <c r="V5" s="66"/>
    </row>
    <row r="6" spans="2:24" ht="15.75" thickBot="1" x14ac:dyDescent="0.3">
      <c r="B6" s="12" t="s">
        <v>18</v>
      </c>
      <c r="C6" s="13">
        <f t="shared" si="0"/>
        <v>0</v>
      </c>
      <c r="D6" s="14">
        <f t="shared" si="0"/>
        <v>0</v>
      </c>
      <c r="E6" s="178">
        <f>E18+E28</f>
        <v>859858.13689260394</v>
      </c>
      <c r="F6" s="15"/>
      <c r="G6" s="63">
        <f>+'PI (M1)'!B13</f>
        <v>7694288799.8094788</v>
      </c>
      <c r="H6" s="78">
        <f>SUM(C6:E6)/G6</f>
        <v>1.1175277654172472E-4</v>
      </c>
      <c r="J6" s="74">
        <f>(C18+C28)/G6</f>
        <v>0</v>
      </c>
      <c r="K6" s="78">
        <f>(D18+D28)/G6</f>
        <v>0</v>
      </c>
      <c r="L6" s="75">
        <f>(E18+E28)/G6</f>
        <v>1.1175277654172472E-4</v>
      </c>
      <c r="M6" s="180">
        <f>J6+K6+L6-H6</f>
        <v>0</v>
      </c>
      <c r="N6" s="69">
        <f t="shared" si="1"/>
        <v>0</v>
      </c>
      <c r="O6" s="69">
        <f t="shared" si="1"/>
        <v>0</v>
      </c>
      <c r="P6" s="182">
        <f>ROUND(L6,6)</f>
        <v>1.12E-4</v>
      </c>
      <c r="Q6" s="69">
        <f>SUM(N6:O6)</f>
        <v>0</v>
      </c>
    </row>
    <row r="7" spans="2:24" ht="15.75" thickBot="1" x14ac:dyDescent="0.3">
      <c r="B7" s="12" t="s">
        <v>19</v>
      </c>
      <c r="C7" s="13">
        <f t="shared" si="0"/>
        <v>0</v>
      </c>
      <c r="D7" s="14">
        <f t="shared" si="0"/>
        <v>0</v>
      </c>
      <c r="E7" s="178">
        <f>E19+E29</f>
        <v>321936.90659550391</v>
      </c>
      <c r="F7" s="15"/>
      <c r="G7" s="63">
        <f>+'PI (M1)'!B14</f>
        <v>3425587360.2288609</v>
      </c>
      <c r="H7" s="78">
        <f>SUM(C7:E7)/G7</f>
        <v>9.3980060276143578E-5</v>
      </c>
      <c r="J7" s="74">
        <f>(C19+C29)/G7</f>
        <v>0</v>
      </c>
      <c r="K7" s="78">
        <f>(D19+D29)/G7</f>
        <v>0</v>
      </c>
      <c r="L7" s="75">
        <f>(E19+E29)/G7</f>
        <v>9.3980060276143578E-5</v>
      </c>
      <c r="M7" s="180">
        <f>J7+K7+L7-H7</f>
        <v>0</v>
      </c>
      <c r="N7" s="69">
        <f t="shared" si="1"/>
        <v>0</v>
      </c>
      <c r="O7" s="69">
        <f t="shared" si="1"/>
        <v>0</v>
      </c>
      <c r="P7" s="182">
        <f>ROUND(L7,6)</f>
        <v>9.3999999999999994E-5</v>
      </c>
      <c r="Q7" s="69">
        <f>SUM(N7:O7)</f>
        <v>0</v>
      </c>
    </row>
    <row r="8" spans="2:24" ht="15.75" thickBot="1" x14ac:dyDescent="0.3">
      <c r="B8" s="12" t="s">
        <v>20</v>
      </c>
      <c r="C8" s="13">
        <f t="shared" si="0"/>
        <v>0</v>
      </c>
      <c r="D8" s="14">
        <f t="shared" si="0"/>
        <v>0</v>
      </c>
      <c r="E8" s="178">
        <f>E20+E30</f>
        <v>317373.95408248808</v>
      </c>
      <c r="F8" s="15"/>
      <c r="G8" s="63">
        <f>+'PI (M1)'!B15</f>
        <v>1718528567.2285078</v>
      </c>
      <c r="H8" s="78">
        <f>SUM(C8:E8)/G8</f>
        <v>1.8467772961977639E-4</v>
      </c>
      <c r="J8" s="74">
        <f>(C20+C30)/G8</f>
        <v>0</v>
      </c>
      <c r="K8" s="78">
        <f>(D20+D30)/G8</f>
        <v>0</v>
      </c>
      <c r="L8" s="75">
        <f>(E20+E30)/G8</f>
        <v>1.8467772961977639E-4</v>
      </c>
      <c r="M8" s="180">
        <f>J8+K8+L8-H8</f>
        <v>0</v>
      </c>
      <c r="N8" s="69">
        <f t="shared" si="1"/>
        <v>0</v>
      </c>
      <c r="O8" s="69">
        <f t="shared" si="1"/>
        <v>0</v>
      </c>
      <c r="P8" s="182">
        <f>ROUND(L8,6)</f>
        <v>1.85E-4</v>
      </c>
      <c r="Q8" s="69">
        <f>SUM(N8:O8)</f>
        <v>0</v>
      </c>
    </row>
    <row r="9" spans="2:24" ht="15.75" thickBot="1" x14ac:dyDescent="0.3">
      <c r="B9" s="12" t="s">
        <v>21</v>
      </c>
      <c r="C9" s="13">
        <f t="shared" si="0"/>
        <v>0</v>
      </c>
      <c r="D9" s="14">
        <f t="shared" si="0"/>
        <v>0</v>
      </c>
      <c r="E9" s="178">
        <f>E21+E31</f>
        <v>0</v>
      </c>
      <c r="F9" s="15"/>
      <c r="G9" s="16">
        <v>0</v>
      </c>
      <c r="H9" s="78">
        <v>0</v>
      </c>
    </row>
    <row r="11" spans="2:24" x14ac:dyDescent="0.25">
      <c r="G11" s="183"/>
    </row>
    <row r="12" spans="2:24" x14ac:dyDescent="0.25">
      <c r="G12" s="183"/>
    </row>
    <row r="14" spans="2:24" ht="15.75" thickBot="1" x14ac:dyDescent="0.3"/>
    <row r="15" spans="2:24" ht="27.75" thickBot="1" x14ac:dyDescent="0.3">
      <c r="B15" s="9" t="s">
        <v>12</v>
      </c>
      <c r="C15" s="174" t="s">
        <v>22</v>
      </c>
      <c r="D15" s="174" t="s">
        <v>23</v>
      </c>
      <c r="E15" s="174" t="s">
        <v>100</v>
      </c>
      <c r="F15" s="174" t="s">
        <v>13</v>
      </c>
      <c r="I15" s="68" t="s">
        <v>116</v>
      </c>
    </row>
    <row r="16" spans="2:24" ht="15.75" thickBot="1" x14ac:dyDescent="0.3">
      <c r="B16" s="12" t="s">
        <v>16</v>
      </c>
      <c r="C16" s="15">
        <v>0</v>
      </c>
      <c r="D16" s="15">
        <v>0</v>
      </c>
      <c r="E16" s="179">
        <f>+'PI (M1)'!C11</f>
        <v>2554855.1630722377</v>
      </c>
      <c r="F16" s="13">
        <f>SUM(C16:E16)</f>
        <v>2554855.1630722377</v>
      </c>
      <c r="H16" s="186" t="s">
        <v>16</v>
      </c>
      <c r="I16" s="23">
        <f>SUM(C4:F4)</f>
        <v>485083.0283330488</v>
      </c>
    </row>
    <row r="17" spans="2:9" ht="15.75" thickBot="1" x14ac:dyDescent="0.3">
      <c r="B17" s="12" t="s">
        <v>17</v>
      </c>
      <c r="C17" s="15">
        <v>0</v>
      </c>
      <c r="D17" s="15">
        <v>0</v>
      </c>
      <c r="E17" s="179">
        <f>+'PI (M1)'!C12</f>
        <v>263536.10801875166</v>
      </c>
      <c r="F17" s="13">
        <f t="shared" ref="F17:F21" si="2">SUM(C17:E17)</f>
        <v>263536.10801875166</v>
      </c>
      <c r="H17" s="186" t="s">
        <v>17</v>
      </c>
      <c r="I17" s="23">
        <f t="shared" ref="I17:I21" si="3">SUM(C5:F5)</f>
        <v>182626.95229598338</v>
      </c>
    </row>
    <row r="18" spans="2:9" ht="15.75" thickBot="1" x14ac:dyDescent="0.3">
      <c r="B18" s="12" t="s">
        <v>18</v>
      </c>
      <c r="C18" s="15">
        <v>0</v>
      </c>
      <c r="D18" s="15">
        <v>0</v>
      </c>
      <c r="E18" s="179">
        <f>+'PI (M1)'!C13</f>
        <v>1113938.3389364041</v>
      </c>
      <c r="F18" s="13">
        <f t="shared" si="2"/>
        <v>1113938.3389364041</v>
      </c>
      <c r="H18" s="186" t="s">
        <v>18</v>
      </c>
      <c r="I18" s="23">
        <f t="shared" si="3"/>
        <v>859858.13689260394</v>
      </c>
    </row>
    <row r="19" spans="2:9" ht="15.75" thickBot="1" x14ac:dyDescent="0.3">
      <c r="B19" s="12" t="s">
        <v>19</v>
      </c>
      <c r="C19" s="15">
        <v>0</v>
      </c>
      <c r="D19" s="15">
        <v>0</v>
      </c>
      <c r="E19" s="179">
        <f>+'PI (M1)'!C14</f>
        <v>496067.96803529724</v>
      </c>
      <c r="F19" s="13">
        <f t="shared" si="2"/>
        <v>496067.96803529724</v>
      </c>
      <c r="H19" s="186" t="s">
        <v>19</v>
      </c>
      <c r="I19" s="23">
        <f t="shared" si="3"/>
        <v>321936.90659550391</v>
      </c>
    </row>
    <row r="20" spans="2:9" ht="15.75" thickBot="1" x14ac:dyDescent="0.3">
      <c r="B20" s="12" t="s">
        <v>20</v>
      </c>
      <c r="C20" s="15">
        <v>0</v>
      </c>
      <c r="D20" s="15">
        <v>0</v>
      </c>
      <c r="E20" s="179">
        <f>+'PI (M1)'!C15</f>
        <v>341046.72802426689</v>
      </c>
      <c r="F20" s="13">
        <f t="shared" si="2"/>
        <v>341046.72802426689</v>
      </c>
      <c r="H20" s="186" t="s">
        <v>20</v>
      </c>
      <c r="I20" s="23">
        <f t="shared" si="3"/>
        <v>317373.95408248808</v>
      </c>
    </row>
    <row r="21" spans="2:9" ht="15.75" thickBot="1" x14ac:dyDescent="0.3">
      <c r="B21" s="12" t="s">
        <v>21</v>
      </c>
      <c r="C21" s="17">
        <v>0</v>
      </c>
      <c r="D21" s="15">
        <v>0</v>
      </c>
      <c r="E21" s="15">
        <v>0</v>
      </c>
      <c r="F21" s="13">
        <f t="shared" si="2"/>
        <v>0</v>
      </c>
      <c r="H21" s="186" t="s">
        <v>21</v>
      </c>
      <c r="I21" s="23">
        <f t="shared" si="3"/>
        <v>0</v>
      </c>
    </row>
    <row r="22" spans="2:9" x14ac:dyDescent="0.25">
      <c r="H22" s="186" t="s">
        <v>9</v>
      </c>
      <c r="I22" s="220">
        <f>SUM(I16:I21)</f>
        <v>2166878.9781996282</v>
      </c>
    </row>
    <row r="24" spans="2:9" ht="15.75" thickBot="1" x14ac:dyDescent="0.3"/>
    <row r="25" spans="2:9" ht="27.75" thickBot="1" x14ac:dyDescent="0.3">
      <c r="B25" s="9" t="s">
        <v>12</v>
      </c>
      <c r="C25" s="173" t="s">
        <v>24</v>
      </c>
      <c r="D25" s="173" t="s">
        <v>25</v>
      </c>
      <c r="E25" s="173" t="s">
        <v>99</v>
      </c>
      <c r="F25" s="173" t="s">
        <v>33</v>
      </c>
    </row>
    <row r="26" spans="2:9" ht="15.75" thickBot="1" x14ac:dyDescent="0.3">
      <c r="B26" s="12" t="s">
        <v>16</v>
      </c>
      <c r="C26" s="14">
        <v>0</v>
      </c>
      <c r="D26" s="14">
        <v>0</v>
      </c>
      <c r="E26" s="15">
        <f>+'PIR (M1)'!F4</f>
        <v>-2069772.1347391889</v>
      </c>
      <c r="F26" s="18">
        <f>SUM(C26:E26)</f>
        <v>-2069772.1347391889</v>
      </c>
    </row>
    <row r="27" spans="2:9" ht="15.75" thickBot="1" x14ac:dyDescent="0.3">
      <c r="B27" s="12" t="s">
        <v>17</v>
      </c>
      <c r="C27" s="14">
        <v>0</v>
      </c>
      <c r="D27" s="14">
        <v>0</v>
      </c>
      <c r="E27" s="179">
        <f>+'PIR (M1)'!F5</f>
        <v>-80909.155722768279</v>
      </c>
      <c r="F27" s="18">
        <f t="shared" ref="F27:F31" si="4">SUM(C27:E27)</f>
        <v>-80909.155722768279</v>
      </c>
    </row>
    <row r="28" spans="2:9" ht="15.75" thickBot="1" x14ac:dyDescent="0.3">
      <c r="B28" s="12" t="s">
        <v>18</v>
      </c>
      <c r="C28" s="14">
        <v>0</v>
      </c>
      <c r="D28" s="14">
        <v>0</v>
      </c>
      <c r="E28" s="179">
        <f>+'PIR (M1)'!F6</f>
        <v>-254080.20204380012</v>
      </c>
      <c r="F28" s="18">
        <f t="shared" si="4"/>
        <v>-254080.20204380012</v>
      </c>
    </row>
    <row r="29" spans="2:9" ht="15.75" thickBot="1" x14ac:dyDescent="0.3">
      <c r="B29" s="12" t="s">
        <v>19</v>
      </c>
      <c r="C29" s="14">
        <v>0</v>
      </c>
      <c r="D29" s="14">
        <v>0</v>
      </c>
      <c r="E29" s="179">
        <f>+'PIR (M1)'!F7</f>
        <v>-174131.06143979335</v>
      </c>
      <c r="F29" s="18">
        <f t="shared" si="4"/>
        <v>-174131.06143979335</v>
      </c>
    </row>
    <row r="30" spans="2:9" ht="15.75" thickBot="1" x14ac:dyDescent="0.3">
      <c r="B30" s="12" t="s">
        <v>20</v>
      </c>
      <c r="C30" s="14">
        <v>0</v>
      </c>
      <c r="D30" s="14">
        <v>0</v>
      </c>
      <c r="E30" s="179">
        <f>+'PIR (M1)'!F8</f>
        <v>-23672.773941778818</v>
      </c>
      <c r="F30" s="18">
        <f t="shared" si="4"/>
        <v>-23672.773941778818</v>
      </c>
    </row>
    <row r="31" spans="2:9" ht="15.75" thickBot="1" x14ac:dyDescent="0.3">
      <c r="B31" s="12" t="s">
        <v>21</v>
      </c>
      <c r="C31" s="14">
        <v>0</v>
      </c>
      <c r="D31" s="14">
        <v>0</v>
      </c>
      <c r="E31" s="179">
        <v>0</v>
      </c>
      <c r="F31" s="18">
        <f t="shared" si="4"/>
        <v>0</v>
      </c>
    </row>
    <row r="35" spans="6:7" x14ac:dyDescent="0.25">
      <c r="F35" s="23"/>
      <c r="G35" s="57"/>
    </row>
    <row r="36" spans="6:7" x14ac:dyDescent="0.25">
      <c r="G36" s="57"/>
    </row>
  </sheetData>
  <mergeCells count="2">
    <mergeCell ref="J2:L2"/>
    <mergeCell ref="N2:Q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C2:I31"/>
  <sheetViews>
    <sheetView topLeftCell="A4" workbookViewId="0">
      <selection activeCell="D15" sqref="D15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  <col min="9" max="9" width="10.28515625" bestFit="1" customWidth="1"/>
    <col min="10" max="10" width="11.85546875" bestFit="1" customWidth="1"/>
  </cols>
  <sheetData>
    <row r="2" spans="3:9" ht="15.75" thickBot="1" x14ac:dyDescent="0.3">
      <c r="C2" s="83" t="s">
        <v>58</v>
      </c>
    </row>
    <row r="3" spans="3:9" x14ac:dyDescent="0.25">
      <c r="C3" s="286" t="s">
        <v>12</v>
      </c>
      <c r="D3" s="80" t="s">
        <v>47</v>
      </c>
      <c r="E3" s="80" t="s">
        <v>49</v>
      </c>
      <c r="F3" s="80" t="s">
        <v>50</v>
      </c>
      <c r="G3" s="80" t="s">
        <v>51</v>
      </c>
    </row>
    <row r="4" spans="3:9" ht="15.75" thickBot="1" x14ac:dyDescent="0.3">
      <c r="C4" s="287"/>
      <c r="D4" s="81" t="s">
        <v>48</v>
      </c>
      <c r="E4" s="81" t="s">
        <v>48</v>
      </c>
      <c r="F4" s="81" t="s">
        <v>48</v>
      </c>
      <c r="G4" s="81" t="s">
        <v>48</v>
      </c>
    </row>
    <row r="5" spans="3:9" ht="15.75" thickBot="1" x14ac:dyDescent="0.3">
      <c r="C5" s="82" t="s">
        <v>52</v>
      </c>
      <c r="D5" s="84">
        <v>0</v>
      </c>
      <c r="E5" s="84">
        <v>0</v>
      </c>
      <c r="F5" s="163">
        <f>+'tariff tables (M1)'!P4</f>
        <v>3.8999999999999999E-5</v>
      </c>
      <c r="G5" s="84">
        <v>0</v>
      </c>
    </row>
    <row r="6" spans="3:9" ht="15.75" thickBot="1" x14ac:dyDescent="0.3">
      <c r="C6" s="82" t="s">
        <v>53</v>
      </c>
      <c r="D6" s="84">
        <v>0</v>
      </c>
      <c r="E6" s="84">
        <v>0</v>
      </c>
      <c r="F6" s="163">
        <f>+'tariff tables (M1)'!P5</f>
        <v>5.5000000000000002E-5</v>
      </c>
      <c r="G6" s="84">
        <v>0</v>
      </c>
    </row>
    <row r="7" spans="3:9" ht="15.75" thickBot="1" x14ac:dyDescent="0.3">
      <c r="C7" s="82" t="s">
        <v>54</v>
      </c>
      <c r="D7" s="84">
        <v>0</v>
      </c>
      <c r="E7" s="84">
        <v>0</v>
      </c>
      <c r="F7" s="163">
        <f>+'tariff tables (M1)'!P6</f>
        <v>1.12E-4</v>
      </c>
      <c r="G7" s="84">
        <v>0</v>
      </c>
    </row>
    <row r="8" spans="3:9" ht="15.75" thickBot="1" x14ac:dyDescent="0.3">
      <c r="C8" s="82" t="s">
        <v>55</v>
      </c>
      <c r="D8" s="84">
        <v>0</v>
      </c>
      <c r="E8" s="84">
        <v>0</v>
      </c>
      <c r="F8" s="163">
        <f>+'tariff tables (M1)'!P7</f>
        <v>9.3999999999999994E-5</v>
      </c>
      <c r="G8" s="84">
        <v>0</v>
      </c>
    </row>
    <row r="9" spans="3:9" ht="15.75" thickBot="1" x14ac:dyDescent="0.3">
      <c r="C9" s="82" t="s">
        <v>56</v>
      </c>
      <c r="D9" s="84">
        <v>0</v>
      </c>
      <c r="E9" s="84">
        <v>0</v>
      </c>
      <c r="F9" s="163">
        <f>+'tariff tables (M1)'!P8</f>
        <v>1.85E-4</v>
      </c>
      <c r="G9" s="84">
        <v>0</v>
      </c>
    </row>
    <row r="10" spans="3:9" ht="15.75" thickBot="1" x14ac:dyDescent="0.3">
      <c r="C10" s="82" t="s">
        <v>57</v>
      </c>
      <c r="D10" s="84">
        <v>0</v>
      </c>
      <c r="E10" s="84">
        <v>0</v>
      </c>
      <c r="F10" s="84">
        <v>0</v>
      </c>
      <c r="G10" s="84">
        <v>0</v>
      </c>
    </row>
    <row r="12" spans="3:9" ht="15.75" thickBot="1" x14ac:dyDescent="0.3">
      <c r="C12" s="83" t="s">
        <v>59</v>
      </c>
    </row>
    <row r="13" spans="3:9" x14ac:dyDescent="0.25">
      <c r="C13" s="286" t="s">
        <v>12</v>
      </c>
      <c r="D13" s="80" t="s">
        <v>47</v>
      </c>
      <c r="E13" s="80" t="s">
        <v>49</v>
      </c>
      <c r="F13" s="80" t="s">
        <v>66</v>
      </c>
      <c r="G13" s="80" t="s">
        <v>51</v>
      </c>
    </row>
    <row r="14" spans="3:9" ht="15.75" thickBot="1" x14ac:dyDescent="0.3">
      <c r="C14" s="287"/>
      <c r="D14" s="81" t="s">
        <v>48</v>
      </c>
      <c r="E14" s="81" t="s">
        <v>48</v>
      </c>
      <c r="F14" s="81" t="s">
        <v>48</v>
      </c>
      <c r="G14" s="81" t="s">
        <v>48</v>
      </c>
    </row>
    <row r="15" spans="3:9" ht="15.75" thickBot="1" x14ac:dyDescent="0.3">
      <c r="C15" s="82" t="s">
        <v>52</v>
      </c>
      <c r="D15" s="163">
        <f>'tariff tables'!P4</f>
        <v>-6.1399999999999996E-4</v>
      </c>
      <c r="E15" s="163">
        <f>'tariff tables'!Q4</f>
        <v>1.109E-3</v>
      </c>
      <c r="F15" s="84">
        <v>0</v>
      </c>
      <c r="G15" s="84">
        <f>'tariff tables'!S4</f>
        <v>5.0000000000000004E-6</v>
      </c>
      <c r="H15" s="69"/>
      <c r="I15" s="182"/>
    </row>
    <row r="16" spans="3:9" ht="15.75" thickBot="1" x14ac:dyDescent="0.3">
      <c r="C16" s="82" t="s">
        <v>53</v>
      </c>
      <c r="D16" s="163">
        <f>'tariff tables'!P5</f>
        <v>5.8E-4</v>
      </c>
      <c r="E16" s="163">
        <f>'tariff tables'!Q5</f>
        <v>2.3010000000000001E-3</v>
      </c>
      <c r="F16" s="84">
        <v>0</v>
      </c>
      <c r="G16" s="84">
        <f>'tariff tables'!S5</f>
        <v>-1.9999999999999999E-6</v>
      </c>
      <c r="H16" s="182"/>
      <c r="I16" s="182"/>
    </row>
    <row r="17" spans="3:9" ht="15.75" thickBot="1" x14ac:dyDescent="0.3">
      <c r="C17" s="82" t="s">
        <v>54</v>
      </c>
      <c r="D17" s="163">
        <f>'tariff tables'!P6</f>
        <v>5.8399999999999999E-4</v>
      </c>
      <c r="E17" s="163">
        <f>'tariff tables'!Q6</f>
        <v>1.802E-3</v>
      </c>
      <c r="F17" s="84">
        <v>0</v>
      </c>
      <c r="G17" s="84">
        <f>'tariff tables'!S6</f>
        <v>-1.9999999999999999E-6</v>
      </c>
      <c r="H17" s="182"/>
      <c r="I17" s="182"/>
    </row>
    <row r="18" spans="3:9" ht="15.75" thickBot="1" x14ac:dyDescent="0.3">
      <c r="C18" s="82" t="s">
        <v>55</v>
      </c>
      <c r="D18" s="163">
        <f>'tariff tables'!P7</f>
        <v>5.9800000000000001E-4</v>
      </c>
      <c r="E18" s="163">
        <f>'tariff tables'!Q7</f>
        <v>1.4920000000000001E-3</v>
      </c>
      <c r="F18" s="84">
        <v>0</v>
      </c>
      <c r="G18" s="84">
        <f>'tariff tables'!S7</f>
        <v>-1.9999999999999999E-6</v>
      </c>
      <c r="H18" s="182"/>
      <c r="I18" s="182"/>
    </row>
    <row r="19" spans="3:9" ht="15.75" thickBot="1" x14ac:dyDescent="0.3">
      <c r="C19" s="82" t="s">
        <v>56</v>
      </c>
      <c r="D19" s="163">
        <f>'tariff tables'!P8</f>
        <v>6.87E-4</v>
      </c>
      <c r="E19" s="163">
        <f>'tariff tables'!Q8</f>
        <v>6.4800000000000003E-4</v>
      </c>
      <c r="F19" s="84">
        <v>0</v>
      </c>
      <c r="G19" s="84">
        <f>'tariff tables'!S8</f>
        <v>-1.9999999999999999E-6</v>
      </c>
      <c r="H19" s="182"/>
      <c r="I19" s="182"/>
    </row>
    <row r="20" spans="3:9" ht="15.75" thickBot="1" x14ac:dyDescent="0.3">
      <c r="C20" s="82" t="s">
        <v>57</v>
      </c>
      <c r="D20" s="84">
        <v>0</v>
      </c>
      <c r="E20" s="84">
        <v>0</v>
      </c>
      <c r="F20" s="84">
        <v>0</v>
      </c>
      <c r="G20" s="84">
        <f>'tariff tables'!Q9</f>
        <v>0</v>
      </c>
      <c r="H20" s="182"/>
    </row>
    <row r="21" spans="3:9" x14ac:dyDescent="0.25">
      <c r="D21" s="69"/>
      <c r="E21" s="69"/>
      <c r="F21" s="69"/>
      <c r="G21" s="69"/>
      <c r="H21" s="69"/>
    </row>
    <row r="22" spans="3:9" ht="15.75" thickBot="1" x14ac:dyDescent="0.3">
      <c r="C22" s="83" t="s">
        <v>62</v>
      </c>
      <c r="D22" s="69"/>
      <c r="E22" s="69"/>
      <c r="F22" s="69"/>
      <c r="G22" s="69"/>
      <c r="H22" s="69"/>
    </row>
    <row r="23" spans="3:9" x14ac:dyDescent="0.25">
      <c r="C23" s="286" t="s">
        <v>12</v>
      </c>
      <c r="D23" s="85" t="s">
        <v>34</v>
      </c>
      <c r="E23" s="85" t="s">
        <v>35</v>
      </c>
      <c r="F23" s="85" t="s">
        <v>60</v>
      </c>
      <c r="G23" s="85" t="s">
        <v>36</v>
      </c>
      <c r="H23" s="85" t="s">
        <v>9</v>
      </c>
    </row>
    <row r="24" spans="3:9" x14ac:dyDescent="0.25">
      <c r="C24" s="288"/>
      <c r="D24" s="86" t="s">
        <v>48</v>
      </c>
      <c r="E24" s="86" t="s">
        <v>48</v>
      </c>
      <c r="F24" s="86" t="s">
        <v>48</v>
      </c>
      <c r="G24" s="86" t="s">
        <v>48</v>
      </c>
      <c r="H24" s="86" t="s">
        <v>61</v>
      </c>
    </row>
    <row r="25" spans="3:9" ht="15.75" thickBot="1" x14ac:dyDescent="0.3">
      <c r="C25" s="287"/>
      <c r="D25" s="87"/>
      <c r="E25" s="87"/>
      <c r="F25" s="87"/>
      <c r="G25" s="87"/>
      <c r="H25" s="88" t="s">
        <v>48</v>
      </c>
    </row>
    <row r="26" spans="3:9" ht="15.75" thickBot="1" x14ac:dyDescent="0.3">
      <c r="C26" s="82" t="s">
        <v>52</v>
      </c>
      <c r="D26" s="163">
        <f>D15+D5</f>
        <v>-6.1399999999999996E-4</v>
      </c>
      <c r="E26" s="163">
        <f>E15+E5</f>
        <v>1.109E-3</v>
      </c>
      <c r="F26" s="163">
        <f>F15+F5</f>
        <v>3.8999999999999999E-5</v>
      </c>
      <c r="G26" s="84">
        <f>G15+G5</f>
        <v>5.0000000000000004E-6</v>
      </c>
      <c r="H26" s="88">
        <f t="shared" ref="H26:H31" si="0">SUM(D26:G26)</f>
        <v>5.3899999999999998E-4</v>
      </c>
    </row>
    <row r="27" spans="3:9" ht="15.75" thickBot="1" x14ac:dyDescent="0.3">
      <c r="C27" s="82" t="s">
        <v>53</v>
      </c>
      <c r="D27" s="163">
        <f t="shared" ref="D27:G31" si="1">D16+D6</f>
        <v>5.8E-4</v>
      </c>
      <c r="E27" s="163">
        <f t="shared" si="1"/>
        <v>2.3010000000000001E-3</v>
      </c>
      <c r="F27" s="163">
        <f t="shared" si="1"/>
        <v>5.5000000000000002E-5</v>
      </c>
      <c r="G27" s="84">
        <f t="shared" si="1"/>
        <v>-1.9999999999999999E-6</v>
      </c>
      <c r="H27" s="88">
        <f t="shared" si="0"/>
        <v>2.934E-3</v>
      </c>
    </row>
    <row r="28" spans="3:9" ht="15.75" thickBot="1" x14ac:dyDescent="0.3">
      <c r="C28" s="82" t="s">
        <v>54</v>
      </c>
      <c r="D28" s="163">
        <f t="shared" si="1"/>
        <v>5.8399999999999999E-4</v>
      </c>
      <c r="E28" s="163">
        <f t="shared" si="1"/>
        <v>1.802E-3</v>
      </c>
      <c r="F28" s="163">
        <f t="shared" si="1"/>
        <v>1.12E-4</v>
      </c>
      <c r="G28" s="84">
        <f t="shared" si="1"/>
        <v>-1.9999999999999999E-6</v>
      </c>
      <c r="H28" s="88">
        <f t="shared" si="0"/>
        <v>2.4960000000000004E-3</v>
      </c>
    </row>
    <row r="29" spans="3:9" ht="15.75" thickBot="1" x14ac:dyDescent="0.3">
      <c r="C29" s="82" t="s">
        <v>55</v>
      </c>
      <c r="D29" s="163">
        <f t="shared" si="1"/>
        <v>5.9800000000000001E-4</v>
      </c>
      <c r="E29" s="163">
        <f t="shared" si="1"/>
        <v>1.4920000000000001E-3</v>
      </c>
      <c r="F29" s="163">
        <f t="shared" si="1"/>
        <v>9.3999999999999994E-5</v>
      </c>
      <c r="G29" s="84">
        <f t="shared" si="1"/>
        <v>-1.9999999999999999E-6</v>
      </c>
      <c r="H29" s="88">
        <f t="shared" si="0"/>
        <v>2.1819999999999999E-3</v>
      </c>
    </row>
    <row r="30" spans="3:9" ht="15.75" thickBot="1" x14ac:dyDescent="0.3">
      <c r="C30" s="82" t="s">
        <v>56</v>
      </c>
      <c r="D30" s="163">
        <f t="shared" si="1"/>
        <v>6.87E-4</v>
      </c>
      <c r="E30" s="163">
        <f t="shared" si="1"/>
        <v>6.4800000000000003E-4</v>
      </c>
      <c r="F30" s="163">
        <f t="shared" si="1"/>
        <v>1.85E-4</v>
      </c>
      <c r="G30" s="84">
        <f t="shared" si="1"/>
        <v>-1.9999999999999999E-6</v>
      </c>
      <c r="H30" s="88">
        <f t="shared" si="0"/>
        <v>1.518E-3</v>
      </c>
    </row>
    <row r="31" spans="3:9" ht="15.75" thickBot="1" x14ac:dyDescent="0.3">
      <c r="C31" s="82" t="s">
        <v>57</v>
      </c>
      <c r="D31" s="84">
        <f t="shared" si="1"/>
        <v>0</v>
      </c>
      <c r="E31" s="84">
        <f t="shared" si="1"/>
        <v>0</v>
      </c>
      <c r="F31" s="84">
        <f t="shared" si="1"/>
        <v>0</v>
      </c>
      <c r="G31" s="84">
        <f t="shared" si="1"/>
        <v>0</v>
      </c>
      <c r="H31" s="88">
        <f t="shared" si="0"/>
        <v>0</v>
      </c>
    </row>
  </sheetData>
  <mergeCells count="3">
    <mergeCell ref="C3:C4"/>
    <mergeCell ref="C13:C14"/>
    <mergeCell ref="C23:C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2:AS89"/>
  <sheetViews>
    <sheetView zoomScaleNormal="100" workbookViewId="0">
      <pane xSplit="1" ySplit="14" topLeftCell="B15" activePane="bottomRight" state="frozen"/>
      <selection activeCell="K28" sqref="K28"/>
      <selection pane="topRight" activeCell="K28" sqref="K28"/>
      <selection pane="bottomLeft" activeCell="K28" sqref="K28"/>
      <selection pane="bottomRight" activeCell="B15" sqref="B15"/>
    </sheetView>
  </sheetViews>
  <sheetFormatPr defaultColWidth="9.140625" defaultRowHeight="15" x14ac:dyDescent="0.25"/>
  <cols>
    <col min="1" max="1" width="21.5703125" style="76" customWidth="1"/>
    <col min="2" max="2" width="15.28515625" style="76" customWidth="1"/>
    <col min="3" max="3" width="15.85546875" style="76" customWidth="1"/>
    <col min="4" max="4" width="15.140625" style="76" customWidth="1"/>
    <col min="5" max="5" width="16.140625" style="76" customWidth="1"/>
    <col min="6" max="6" width="15" style="76" bestFit="1" customWidth="1"/>
    <col min="7" max="7" width="16" style="76" customWidth="1"/>
    <col min="8" max="8" width="15" style="76" bestFit="1" customWidth="1"/>
    <col min="9" max="11" width="16" style="76" bestFit="1" customWidth="1"/>
    <col min="12" max="35" width="16" style="183" customWidth="1"/>
    <col min="36" max="36" width="16.42578125" style="76" customWidth="1"/>
    <col min="37" max="37" width="17.28515625" style="76" customWidth="1"/>
    <col min="38" max="38" width="16.85546875" style="76" customWidth="1"/>
    <col min="39" max="39" width="13.85546875" style="76" bestFit="1" customWidth="1"/>
    <col min="40" max="40" width="10.85546875" style="76" bestFit="1" customWidth="1"/>
    <col min="41" max="41" width="9.140625" style="76"/>
    <col min="42" max="42" width="12.7109375" style="76" bestFit="1" customWidth="1"/>
    <col min="43" max="16384" width="9.140625" style="76"/>
  </cols>
  <sheetData>
    <row r="2" spans="1:45" x14ac:dyDescent="0.25">
      <c r="B2" s="204" t="s">
        <v>80</v>
      </c>
      <c r="J2" s="3" t="s">
        <v>27</v>
      </c>
    </row>
    <row r="3" spans="1:45" x14ac:dyDescent="0.25">
      <c r="B3" s="231" t="s">
        <v>139</v>
      </c>
      <c r="C3" s="89" t="s">
        <v>67</v>
      </c>
      <c r="D3" s="89" t="s">
        <v>81</v>
      </c>
      <c r="E3" s="203" t="s">
        <v>110</v>
      </c>
      <c r="F3" s="203" t="s">
        <v>94</v>
      </c>
      <c r="G3" s="89" t="s">
        <v>68</v>
      </c>
      <c r="H3" s="89" t="s">
        <v>82</v>
      </c>
      <c r="J3" s="58" t="s">
        <v>83</v>
      </c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</row>
    <row r="4" spans="1:45" x14ac:dyDescent="0.25">
      <c r="A4" s="76" t="s">
        <v>0</v>
      </c>
      <c r="B4" s="24">
        <f>+N78</f>
        <v>2260140</v>
      </c>
      <c r="C4" s="24">
        <f>SUM(B42:AL42)</f>
        <v>70506678.855169594</v>
      </c>
      <c r="D4" s="90">
        <f>SUM(B28:AL28)</f>
        <v>38660952176.333328</v>
      </c>
      <c r="E4" s="24">
        <f>SUM(B21:AL21)</f>
        <v>57858252.09432447</v>
      </c>
      <c r="F4" s="24">
        <f>+B4-C4+E4</f>
        <v>-10388286.760845125</v>
      </c>
      <c r="G4" s="24">
        <f>SUM(B68:AL68)</f>
        <v>-151392.01760548595</v>
      </c>
      <c r="H4" s="42">
        <f>F4+G4</f>
        <v>-10539678.77845061</v>
      </c>
      <c r="J4" s="58" t="s">
        <v>107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45" x14ac:dyDescent="0.25">
      <c r="A5" s="76" t="s">
        <v>4</v>
      </c>
      <c r="B5" s="24">
        <f t="shared" ref="B5:B8" si="0">+N79</f>
        <v>98743</v>
      </c>
      <c r="C5" s="24">
        <f t="shared" ref="C5:C8" si="1">SUM(B43:AL43)</f>
        <v>17935025.995029137</v>
      </c>
      <c r="D5" s="90">
        <f>SUM(B29:AL29)</f>
        <v>9816528038.8365803</v>
      </c>
      <c r="E5" s="24">
        <f>SUM(B22:AL22)</f>
        <v>17052517.494293228</v>
      </c>
      <c r="F5" s="24">
        <f t="shared" ref="F5:F7" si="2">+B5-C5+E5</f>
        <v>-783765.50073590875</v>
      </c>
      <c r="G5" s="24">
        <f>SUM(B69:AL69)</f>
        <v>-24517.144821591515</v>
      </c>
      <c r="H5" s="42">
        <f>F5+G5</f>
        <v>-808282.64555750031</v>
      </c>
      <c r="J5" s="58" t="s">
        <v>106</v>
      </c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1:45" x14ac:dyDescent="0.25">
      <c r="A6" s="76" t="s">
        <v>5</v>
      </c>
      <c r="B6" s="24">
        <f t="shared" si="0"/>
        <v>354201</v>
      </c>
      <c r="C6" s="24">
        <f t="shared" si="1"/>
        <v>41530581.976761334</v>
      </c>
      <c r="D6" s="90">
        <f>SUM(B30:AL30)</f>
        <v>22794369278.639923</v>
      </c>
      <c r="E6" s="24">
        <f>SUM(B23:AL23)</f>
        <v>39383925.723664187</v>
      </c>
      <c r="F6" s="24">
        <f t="shared" si="2"/>
        <v>-1792455.2530971467</v>
      </c>
      <c r="G6" s="24">
        <f>SUM(B70:AL70)</f>
        <v>-51476.200819239035</v>
      </c>
      <c r="H6" s="42">
        <f>F6+G6</f>
        <v>-1843931.4539163858</v>
      </c>
      <c r="J6" s="58" t="s">
        <v>108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1:45" x14ac:dyDescent="0.25">
      <c r="A7" s="76" t="s">
        <v>6</v>
      </c>
      <c r="B7" s="24">
        <f t="shared" si="0"/>
        <v>106604</v>
      </c>
      <c r="C7" s="24">
        <f t="shared" si="1"/>
        <v>18346542.328624886</v>
      </c>
      <c r="D7" s="90">
        <f>SUM(B31:AL31)</f>
        <v>10044645173.511547</v>
      </c>
      <c r="E7" s="24">
        <f>SUM(B24:AL24)</f>
        <v>17485767.949613344</v>
      </c>
      <c r="F7" s="24">
        <f t="shared" si="2"/>
        <v>-754170.3790115416</v>
      </c>
      <c r="G7" s="24">
        <f>SUM(B71:AL71)</f>
        <v>-19098.875077418685</v>
      </c>
      <c r="H7" s="42">
        <f>F7+G7</f>
        <v>-773269.25408896024</v>
      </c>
      <c r="J7" s="58" t="s">
        <v>84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</row>
    <row r="8" spans="1:45" ht="15.75" thickBot="1" x14ac:dyDescent="0.3">
      <c r="A8" s="76" t="s">
        <v>7</v>
      </c>
      <c r="B8" s="24">
        <f t="shared" si="0"/>
        <v>-122962</v>
      </c>
      <c r="C8" s="24">
        <f t="shared" si="1"/>
        <v>8745688.4634234197</v>
      </c>
      <c r="D8" s="90">
        <f>SUM(B32:AL32)</f>
        <v>5015656390.0211239</v>
      </c>
      <c r="E8" s="24">
        <f>SUM(B25:AL25)</f>
        <v>8642041.7939147819</v>
      </c>
      <c r="F8" s="24">
        <f>+B8-C8+E8</f>
        <v>-226608.66950863786</v>
      </c>
      <c r="G8" s="24">
        <f>SUM(B72:AL72)</f>
        <v>-7833.2150604346725</v>
      </c>
      <c r="H8" s="42">
        <f>F8+G8</f>
        <v>-234441.88456907254</v>
      </c>
      <c r="J8" s="58" t="s">
        <v>135</v>
      </c>
      <c r="L8" s="76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</row>
    <row r="9" spans="1:45" ht="16.5" thickTop="1" thickBot="1" x14ac:dyDescent="0.3">
      <c r="B9" s="91">
        <f>SUM(B4:B8)</f>
        <v>2696726</v>
      </c>
      <c r="C9" s="91">
        <f t="shared" ref="C9:H9" si="3">SUM(C4:C8)</f>
        <v>157064517.61900836</v>
      </c>
      <c r="D9" s="200">
        <f>SUM(D4:D8)</f>
        <v>86332151057.342499</v>
      </c>
      <c r="E9" s="91">
        <f t="shared" si="3"/>
        <v>140422505.05581</v>
      </c>
      <c r="F9" s="91">
        <f>SUM(F4:F8)</f>
        <v>-13945286.56319836</v>
      </c>
      <c r="G9" s="91">
        <f>SUM(G4:G8)</f>
        <v>-254317.45338416987</v>
      </c>
      <c r="H9" s="91">
        <f t="shared" si="3"/>
        <v>-14199604.01658253</v>
      </c>
      <c r="J9" s="58" t="s">
        <v>136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</row>
    <row r="10" spans="1:45" ht="16.5" thickTop="1" thickBot="1" x14ac:dyDescent="0.3">
      <c r="B10" s="183"/>
      <c r="F10" s="39" t="s">
        <v>26</v>
      </c>
      <c r="G10" s="21">
        <f>G9-SUM(B51:AL51)</f>
        <v>7.3104412556858733E-2</v>
      </c>
      <c r="J10" s="58" t="s">
        <v>137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</row>
    <row r="11" spans="1:45" ht="15.75" thickTop="1" x14ac:dyDescent="0.25">
      <c r="E11" s="4"/>
      <c r="G11" s="3"/>
      <c r="J11" s="58" t="s">
        <v>138</v>
      </c>
      <c r="K11" s="50"/>
      <c r="L11" s="50"/>
      <c r="M11" s="50"/>
      <c r="N11" s="50"/>
    </row>
    <row r="12" spans="1:45" ht="15.75" thickBot="1" x14ac:dyDescent="0.3">
      <c r="B12" s="53"/>
      <c r="C12" s="53"/>
      <c r="D12" s="53"/>
      <c r="E12" s="53"/>
      <c r="F12" s="53"/>
      <c r="G12" s="53"/>
      <c r="H12" s="53"/>
      <c r="I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49"/>
      <c r="AK12" s="49"/>
    </row>
    <row r="13" spans="1:45" ht="15.75" thickBot="1" x14ac:dyDescent="0.3">
      <c r="B13" s="185"/>
      <c r="C13" s="124"/>
      <c r="D13" s="142" t="s">
        <v>71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280" t="s">
        <v>70</v>
      </c>
      <c r="AK13" s="281"/>
      <c r="AL13" s="282"/>
    </row>
    <row r="14" spans="1:45" x14ac:dyDescent="0.25">
      <c r="A14" s="76" t="s">
        <v>86</v>
      </c>
      <c r="B14" s="95">
        <v>42370</v>
      </c>
      <c r="C14" s="96">
        <f t="shared" ref="C14:K14" si="4">EDATE(B14,1)</f>
        <v>42401</v>
      </c>
      <c r="D14" s="96">
        <f t="shared" si="4"/>
        <v>42430</v>
      </c>
      <c r="E14" s="96">
        <f t="shared" si="4"/>
        <v>42461</v>
      </c>
      <c r="F14" s="96">
        <f t="shared" si="4"/>
        <v>42491</v>
      </c>
      <c r="G14" s="96">
        <f t="shared" si="4"/>
        <v>42522</v>
      </c>
      <c r="H14" s="96">
        <f t="shared" si="4"/>
        <v>42552</v>
      </c>
      <c r="I14" s="96">
        <f t="shared" si="4"/>
        <v>42583</v>
      </c>
      <c r="J14" s="96">
        <f t="shared" si="4"/>
        <v>42614</v>
      </c>
      <c r="K14" s="96">
        <f t="shared" si="4"/>
        <v>42644</v>
      </c>
      <c r="L14" s="96">
        <f t="shared" ref="L14:W14" si="5">EDATE(K14,1)</f>
        <v>42675</v>
      </c>
      <c r="M14" s="96">
        <f t="shared" si="5"/>
        <v>42705</v>
      </c>
      <c r="N14" s="96">
        <f t="shared" si="5"/>
        <v>42736</v>
      </c>
      <c r="O14" s="96">
        <f t="shared" si="5"/>
        <v>42767</v>
      </c>
      <c r="P14" s="96">
        <f t="shared" si="5"/>
        <v>42795</v>
      </c>
      <c r="Q14" s="96">
        <f t="shared" si="5"/>
        <v>42826</v>
      </c>
      <c r="R14" s="96">
        <f t="shared" si="5"/>
        <v>42856</v>
      </c>
      <c r="S14" s="96">
        <f t="shared" si="5"/>
        <v>42887</v>
      </c>
      <c r="T14" s="96">
        <f t="shared" si="5"/>
        <v>42917</v>
      </c>
      <c r="U14" s="96">
        <f t="shared" si="5"/>
        <v>42948</v>
      </c>
      <c r="V14" s="96">
        <f t="shared" si="5"/>
        <v>42979</v>
      </c>
      <c r="W14" s="96">
        <f t="shared" si="5"/>
        <v>43009</v>
      </c>
      <c r="X14" s="96">
        <f t="shared" ref="X14" si="6">EDATE(W14,1)</f>
        <v>43040</v>
      </c>
      <c r="Y14" s="96">
        <f t="shared" ref="Y14" si="7">EDATE(X14,1)</f>
        <v>43070</v>
      </c>
      <c r="Z14" s="96">
        <f t="shared" ref="Z14" si="8">EDATE(Y14,1)</f>
        <v>43101</v>
      </c>
      <c r="AA14" s="96">
        <f t="shared" ref="AA14" si="9">EDATE(Z14,1)</f>
        <v>43132</v>
      </c>
      <c r="AB14" s="96">
        <f t="shared" ref="AB14" si="10">EDATE(AA14,1)</f>
        <v>43160</v>
      </c>
      <c r="AC14" s="96">
        <f t="shared" ref="AC14" si="11">EDATE(AB14,1)</f>
        <v>43191</v>
      </c>
      <c r="AD14" s="96">
        <f t="shared" ref="AD14" si="12">EDATE(AC14,1)</f>
        <v>43221</v>
      </c>
      <c r="AE14" s="96">
        <f t="shared" ref="AE14" si="13">EDATE(AD14,1)</f>
        <v>43252</v>
      </c>
      <c r="AF14" s="96">
        <f t="shared" ref="AF14" si="14">EDATE(AE14,1)</f>
        <v>43282</v>
      </c>
      <c r="AG14" s="96">
        <f t="shared" ref="AG14" si="15">EDATE(AF14,1)</f>
        <v>43313</v>
      </c>
      <c r="AH14" s="96">
        <f t="shared" ref="AH14" si="16">EDATE(AG14,1)</f>
        <v>43344</v>
      </c>
      <c r="AI14" s="96">
        <f t="shared" ref="AI14" si="17">EDATE(AH14,1)</f>
        <v>43374</v>
      </c>
      <c r="AJ14" s="95">
        <f>EDATE(AI14,1)</f>
        <v>43405</v>
      </c>
      <c r="AK14" s="96">
        <f>EDATE(AJ14,1)</f>
        <v>43435</v>
      </c>
      <c r="AL14" s="97">
        <f>EDATE(AK14,1)</f>
        <v>43466</v>
      </c>
      <c r="AM14" s="1"/>
      <c r="AN14" s="1"/>
      <c r="AO14" s="1"/>
      <c r="AP14" s="1"/>
      <c r="AQ14" s="1"/>
      <c r="AR14" s="1"/>
      <c r="AS14" s="1"/>
    </row>
    <row r="15" spans="1:45" x14ac:dyDescent="0.25">
      <c r="A15" s="50" t="s">
        <v>0</v>
      </c>
      <c r="B15" s="98">
        <v>0</v>
      </c>
      <c r="C15" s="99">
        <v>0</v>
      </c>
      <c r="D15" s="99">
        <v>92701.6</v>
      </c>
      <c r="E15" s="99">
        <v>470887.92</v>
      </c>
      <c r="F15" s="99">
        <v>1113267.27</v>
      </c>
      <c r="G15" s="99">
        <v>1040037.3</v>
      </c>
      <c r="H15" s="99">
        <v>1509771.61</v>
      </c>
      <c r="I15" s="99">
        <v>2518235.16</v>
      </c>
      <c r="J15" s="46">
        <v>1528668.86</v>
      </c>
      <c r="K15" s="46">
        <v>1905356.75</v>
      </c>
      <c r="L15" s="46">
        <v>2048839.7199999997</v>
      </c>
      <c r="M15" s="46">
        <v>1913931.6199999999</v>
      </c>
      <c r="N15" s="46">
        <v>1690080.7899999998</v>
      </c>
      <c r="O15" s="46">
        <v>1877206.5299999996</v>
      </c>
      <c r="P15" s="46">
        <v>1484918.02</v>
      </c>
      <c r="Q15" s="46">
        <v>630134.03999999992</v>
      </c>
      <c r="R15" s="46">
        <v>2225868.1400000006</v>
      </c>
      <c r="S15" s="46">
        <v>2452376.73</v>
      </c>
      <c r="T15" s="46">
        <v>1476113.1700000002</v>
      </c>
      <c r="U15" s="46">
        <v>2335443.9099999992</v>
      </c>
      <c r="V15" s="46">
        <v>1946348.1600000001</v>
      </c>
      <c r="W15" s="274">
        <v>1758048.53</v>
      </c>
      <c r="X15" s="274">
        <v>1416376.8500000003</v>
      </c>
      <c r="Y15" s="274">
        <v>1873803.07</v>
      </c>
      <c r="Z15" s="274">
        <v>1221681.9000000001</v>
      </c>
      <c r="AA15" s="274">
        <v>926005.15000000014</v>
      </c>
      <c r="AB15" s="274">
        <v>823725.77999999991</v>
      </c>
      <c r="AC15" s="274">
        <v>1315275.5600000003</v>
      </c>
      <c r="AD15" s="274">
        <v>1141924.23</v>
      </c>
      <c r="AE15" s="274">
        <v>1767113.3499999999</v>
      </c>
      <c r="AF15" s="274">
        <v>1901977.86</v>
      </c>
      <c r="AG15" s="274">
        <v>1657059.6099999999</v>
      </c>
      <c r="AH15" s="274">
        <v>1351059.9899999998</v>
      </c>
      <c r="AI15" s="274">
        <v>1233979.6000000001</v>
      </c>
      <c r="AJ15" s="143">
        <v>1885109</v>
      </c>
      <c r="AK15" s="144">
        <v>1726694</v>
      </c>
      <c r="AL15" s="145">
        <v>1253576.7493396304</v>
      </c>
      <c r="AM15" s="50"/>
    </row>
    <row r="16" spans="1:45" x14ac:dyDescent="0.25">
      <c r="A16" s="50" t="s">
        <v>1</v>
      </c>
      <c r="B16" s="98">
        <v>0</v>
      </c>
      <c r="C16" s="99">
        <v>0</v>
      </c>
      <c r="D16" s="99">
        <v>360011.71</v>
      </c>
      <c r="E16" s="99">
        <v>100283.17</v>
      </c>
      <c r="F16" s="99">
        <v>276551.98</v>
      </c>
      <c r="G16" s="99">
        <v>605722.87</v>
      </c>
      <c r="H16" s="99">
        <v>470055.31</v>
      </c>
      <c r="I16" s="99">
        <v>1007513.72</v>
      </c>
      <c r="J16" s="46">
        <v>231513.24</v>
      </c>
      <c r="K16" s="46">
        <v>1466502.53</v>
      </c>
      <c r="L16" s="46">
        <v>1729424.32</v>
      </c>
      <c r="M16" s="46">
        <v>1390087.1</v>
      </c>
      <c r="N16" s="46">
        <v>1606995.78</v>
      </c>
      <c r="O16" s="46">
        <v>2206926.4300000002</v>
      </c>
      <c r="P16" s="46">
        <v>1309598.0999999996</v>
      </c>
      <c r="Q16" s="46">
        <v>1857370.0300000005</v>
      </c>
      <c r="R16" s="46">
        <v>2223361.83</v>
      </c>
      <c r="S16" s="46">
        <v>2459399.94</v>
      </c>
      <c r="T16" s="46">
        <v>1721311.83</v>
      </c>
      <c r="U16" s="46">
        <v>2712665.18</v>
      </c>
      <c r="V16" s="46">
        <v>2376750.8800000004</v>
      </c>
      <c r="W16" s="274">
        <v>2789157.6200000006</v>
      </c>
      <c r="X16" s="274">
        <v>2040899.3699999999</v>
      </c>
      <c r="Y16" s="274">
        <v>3328148.16</v>
      </c>
      <c r="Z16" s="274">
        <v>1987894.0699999998</v>
      </c>
      <c r="AA16" s="274">
        <v>2078701.0700000003</v>
      </c>
      <c r="AB16" s="274">
        <v>2874985.1599999997</v>
      </c>
      <c r="AC16" s="274">
        <v>2698819.3800000004</v>
      </c>
      <c r="AD16" s="274">
        <v>3447134.8899999997</v>
      </c>
      <c r="AE16" s="274">
        <v>3016507.9500000007</v>
      </c>
      <c r="AF16" s="274">
        <v>3772457.8599999989</v>
      </c>
      <c r="AG16" s="274">
        <v>4259389.82</v>
      </c>
      <c r="AH16" s="274">
        <v>3623834.3400000003</v>
      </c>
      <c r="AI16" s="274">
        <v>3048734.03</v>
      </c>
      <c r="AJ16" s="143">
        <v>3266466</v>
      </c>
      <c r="AK16" s="144">
        <v>3243335</v>
      </c>
      <c r="AL16" s="145">
        <v>5755087.7864703592</v>
      </c>
      <c r="AM16" s="50"/>
    </row>
    <row r="17" spans="1:42" x14ac:dyDescent="0.25">
      <c r="A17" s="50" t="s">
        <v>2</v>
      </c>
      <c r="B17" s="98">
        <v>0</v>
      </c>
      <c r="C17" s="99">
        <v>0</v>
      </c>
      <c r="D17" s="99">
        <v>23175.4</v>
      </c>
      <c r="E17" s="99">
        <v>20000</v>
      </c>
      <c r="F17" s="99">
        <v>110941.65</v>
      </c>
      <c r="G17" s="99">
        <v>105942.24</v>
      </c>
      <c r="H17" s="99">
        <v>77203.42</v>
      </c>
      <c r="I17" s="99">
        <v>288148.55</v>
      </c>
      <c r="J17" s="46">
        <v>98245.3</v>
      </c>
      <c r="K17" s="46">
        <v>-20629.98</v>
      </c>
      <c r="L17" s="46">
        <v>171715.17000000004</v>
      </c>
      <c r="M17" s="46">
        <v>163978.35999999999</v>
      </c>
      <c r="N17" s="46">
        <v>143965.96999999997</v>
      </c>
      <c r="O17" s="46">
        <v>286356.54000000004</v>
      </c>
      <c r="P17" s="46">
        <v>138885.66</v>
      </c>
      <c r="Q17" s="46">
        <v>90873.95</v>
      </c>
      <c r="R17" s="46">
        <v>191206.37</v>
      </c>
      <c r="S17" s="46">
        <v>41515.079999999987</v>
      </c>
      <c r="T17" s="46">
        <v>48458.150000000031</v>
      </c>
      <c r="U17" s="46">
        <v>479199.20000000007</v>
      </c>
      <c r="V17" s="46">
        <v>6987.9799999999959</v>
      </c>
      <c r="W17" s="274">
        <v>103923.13</v>
      </c>
      <c r="X17" s="274">
        <v>269601.89999999997</v>
      </c>
      <c r="Y17" s="274">
        <v>210081.5</v>
      </c>
      <c r="Z17" s="274">
        <v>313977.91999999993</v>
      </c>
      <c r="AA17" s="274">
        <v>298781.8600000001</v>
      </c>
      <c r="AB17" s="274">
        <v>550355.34000000008</v>
      </c>
      <c r="AC17" s="274">
        <v>72977.829999999973</v>
      </c>
      <c r="AD17" s="274">
        <v>125071.93</v>
      </c>
      <c r="AE17" s="274">
        <v>325353.08999999997</v>
      </c>
      <c r="AF17" s="274">
        <v>396987.47</v>
      </c>
      <c r="AG17" s="274">
        <v>592843.30999999994</v>
      </c>
      <c r="AH17" s="274">
        <v>87444.36</v>
      </c>
      <c r="AI17" s="274">
        <v>499086.59000000008</v>
      </c>
      <c r="AJ17" s="143">
        <v>474994</v>
      </c>
      <c r="AK17" s="144">
        <v>515089</v>
      </c>
      <c r="AL17" s="145">
        <v>59714</v>
      </c>
      <c r="AM17" s="50"/>
    </row>
    <row r="18" spans="1:42" x14ac:dyDescent="0.25">
      <c r="A18" s="50" t="s">
        <v>3</v>
      </c>
      <c r="B18" s="98">
        <v>0</v>
      </c>
      <c r="C18" s="99">
        <v>0</v>
      </c>
      <c r="D18" s="99">
        <v>13689</v>
      </c>
      <c r="E18" s="99">
        <v>4868.25</v>
      </c>
      <c r="F18" s="99">
        <v>16491.560000000001</v>
      </c>
      <c r="G18" s="99">
        <v>61798.91</v>
      </c>
      <c r="H18" s="99">
        <v>129893.74</v>
      </c>
      <c r="I18" s="99">
        <v>87893.42</v>
      </c>
      <c r="J18" s="46">
        <v>242878.07999999999</v>
      </c>
      <c r="K18" s="46">
        <v>122671.65</v>
      </c>
      <c r="L18" s="46">
        <v>21593.440000000006</v>
      </c>
      <c r="M18" s="46">
        <v>16432.740000000002</v>
      </c>
      <c r="N18" s="46">
        <v>233596.28</v>
      </c>
      <c r="O18" s="46">
        <v>43536.29</v>
      </c>
      <c r="P18" s="46">
        <v>58192.76</v>
      </c>
      <c r="Q18" s="46">
        <v>11926.3</v>
      </c>
      <c r="R18" s="46">
        <v>17374.550000000003</v>
      </c>
      <c r="S18" s="46">
        <v>23819.039999999997</v>
      </c>
      <c r="T18" s="46">
        <v>103044.69</v>
      </c>
      <c r="U18" s="46">
        <v>18933.559999999998</v>
      </c>
      <c r="V18" s="46">
        <v>13266.67</v>
      </c>
      <c r="W18" s="274">
        <v>12319.51</v>
      </c>
      <c r="X18" s="274">
        <v>-147070.75</v>
      </c>
      <c r="Y18" s="274">
        <v>8537.0999999999985</v>
      </c>
      <c r="Z18" s="274">
        <v>51198.69</v>
      </c>
      <c r="AA18" s="274">
        <v>28001.49</v>
      </c>
      <c r="AB18" s="274">
        <v>14183.650000000001</v>
      </c>
      <c r="AC18" s="274">
        <v>28101.760000000002</v>
      </c>
      <c r="AD18" s="274">
        <v>26867.64</v>
      </c>
      <c r="AE18" s="274">
        <v>36830.36</v>
      </c>
      <c r="AF18" s="274">
        <v>36391.519999999997</v>
      </c>
      <c r="AG18" s="274">
        <v>43938.8</v>
      </c>
      <c r="AH18" s="274">
        <v>52396.26</v>
      </c>
      <c r="AI18" s="274">
        <v>19258.870000000003</v>
      </c>
      <c r="AJ18" s="143">
        <v>210000</v>
      </c>
      <c r="AK18" s="144">
        <v>400000</v>
      </c>
      <c r="AL18" s="145">
        <v>140000</v>
      </c>
      <c r="AM18" s="50"/>
    </row>
    <row r="19" spans="1:42" x14ac:dyDescent="0.25">
      <c r="B19" s="104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2"/>
      <c r="AK19" s="103"/>
      <c r="AL19" s="106"/>
    </row>
    <row r="20" spans="1:42" x14ac:dyDescent="0.25">
      <c r="A20" s="76" t="s">
        <v>87</v>
      </c>
      <c r="B20" s="104"/>
      <c r="C20" s="103"/>
      <c r="D20" s="107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2"/>
      <c r="AK20" s="103"/>
      <c r="AL20" s="106"/>
    </row>
    <row r="21" spans="1:42" x14ac:dyDescent="0.25">
      <c r="A21" s="76" t="s">
        <v>0</v>
      </c>
      <c r="B21" s="114">
        <v>0</v>
      </c>
      <c r="C21" s="118">
        <v>0</v>
      </c>
      <c r="D21" s="118">
        <f>D15+((D28/SUM(D$28:D$32))*D$17)+((D28/SUM(D$28:D$32))*D$18)</f>
        <v>109165.05951390543</v>
      </c>
      <c r="E21" s="118">
        <f t="shared" ref="E21:J21" si="18">E15+((E28/SUM(E$28:E$32))*E$17)+((E28/SUM(E$28:E$32))*E$18)</f>
        <v>480741.41032421798</v>
      </c>
      <c r="F21" s="118">
        <f t="shared" si="18"/>
        <v>1159520.6775673528</v>
      </c>
      <c r="G21" s="118">
        <f t="shared" si="18"/>
        <v>1112154.6232287937</v>
      </c>
      <c r="H21" s="118">
        <f t="shared" si="18"/>
        <v>1607871.1840183262</v>
      </c>
      <c r="I21" s="118">
        <f t="shared" si="18"/>
        <v>2696956.6273276648</v>
      </c>
      <c r="J21" s="118">
        <f t="shared" si="18"/>
        <v>1680521.3719706708</v>
      </c>
      <c r="K21" s="118">
        <f>K15+((K28/SUM(K$28:K$32))*K$17)+((K28/SUM(K$28:K$32))*K$18)</f>
        <v>1945919.517875429</v>
      </c>
      <c r="L21" s="118">
        <f t="shared" ref="L21:U21" si="19">L15+((L28/SUM(L$28:L$32))*L$17)+((L28/SUM(L$28:L$32))*L$18)</f>
        <v>2120554.6975831105</v>
      </c>
      <c r="M21" s="118">
        <f t="shared" si="19"/>
        <v>1998032.1834068832</v>
      </c>
      <c r="N21" s="118">
        <f t="shared" si="19"/>
        <v>1881554.1394569001</v>
      </c>
      <c r="O21" s="118">
        <f t="shared" si="19"/>
        <v>2029628.75873946</v>
      </c>
      <c r="P21" s="118">
        <f t="shared" si="19"/>
        <v>1570290.0599660215</v>
      </c>
      <c r="Q21" s="118">
        <f t="shared" si="19"/>
        <v>671069.67591155518</v>
      </c>
      <c r="R21" s="118">
        <f t="shared" si="19"/>
        <v>2305581.1949410611</v>
      </c>
      <c r="S21" s="118">
        <f t="shared" si="19"/>
        <v>2479685.3929436286</v>
      </c>
      <c r="T21" s="118">
        <f t="shared" si="19"/>
        <v>1547830.6825912232</v>
      </c>
      <c r="U21" s="118">
        <f t="shared" si="19"/>
        <v>2568760.2312064166</v>
      </c>
      <c r="V21" s="118">
        <f>V15+((V28/SUM(V$28:V$32))*V$17)+((V28/SUM(V$28:V$32))*V$18)</f>
        <v>1954986.9702397876</v>
      </c>
      <c r="W21" s="115">
        <f>W15+((W28/SUM(W$28:W$32))*W$17)+((W28/SUM(W$28:W$32))*W$18)</f>
        <v>1805103.413504442</v>
      </c>
      <c r="X21" s="115">
        <f t="shared" ref="X21:AG21" si="20">X15+((X28/SUM(X$28:X$32))*X$17)+((X28/SUM(X$28:X$32))*X$18)</f>
        <v>1465028.1291243047</v>
      </c>
      <c r="Y21" s="115">
        <f t="shared" si="20"/>
        <v>1972246.5535187661</v>
      </c>
      <c r="Z21" s="115">
        <f t="shared" si="20"/>
        <v>1412765.3847262708</v>
      </c>
      <c r="AA21" s="115">
        <f t="shared" si="20"/>
        <v>1088589.6910137057</v>
      </c>
      <c r="AB21" s="115">
        <f t="shared" si="20"/>
        <v>1083493.4278145486</v>
      </c>
      <c r="AC21" s="115">
        <f t="shared" si="20"/>
        <v>1361445.8524978238</v>
      </c>
      <c r="AD21" s="115">
        <f t="shared" si="20"/>
        <v>1202720.3566389179</v>
      </c>
      <c r="AE21" s="115">
        <f t="shared" si="20"/>
        <v>1932637.1486539582</v>
      </c>
      <c r="AF21" s="115">
        <f t="shared" si="20"/>
        <v>2110758.5023123892</v>
      </c>
      <c r="AG21" s="115">
        <f t="shared" si="20"/>
        <v>1952963.7236525486</v>
      </c>
      <c r="AH21" s="115">
        <f>AH15+((AH28/SUM(AH$28:AH$32))*AH$17)+((AH28/SUM(AH$28:AH$32))*AH$18)</f>
        <v>1414942.4273249079</v>
      </c>
      <c r="AI21" s="115">
        <f>AI15+((AI28/SUM(AI$28:AI$32))*AI$17)+((AI28/SUM(AI$28:AI$32))*AI$18)</f>
        <v>1449776.2538906534</v>
      </c>
      <c r="AJ21" s="114">
        <f>AJ15+((AJ28/SUM(AJ$28:AJ$32))*AJ$17)+((AJ28/SUM(AJ$28:AJ$32))*AJ$18)</f>
        <v>2169095.8215594334</v>
      </c>
      <c r="AK21" s="115">
        <f>AK15+((AK28/SUM(AK$28:AK$32))*AK$17)+((AK28/SUM(AK$28:AK$32))*AK$18)</f>
        <v>2160645.637430686</v>
      </c>
      <c r="AL21" s="119">
        <f>AL15+((AL28/SUM(AL$28:AL$32))*AL$17)+((AL28/SUM(AL$28:AL$32))*AL$18)</f>
        <v>1355215.3118486917</v>
      </c>
    </row>
    <row r="22" spans="1:42" x14ac:dyDescent="0.25">
      <c r="A22" s="76" t="s">
        <v>4</v>
      </c>
      <c r="B22" s="114">
        <v>0</v>
      </c>
      <c r="C22" s="118">
        <v>0</v>
      </c>
      <c r="D22" s="118">
        <f t="shared" ref="D22:J25" si="21">((D29/SUM(D$29:D$32))*D$16)+((D29/SUM(D$28:D$32))*D$17)+((D29/SUM(D$28:D$32))*D$18)</f>
        <v>80396.905524086716</v>
      </c>
      <c r="E22" s="118">
        <f t="shared" si="21"/>
        <v>22367.506099326867</v>
      </c>
      <c r="F22" s="118">
        <f t="shared" si="21"/>
        <v>66516.61829322367</v>
      </c>
      <c r="G22" s="118">
        <f t="shared" si="21"/>
        <v>141612.99114022916</v>
      </c>
      <c r="H22" s="118">
        <f t="shared" si="21"/>
        <v>123183.06799324245</v>
      </c>
      <c r="I22" s="118">
        <f t="shared" si="21"/>
        <v>256818.75360544008</v>
      </c>
      <c r="J22" s="118">
        <f t="shared" si="21"/>
        <v>84485.044258937647</v>
      </c>
      <c r="K22" s="118">
        <f>((K29/SUM(K$29:K$32))*K$16)+((K29/SUM(K$28:K$32))*K$17)+((K29/SUM(K$28:K$32))*K$18)</f>
        <v>300926.18467047397</v>
      </c>
      <c r="L22" s="118">
        <f t="shared" ref="L22:U22" si="22">((L29/SUM(L$29:L$32))*L$16)+((L29/SUM(L$28:L$32))*L$17)+((L29/SUM(L$28:L$32))*L$18)</f>
        <v>353019.58774262288</v>
      </c>
      <c r="M22" s="118">
        <f t="shared" si="22"/>
        <v>315056.14478681865</v>
      </c>
      <c r="N22" s="118">
        <f t="shared" si="22"/>
        <v>411570.06873041322</v>
      </c>
      <c r="O22" s="118">
        <f t="shared" si="22"/>
        <v>502793.63688851451</v>
      </c>
      <c r="P22" s="118">
        <f t="shared" si="22"/>
        <v>294404.38001965731</v>
      </c>
      <c r="Q22" s="118">
        <f t="shared" si="22"/>
        <v>373499.38771814341</v>
      </c>
      <c r="R22" s="118">
        <f t="shared" si="22"/>
        <v>445905.33572743292</v>
      </c>
      <c r="S22" s="118">
        <f t="shared" si="22"/>
        <v>487405.22998657834</v>
      </c>
      <c r="T22" s="118">
        <f t="shared" si="22"/>
        <v>383536.44183370651</v>
      </c>
      <c r="U22" s="118">
        <f t="shared" si="22"/>
        <v>619568.08369206416</v>
      </c>
      <c r="V22" s="118">
        <f>((V29/SUM(V$29:V$32))*V$16)+((V29/SUM(V$28:V$32))*V$17)+((V29/SUM(V$28:V$32))*V$18)</f>
        <v>474036.28843908414</v>
      </c>
      <c r="W22" s="115">
        <f t="shared" ref="W22:AL25" si="23">((W29/SUM(W$29:W$32))*W$16)+((W29/SUM(W$28:W$32))*W$17)+((W29/SUM(W$28:W$32))*W$18)</f>
        <v>559059.78075431671</v>
      </c>
      <c r="X22" s="115">
        <f t="shared" ref="X22:AH22" si="24">((X29/SUM(X$29:X$32))*X$16)+((X29/SUM(X$28:X$32))*X$17)+((X29/SUM(X$28:X$32))*X$18)</f>
        <v>407907.81989739614</v>
      </c>
      <c r="Y22" s="115">
        <f t="shared" si="24"/>
        <v>707322.78080095793</v>
      </c>
      <c r="Z22" s="115">
        <f t="shared" si="24"/>
        <v>503052.8577392486</v>
      </c>
      <c r="AA22" s="115">
        <f t="shared" si="24"/>
        <v>509561.88435877959</v>
      </c>
      <c r="AB22" s="115">
        <f t="shared" si="24"/>
        <v>675624.74536446249</v>
      </c>
      <c r="AC22" s="115">
        <f t="shared" si="24"/>
        <v>589115.72273305943</v>
      </c>
      <c r="AD22" s="115">
        <f t="shared" si="24"/>
        <v>671173.91467850714</v>
      </c>
      <c r="AE22" s="115">
        <f t="shared" si="24"/>
        <v>655109.56934959674</v>
      </c>
      <c r="AF22" s="115">
        <f t="shared" si="24"/>
        <v>846540.1502605034</v>
      </c>
      <c r="AG22" s="115">
        <f t="shared" si="24"/>
        <v>949613.40748911363</v>
      </c>
      <c r="AH22" s="115">
        <f t="shared" si="24"/>
        <v>756167.99237199605</v>
      </c>
      <c r="AI22" s="115">
        <f t="shared" ref="AI22" si="25">((AI29/SUM(AI$29:AI$32))*AI$16)+((AI29/SUM(AI$28:AI$32))*AI$17)+((AI29/SUM(AI$28:AI$32))*AI$18)</f>
        <v>658782.97344566078</v>
      </c>
      <c r="AJ22" s="114">
        <f t="shared" si="23"/>
        <v>714224.60007358901</v>
      </c>
      <c r="AK22" s="115">
        <f t="shared" si="23"/>
        <v>788639.4213757111</v>
      </c>
      <c r="AL22" s="119">
        <f t="shared" si="23"/>
        <v>1323518.2164503315</v>
      </c>
    </row>
    <row r="23" spans="1:42" x14ac:dyDescent="0.25">
      <c r="A23" s="76" t="s">
        <v>5</v>
      </c>
      <c r="B23" s="114">
        <v>0</v>
      </c>
      <c r="C23" s="118">
        <v>0</v>
      </c>
      <c r="D23" s="118">
        <f t="shared" si="21"/>
        <v>184247.82933918544</v>
      </c>
      <c r="E23" s="118">
        <f t="shared" si="21"/>
        <v>55385.846863700259</v>
      </c>
      <c r="F23" s="118">
        <f t="shared" si="21"/>
        <v>171531.62773943189</v>
      </c>
      <c r="G23" s="118">
        <f t="shared" si="21"/>
        <v>338504.71718132001</v>
      </c>
      <c r="H23" s="118">
        <f t="shared" si="21"/>
        <v>279215.68078933004</v>
      </c>
      <c r="I23" s="118">
        <f t="shared" si="21"/>
        <v>584292.23288406734</v>
      </c>
      <c r="J23" s="118">
        <f t="shared" si="21"/>
        <v>200672.65960033773</v>
      </c>
      <c r="K23" s="118">
        <f>((K30/SUM(K$29:K$32))*K$16)+((K30/SUM(K$28:K$32))*K$17)+((K30/SUM(K$28:K$32))*K$18)</f>
        <v>739452.89185881964</v>
      </c>
      <c r="L23" s="118">
        <f t="shared" ref="L23:U23" si="26">((L30/SUM(L$29:L$32))*L$16)+((L30/SUM(L$28:L$32))*L$17)+((L30/SUM(L$28:L$32))*L$18)</f>
        <v>888814.69108194357</v>
      </c>
      <c r="M23" s="118">
        <f t="shared" si="26"/>
        <v>711740.86681302055</v>
      </c>
      <c r="N23" s="118">
        <f t="shared" si="26"/>
        <v>860102.8293358126</v>
      </c>
      <c r="O23" s="118">
        <f t="shared" si="26"/>
        <v>1111966.4679228009</v>
      </c>
      <c r="P23" s="118">
        <f t="shared" si="26"/>
        <v>690470.57929419319</v>
      </c>
      <c r="Q23" s="118">
        <f t="shared" si="26"/>
        <v>910120.41798563395</v>
      </c>
      <c r="R23" s="118">
        <f t="shared" si="26"/>
        <v>1128159.4145622177</v>
      </c>
      <c r="S23" s="118">
        <f t="shared" si="26"/>
        <v>1176823.5237113321</v>
      </c>
      <c r="T23" s="118">
        <f t="shared" si="26"/>
        <v>870044.8240527754</v>
      </c>
      <c r="U23" s="118">
        <f t="shared" si="26"/>
        <v>1418094.0621458886</v>
      </c>
      <c r="V23" s="118">
        <f>((V30/SUM(V$29:V$32))*V$16)+((V30/SUM(V$28:V$32))*V$17)+((V30/SUM(V$28:V$32))*V$18)</f>
        <v>1143451.0603072618</v>
      </c>
      <c r="W23" s="115">
        <f t="shared" si="23"/>
        <v>1367717.5298977192</v>
      </c>
      <c r="X23" s="115">
        <f t="shared" ref="X23:AH23" si="27">((X30/SUM(X$29:X$32))*X$16)+((X30/SUM(X$28:X$32))*X$17)+((X30/SUM(X$28:X$32))*X$18)</f>
        <v>1002327.1221908606</v>
      </c>
      <c r="Y23" s="115">
        <f t="shared" si="27"/>
        <v>1642715.0009584567</v>
      </c>
      <c r="Z23" s="115">
        <f t="shared" si="27"/>
        <v>1022632.8189452654</v>
      </c>
      <c r="AA23" s="115">
        <f t="shared" si="27"/>
        <v>1065522.3790675804</v>
      </c>
      <c r="AB23" s="115">
        <f t="shared" si="27"/>
        <v>1497067.7698519761</v>
      </c>
      <c r="AC23" s="115">
        <f t="shared" si="27"/>
        <v>1335821.4495324197</v>
      </c>
      <c r="AD23" s="115">
        <f t="shared" si="27"/>
        <v>1666504.1755704384</v>
      </c>
      <c r="AE23" s="115">
        <f t="shared" si="27"/>
        <v>1541976.1105171165</v>
      </c>
      <c r="AF23" s="115">
        <f t="shared" si="27"/>
        <v>1919269.9339676993</v>
      </c>
      <c r="AG23" s="115">
        <f t="shared" si="27"/>
        <v>2177300.5733180689</v>
      </c>
      <c r="AH23" s="115">
        <f t="shared" si="27"/>
        <v>1795213.2978989647</v>
      </c>
      <c r="AI23" s="115">
        <f t="shared" ref="AI23" si="28">((AI30/SUM(AI$29:AI$32))*AI$16)+((AI30/SUM(AI$28:AI$32))*AI$17)+((AI30/SUM(AI$28:AI$32))*AI$18)</f>
        <v>1614065.3314857311</v>
      </c>
      <c r="AJ23" s="114">
        <f t="shared" si="23"/>
        <v>1738378.0921787906</v>
      </c>
      <c r="AK23" s="115">
        <f t="shared" si="23"/>
        <v>1770910.7116677037</v>
      </c>
      <c r="AL23" s="119">
        <f t="shared" si="23"/>
        <v>2763411.2031463208</v>
      </c>
    </row>
    <row r="24" spans="1:42" x14ac:dyDescent="0.25">
      <c r="A24" s="76" t="s">
        <v>6</v>
      </c>
      <c r="B24" s="114">
        <v>0</v>
      </c>
      <c r="C24" s="118">
        <v>0</v>
      </c>
      <c r="D24" s="118">
        <f t="shared" si="21"/>
        <v>76446.845496259717</v>
      </c>
      <c r="E24" s="118">
        <f t="shared" si="21"/>
        <v>24925.441552928634</v>
      </c>
      <c r="F24" s="118">
        <f t="shared" si="21"/>
        <v>80373.1566544823</v>
      </c>
      <c r="G24" s="118">
        <f t="shared" si="21"/>
        <v>143812.49422455556</v>
      </c>
      <c r="H24" s="118">
        <f t="shared" si="21"/>
        <v>117089.55808990503</v>
      </c>
      <c r="I24" s="118">
        <f t="shared" si="21"/>
        <v>238156.59167654801</v>
      </c>
      <c r="J24" s="118">
        <f t="shared" si="21"/>
        <v>88431.392361907871</v>
      </c>
      <c r="K24" s="118">
        <f>((K31/SUM(K$29:K$32))*K$16)+((K31/SUM(K$28:K$32))*K$17)+((K31/SUM(K$28:K$32))*K$18)</f>
        <v>314181.39281031361</v>
      </c>
      <c r="L24" s="118">
        <f t="shared" ref="L24:U24" si="29">((L31/SUM(L$29:L$32))*L$16)+((L31/SUM(L$28:L$32))*L$17)+((L31/SUM(L$28:L$32))*L$18)</f>
        <v>398118.03346698196</v>
      </c>
      <c r="M24" s="118">
        <f t="shared" si="29"/>
        <v>306986.68836154032</v>
      </c>
      <c r="N24" s="118">
        <f t="shared" si="29"/>
        <v>356788.04041822487</v>
      </c>
      <c r="O24" s="118">
        <f t="shared" si="29"/>
        <v>520044.08722166944</v>
      </c>
      <c r="P24" s="118">
        <f t="shared" si="29"/>
        <v>294078.51311682223</v>
      </c>
      <c r="Q24" s="118">
        <f t="shared" si="29"/>
        <v>424160.63775331364</v>
      </c>
      <c r="R24" s="118">
        <f t="shared" si="29"/>
        <v>518592.16985403083</v>
      </c>
      <c r="S24" s="118">
        <f t="shared" si="29"/>
        <v>548139.25087458664</v>
      </c>
      <c r="T24" s="118">
        <f t="shared" si="29"/>
        <v>364489.81913091976</v>
      </c>
      <c r="U24" s="118">
        <f t="shared" si="29"/>
        <v>615254.63877527637</v>
      </c>
      <c r="V24" s="118">
        <f>((V31/SUM(V$29:V$32))*V$16)+((V31/SUM(V$28:V$32))*V$17)+((V31/SUM(V$28:V$32))*V$18)</f>
        <v>506347.93409592676</v>
      </c>
      <c r="W24" s="115">
        <f t="shared" si="23"/>
        <v>617383.68475802662</v>
      </c>
      <c r="X24" s="115">
        <f t="shared" ref="X24:AH24" si="30">((X31/SUM(X$29:X$32))*X$16)+((X31/SUM(X$28:X$32))*X$17)+((X31/SUM(X$28:X$32))*X$18)</f>
        <v>453935.31211217341</v>
      </c>
      <c r="Y24" s="115">
        <f t="shared" si="30"/>
        <v>746498.85887898982</v>
      </c>
      <c r="Z24" s="115">
        <f t="shared" si="30"/>
        <v>443041.04712886061</v>
      </c>
      <c r="AA24" s="115">
        <f t="shared" si="30"/>
        <v>457962.34751248476</v>
      </c>
      <c r="AB24" s="115">
        <f t="shared" si="30"/>
        <v>688788.48789126845</v>
      </c>
      <c r="AC24" s="115">
        <f t="shared" si="30"/>
        <v>562269.83771640889</v>
      </c>
      <c r="AD24" s="115">
        <f t="shared" si="30"/>
        <v>815458.75403203291</v>
      </c>
      <c r="AE24" s="115">
        <f t="shared" si="30"/>
        <v>685770.92353864305</v>
      </c>
      <c r="AF24" s="115">
        <f t="shared" si="30"/>
        <v>832181.15415458393</v>
      </c>
      <c r="AG24" s="115">
        <f t="shared" si="30"/>
        <v>981428.327742461</v>
      </c>
      <c r="AH24" s="115">
        <f t="shared" si="30"/>
        <v>774012.03018908331</v>
      </c>
      <c r="AI24" s="115">
        <f t="shared" ref="AI24" si="31">((AI31/SUM(AI$29:AI$32))*AI$16)+((AI31/SUM(AI$28:AI$32))*AI$17)+((AI31/SUM(AI$28:AI$32))*AI$18)</f>
        <v>712700.49977852497</v>
      </c>
      <c r="AJ24" s="114">
        <f t="shared" si="23"/>
        <v>795559.10081217659</v>
      </c>
      <c r="AK24" s="115">
        <f t="shared" si="23"/>
        <v>781939.3997645583</v>
      </c>
      <c r="AL24" s="119">
        <f t="shared" si="23"/>
        <v>1200421.4976668716</v>
      </c>
    </row>
    <row r="25" spans="1:42" x14ac:dyDescent="0.25">
      <c r="A25" s="76" t="s">
        <v>7</v>
      </c>
      <c r="B25" s="114">
        <v>0</v>
      </c>
      <c r="C25" s="118">
        <v>0</v>
      </c>
      <c r="D25" s="118">
        <f t="shared" si="21"/>
        <v>39321.070126562699</v>
      </c>
      <c r="E25" s="118">
        <f t="shared" si="21"/>
        <v>12619.135159826228</v>
      </c>
      <c r="F25" s="118">
        <f t="shared" si="21"/>
        <v>39310.379745509235</v>
      </c>
      <c r="G25" s="118">
        <f t="shared" si="21"/>
        <v>77416.494225101458</v>
      </c>
      <c r="H25" s="118">
        <f t="shared" si="21"/>
        <v>59564.589109196262</v>
      </c>
      <c r="I25" s="118">
        <f t="shared" si="21"/>
        <v>125566.64450627941</v>
      </c>
      <c r="J25" s="118">
        <f t="shared" si="21"/>
        <v>47195.011808146039</v>
      </c>
      <c r="K25" s="118">
        <f>((K32/SUM(K$29:K$32))*K$16)+((K32/SUM(K$28:K$32))*K$17)+((K32/SUM(K$28:K$32))*K$18)</f>
        <v>173420.96278496395</v>
      </c>
      <c r="L25" s="118">
        <f t="shared" ref="L25:U25" si="32">((L32/SUM(L$29:L$32))*L$16)+((L32/SUM(L$28:L$32))*L$17)+((L32/SUM(L$28:L$32))*L$18)</f>
        <v>211065.64012534122</v>
      </c>
      <c r="M25" s="118">
        <f t="shared" si="32"/>
        <v>152613.93663173731</v>
      </c>
      <c r="N25" s="118">
        <f t="shared" si="32"/>
        <v>164623.74205864902</v>
      </c>
      <c r="O25" s="118">
        <f t="shared" si="32"/>
        <v>249592.83922755485</v>
      </c>
      <c r="P25" s="118">
        <f t="shared" si="32"/>
        <v>142351.0076033056</v>
      </c>
      <c r="Q25" s="118">
        <f t="shared" si="32"/>
        <v>211454.20063135427</v>
      </c>
      <c r="R25" s="118">
        <f t="shared" si="32"/>
        <v>259572.77491525796</v>
      </c>
      <c r="S25" s="118">
        <f t="shared" si="32"/>
        <v>285057.39248387417</v>
      </c>
      <c r="T25" s="118">
        <f t="shared" si="32"/>
        <v>183026.0723913754</v>
      </c>
      <c r="U25" s="118">
        <f t="shared" si="32"/>
        <v>324564.83418035397</v>
      </c>
      <c r="V25" s="118">
        <f>((V32/SUM(V$29:V$32))*V$16)+((V32/SUM(V$28:V$32))*V$17)+((V32/SUM(V$28:V$32))*V$18)</f>
        <v>264531.43691794015</v>
      </c>
      <c r="W25" s="115">
        <f t="shared" si="23"/>
        <v>314184.3810854961</v>
      </c>
      <c r="X25" s="115">
        <f t="shared" ref="X25:AH25" si="33">((X32/SUM(X$29:X$32))*X$16)+((X32/SUM(X$28:X$32))*X$17)+((X32/SUM(X$28:X$32))*X$18)</f>
        <v>250608.98667526536</v>
      </c>
      <c r="Y25" s="115">
        <f t="shared" si="33"/>
        <v>351786.63584282924</v>
      </c>
      <c r="Z25" s="115">
        <f t="shared" si="33"/>
        <v>193260.47146035449</v>
      </c>
      <c r="AA25" s="115">
        <f t="shared" si="33"/>
        <v>209853.26804744999</v>
      </c>
      <c r="AB25" s="115">
        <f t="shared" si="33"/>
        <v>318275.49907774379</v>
      </c>
      <c r="AC25" s="115">
        <f t="shared" si="33"/>
        <v>266521.66752028867</v>
      </c>
      <c r="AD25" s="115">
        <f t="shared" si="33"/>
        <v>385141.48908010346</v>
      </c>
      <c r="AE25" s="115">
        <f t="shared" si="33"/>
        <v>330310.99794068577</v>
      </c>
      <c r="AF25" s="115">
        <f t="shared" si="33"/>
        <v>399064.96930482326</v>
      </c>
      <c r="AG25" s="115">
        <f t="shared" si="33"/>
        <v>491925.50779780763</v>
      </c>
      <c r="AH25" s="115">
        <f t="shared" si="33"/>
        <v>374399.20221504843</v>
      </c>
      <c r="AI25" s="115">
        <f t="shared" ref="AI25" si="34">((AI32/SUM(AI$29:AI$32))*AI$16)+((AI32/SUM(AI$28:AI$32))*AI$17)+((AI32/SUM(AI$28:AI$32))*AI$18)</f>
        <v>365734.03139942978</v>
      </c>
      <c r="AJ25" s="114">
        <f t="shared" si="23"/>
        <v>419311.38537601091</v>
      </c>
      <c r="AK25" s="115">
        <f t="shared" si="23"/>
        <v>382982.82976134092</v>
      </c>
      <c r="AL25" s="119">
        <f t="shared" si="23"/>
        <v>565812.30669777503</v>
      </c>
    </row>
    <row r="26" spans="1:42" x14ac:dyDescent="0.25">
      <c r="B26" s="104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2"/>
      <c r="AK26" s="103"/>
      <c r="AL26" s="106"/>
    </row>
    <row r="27" spans="1:42" x14ac:dyDescent="0.25">
      <c r="A27" s="76" t="s">
        <v>88</v>
      </c>
      <c r="B27" s="104"/>
      <c r="C27" s="103"/>
      <c r="D27" s="107" t="s">
        <v>89</v>
      </c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2"/>
      <c r="AK27" s="103"/>
      <c r="AL27" s="106"/>
    </row>
    <row r="28" spans="1:42" x14ac:dyDescent="0.25">
      <c r="A28" s="50" t="s">
        <v>0</v>
      </c>
      <c r="B28" s="146">
        <v>0</v>
      </c>
      <c r="C28" s="140">
        <v>0</v>
      </c>
      <c r="D28" s="113">
        <v>993663505</v>
      </c>
      <c r="E28" s="113">
        <v>799965556</v>
      </c>
      <c r="F28" s="113">
        <v>694371338</v>
      </c>
      <c r="G28" s="113">
        <v>1033880199</v>
      </c>
      <c r="H28" s="113">
        <v>1389519683</v>
      </c>
      <c r="I28" s="113">
        <v>1393717014</v>
      </c>
      <c r="J28" s="113">
        <v>1260356462</v>
      </c>
      <c r="K28" s="113">
        <v>898752689</v>
      </c>
      <c r="L28" s="113">
        <v>737254549</v>
      </c>
      <c r="M28" s="113">
        <v>1139687162</v>
      </c>
      <c r="N28" s="113">
        <v>1486587515</v>
      </c>
      <c r="O28" s="113">
        <v>1118519560</v>
      </c>
      <c r="P28" s="113">
        <v>900425374</v>
      </c>
      <c r="Q28" s="113">
        <v>785388980</v>
      </c>
      <c r="R28" s="113">
        <v>745552820</v>
      </c>
      <c r="S28" s="113">
        <v>999249366</v>
      </c>
      <c r="T28" s="113">
        <v>1328710328</v>
      </c>
      <c r="U28" s="113">
        <v>1345571317</v>
      </c>
      <c r="V28" s="113">
        <v>1065182267</v>
      </c>
      <c r="W28" s="199">
        <v>935823271</v>
      </c>
      <c r="X28" s="199">
        <v>821487370</v>
      </c>
      <c r="Y28" s="199">
        <v>1061048123</v>
      </c>
      <c r="Z28" s="199">
        <v>1655009463</v>
      </c>
      <c r="AA28" s="199">
        <v>1329247401</v>
      </c>
      <c r="AB28" s="199">
        <v>1071720684</v>
      </c>
      <c r="AC28" s="199">
        <v>1035354332</v>
      </c>
      <c r="AD28" s="199">
        <v>838111932</v>
      </c>
      <c r="AE28" s="199">
        <v>1238437606</v>
      </c>
      <c r="AF28" s="199">
        <v>1451979984</v>
      </c>
      <c r="AG28" s="199">
        <v>1300666274</v>
      </c>
      <c r="AH28" s="199">
        <v>1250635703</v>
      </c>
      <c r="AI28" s="199">
        <v>971081766</v>
      </c>
      <c r="AJ28" s="259">
        <v>871606666.66666663</v>
      </c>
      <c r="AK28" s="260">
        <v>1191144666.6666667</v>
      </c>
      <c r="AL28" s="261">
        <v>1521241250</v>
      </c>
      <c r="AM28" s="147"/>
      <c r="AN28" s="53"/>
      <c r="AP28" s="53"/>
    </row>
    <row r="29" spans="1:42" x14ac:dyDescent="0.25">
      <c r="A29" s="50" t="s">
        <v>4</v>
      </c>
      <c r="B29" s="146">
        <v>0</v>
      </c>
      <c r="C29" s="140">
        <v>0</v>
      </c>
      <c r="D29" s="113">
        <v>260227273</v>
      </c>
      <c r="E29" s="113">
        <v>236480663</v>
      </c>
      <c r="F29" s="113">
        <v>226604577</v>
      </c>
      <c r="G29" s="113">
        <v>276800633</v>
      </c>
      <c r="H29" s="113">
        <v>328433342</v>
      </c>
      <c r="I29" s="113">
        <v>327996744</v>
      </c>
      <c r="J29" s="113">
        <v>315410170</v>
      </c>
      <c r="K29" s="113">
        <v>268275261</v>
      </c>
      <c r="L29" s="113">
        <v>238400191</v>
      </c>
      <c r="M29" s="113">
        <v>276639061</v>
      </c>
      <c r="N29" s="113">
        <v>331623730</v>
      </c>
      <c r="O29" s="113">
        <v>274620464</v>
      </c>
      <c r="P29" s="113">
        <v>244043467</v>
      </c>
      <c r="Q29" s="113">
        <v>230986921</v>
      </c>
      <c r="R29" s="113">
        <v>228484392</v>
      </c>
      <c r="S29" s="113">
        <v>271547337</v>
      </c>
      <c r="T29" s="113">
        <v>314773105</v>
      </c>
      <c r="U29" s="113">
        <v>317794583</v>
      </c>
      <c r="V29" s="113">
        <v>284270101</v>
      </c>
      <c r="W29" s="199">
        <v>269129889</v>
      </c>
      <c r="X29" s="199">
        <v>240618906</v>
      </c>
      <c r="Y29" s="199">
        <v>265688240</v>
      </c>
      <c r="Z29" s="199">
        <v>350848362</v>
      </c>
      <c r="AA29" s="199">
        <v>304988610</v>
      </c>
      <c r="AB29" s="199">
        <v>267166722</v>
      </c>
      <c r="AC29" s="199">
        <v>263421812</v>
      </c>
      <c r="AD29" s="199">
        <v>238338730</v>
      </c>
      <c r="AE29" s="199">
        <v>299991891</v>
      </c>
      <c r="AF29" s="199">
        <v>330814291</v>
      </c>
      <c r="AG29" s="199">
        <v>309298324</v>
      </c>
      <c r="AH29" s="199">
        <v>303923884</v>
      </c>
      <c r="AI29" s="199">
        <v>267631865</v>
      </c>
      <c r="AJ29" s="259">
        <v>239685830.9993093</v>
      </c>
      <c r="AK29" s="260">
        <v>279644310.96440595</v>
      </c>
      <c r="AL29" s="261">
        <v>331924355.87286532</v>
      </c>
      <c r="AM29" s="147"/>
      <c r="AN29" s="53"/>
      <c r="AP29" s="53"/>
    </row>
    <row r="30" spans="1:42" x14ac:dyDescent="0.25">
      <c r="A30" s="50" t="s">
        <v>5</v>
      </c>
      <c r="B30" s="146">
        <v>0</v>
      </c>
      <c r="C30" s="140">
        <v>0</v>
      </c>
      <c r="D30" s="113">
        <v>596370095</v>
      </c>
      <c r="E30" s="113">
        <v>585567373</v>
      </c>
      <c r="F30" s="113">
        <v>584363020</v>
      </c>
      <c r="G30" s="113">
        <v>661650596</v>
      </c>
      <c r="H30" s="113">
        <v>744450846</v>
      </c>
      <c r="I30" s="113">
        <v>746230356</v>
      </c>
      <c r="J30" s="113">
        <v>749176357</v>
      </c>
      <c r="K30" s="113">
        <v>659221190</v>
      </c>
      <c r="L30" s="113">
        <v>600231827</v>
      </c>
      <c r="M30" s="113">
        <v>624953134</v>
      </c>
      <c r="N30" s="113">
        <v>693030252</v>
      </c>
      <c r="O30" s="113">
        <v>607344097</v>
      </c>
      <c r="P30" s="113">
        <v>572358448</v>
      </c>
      <c r="Q30" s="113">
        <v>562854773</v>
      </c>
      <c r="R30" s="113">
        <v>578075204</v>
      </c>
      <c r="S30" s="113">
        <v>655641906</v>
      </c>
      <c r="T30" s="113">
        <v>714056556</v>
      </c>
      <c r="U30" s="113">
        <v>727381902</v>
      </c>
      <c r="V30" s="113">
        <v>685704779</v>
      </c>
      <c r="W30" s="199">
        <v>658415575</v>
      </c>
      <c r="X30" s="199">
        <v>591258230</v>
      </c>
      <c r="Y30" s="199">
        <v>617045102</v>
      </c>
      <c r="Z30" s="199">
        <v>713223360</v>
      </c>
      <c r="AA30" s="199">
        <v>637748229</v>
      </c>
      <c r="AB30" s="199">
        <v>591995322</v>
      </c>
      <c r="AC30" s="199">
        <v>597309651</v>
      </c>
      <c r="AD30" s="199">
        <v>591787732</v>
      </c>
      <c r="AE30" s="199">
        <v>706111391</v>
      </c>
      <c r="AF30" s="199">
        <v>750019857</v>
      </c>
      <c r="AG30" s="199">
        <v>709167976</v>
      </c>
      <c r="AH30" s="199">
        <v>721543630</v>
      </c>
      <c r="AI30" s="199">
        <v>655717182</v>
      </c>
      <c r="AJ30" s="259">
        <v>583380350.62351108</v>
      </c>
      <c r="AK30" s="260">
        <v>627948708.01655436</v>
      </c>
      <c r="AL30" s="261">
        <v>693034271.99985516</v>
      </c>
      <c r="AM30" s="147"/>
      <c r="AN30" s="53"/>
      <c r="AP30" s="53"/>
    </row>
    <row r="31" spans="1:42" x14ac:dyDescent="0.25">
      <c r="A31" s="50" t="s">
        <v>6</v>
      </c>
      <c r="B31" s="146">
        <v>0</v>
      </c>
      <c r="C31" s="140">
        <v>0</v>
      </c>
      <c r="D31" s="113">
        <v>247441789</v>
      </c>
      <c r="E31" s="113">
        <v>263524459</v>
      </c>
      <c r="F31" s="113">
        <v>273810149</v>
      </c>
      <c r="G31" s="113">
        <v>281099842</v>
      </c>
      <c r="H31" s="113">
        <v>312186695</v>
      </c>
      <c r="I31" s="113">
        <v>304162315</v>
      </c>
      <c r="J31" s="113">
        <v>330143172</v>
      </c>
      <c r="K31" s="113">
        <v>280092260</v>
      </c>
      <c r="L31" s="113">
        <v>268855946</v>
      </c>
      <c r="M31" s="113">
        <v>269553572</v>
      </c>
      <c r="N31" s="113">
        <v>287482958</v>
      </c>
      <c r="O31" s="113">
        <v>284042474</v>
      </c>
      <c r="P31" s="113">
        <v>243773343</v>
      </c>
      <c r="Q31" s="113">
        <v>262317859</v>
      </c>
      <c r="R31" s="113">
        <v>265729533</v>
      </c>
      <c r="S31" s="113">
        <v>305383990</v>
      </c>
      <c r="T31" s="113">
        <v>299141306</v>
      </c>
      <c r="U31" s="113">
        <v>315582091</v>
      </c>
      <c r="V31" s="113">
        <v>303646750</v>
      </c>
      <c r="W31" s="199">
        <v>297206861</v>
      </c>
      <c r="X31" s="199">
        <v>267769856</v>
      </c>
      <c r="Y31" s="199">
        <v>280403761</v>
      </c>
      <c r="Z31" s="199">
        <v>308993823</v>
      </c>
      <c r="AA31" s="199">
        <v>274104685</v>
      </c>
      <c r="AB31" s="199">
        <v>272372147</v>
      </c>
      <c r="AC31" s="199">
        <v>251417733</v>
      </c>
      <c r="AD31" s="199">
        <v>289575324</v>
      </c>
      <c r="AE31" s="199">
        <v>314032531</v>
      </c>
      <c r="AF31" s="199">
        <v>325203026</v>
      </c>
      <c r="AG31" s="199">
        <v>319660753</v>
      </c>
      <c r="AH31" s="199">
        <v>311095874</v>
      </c>
      <c r="AI31" s="199">
        <v>289535965</v>
      </c>
      <c r="AJ31" s="259">
        <v>266980784.71055597</v>
      </c>
      <c r="AK31" s="260">
        <v>277268544.7065779</v>
      </c>
      <c r="AL31" s="261">
        <v>301053002.094414</v>
      </c>
      <c r="AM31" s="147"/>
      <c r="AN31" s="53"/>
      <c r="AP31" s="53"/>
    </row>
    <row r="32" spans="1:42" x14ac:dyDescent="0.25">
      <c r="A32" s="50" t="s">
        <v>7</v>
      </c>
      <c r="B32" s="146">
        <v>0</v>
      </c>
      <c r="C32" s="140">
        <v>0</v>
      </c>
      <c r="D32" s="113">
        <v>127273740</v>
      </c>
      <c r="E32" s="113">
        <v>133415922</v>
      </c>
      <c r="F32" s="113">
        <v>133920097</v>
      </c>
      <c r="G32" s="113">
        <v>151320401</v>
      </c>
      <c r="H32" s="113">
        <v>158812387</v>
      </c>
      <c r="I32" s="113">
        <v>160367769</v>
      </c>
      <c r="J32" s="113">
        <v>176194341</v>
      </c>
      <c r="K32" s="113">
        <v>154604539</v>
      </c>
      <c r="L32" s="113">
        <v>142536252</v>
      </c>
      <c r="M32" s="113">
        <v>134004611</v>
      </c>
      <c r="N32" s="113">
        <v>132646039</v>
      </c>
      <c r="O32" s="113">
        <v>136324918</v>
      </c>
      <c r="P32" s="113">
        <v>118000396</v>
      </c>
      <c r="Q32" s="113">
        <v>130771713</v>
      </c>
      <c r="R32" s="113">
        <v>133006544</v>
      </c>
      <c r="S32" s="113">
        <v>158813593</v>
      </c>
      <c r="T32" s="113">
        <v>150211763</v>
      </c>
      <c r="U32" s="113">
        <v>166478792</v>
      </c>
      <c r="V32" s="113">
        <v>158634223</v>
      </c>
      <c r="W32" s="199">
        <v>151247524</v>
      </c>
      <c r="X32" s="199">
        <v>147830606</v>
      </c>
      <c r="Y32" s="199">
        <v>132139915</v>
      </c>
      <c r="Z32" s="199">
        <v>134787267</v>
      </c>
      <c r="AA32" s="199">
        <v>125603697</v>
      </c>
      <c r="AB32" s="199">
        <v>125857767</v>
      </c>
      <c r="AC32" s="199">
        <v>119174583</v>
      </c>
      <c r="AD32" s="199">
        <v>136766539</v>
      </c>
      <c r="AE32" s="199">
        <v>151258088</v>
      </c>
      <c r="AF32" s="199">
        <v>155948179</v>
      </c>
      <c r="AG32" s="199">
        <v>160224923</v>
      </c>
      <c r="AH32" s="199">
        <v>150480926</v>
      </c>
      <c r="AI32" s="199">
        <v>148580162</v>
      </c>
      <c r="AJ32" s="259">
        <v>140716236.6585604</v>
      </c>
      <c r="AK32" s="260">
        <v>135802201.40781698</v>
      </c>
      <c r="AL32" s="261">
        <v>141899735.95474657</v>
      </c>
      <c r="AM32" s="147"/>
      <c r="AN32" s="53"/>
      <c r="AP32" s="53"/>
    </row>
    <row r="33" spans="1:40" x14ac:dyDescent="0.25">
      <c r="B33" s="104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2"/>
      <c r="AK33" s="103"/>
      <c r="AL33" s="106"/>
    </row>
    <row r="34" spans="1:40" x14ac:dyDescent="0.25">
      <c r="A34" s="76" t="s">
        <v>90</v>
      </c>
      <c r="B34" s="104"/>
      <c r="C34" s="103"/>
      <c r="D34" s="107" t="s">
        <v>71</v>
      </c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5"/>
      <c r="AB34" s="103"/>
      <c r="AC34" s="103"/>
      <c r="AD34" s="103"/>
      <c r="AE34" s="103"/>
      <c r="AF34" s="103"/>
      <c r="AG34" s="103"/>
      <c r="AH34" s="103"/>
      <c r="AI34" s="103"/>
      <c r="AJ34" s="102"/>
      <c r="AK34" s="103"/>
      <c r="AL34" s="106"/>
      <c r="AM34" s="120" t="s">
        <v>119</v>
      </c>
      <c r="AN34" s="50"/>
    </row>
    <row r="35" spans="1:40" x14ac:dyDescent="0.25">
      <c r="A35" s="50" t="str">
        <f>A28</f>
        <v>RES</v>
      </c>
      <c r="B35" s="98">
        <v>0</v>
      </c>
      <c r="C35" s="99">
        <v>0</v>
      </c>
      <c r="D35" s="99">
        <v>0</v>
      </c>
      <c r="E35" s="99">
        <v>0</v>
      </c>
      <c r="F35" s="99">
        <v>123961.69</v>
      </c>
      <c r="G35" s="99">
        <v>1908168.92</v>
      </c>
      <c r="H35" s="99">
        <v>2568297.87</v>
      </c>
      <c r="I35" s="99">
        <v>2577448.31</v>
      </c>
      <c r="J35" s="99">
        <v>2331302.52</v>
      </c>
      <c r="K35" s="99">
        <v>1662285.76</v>
      </c>
      <c r="L35" s="99">
        <v>1362163.19</v>
      </c>
      <c r="M35" s="99">
        <v>2095736.41</v>
      </c>
      <c r="N35" s="99">
        <v>2744219.77</v>
      </c>
      <c r="O35" s="99">
        <v>2148829.36</v>
      </c>
      <c r="P35" s="99">
        <v>1729823.68</v>
      </c>
      <c r="Q35" s="99">
        <v>1512003.54</v>
      </c>
      <c r="R35" s="99">
        <v>1440840.56</v>
      </c>
      <c r="S35" s="99">
        <v>1936757.77</v>
      </c>
      <c r="T35" s="99">
        <v>2576912.5699999998</v>
      </c>
      <c r="U35" s="99">
        <v>2608657.2400000002</v>
      </c>
      <c r="V35" s="99">
        <v>2062676.64</v>
      </c>
      <c r="W35" s="108">
        <v>1810953.83</v>
      </c>
      <c r="X35" s="108">
        <v>1581314.86</v>
      </c>
      <c r="Y35" s="108">
        <v>2039173.2</v>
      </c>
      <c r="Z35" s="108">
        <v>3182458.2</v>
      </c>
      <c r="AA35" s="108">
        <v>2595923.37</v>
      </c>
      <c r="AB35" s="108">
        <v>2092553.72</v>
      </c>
      <c r="AC35" s="108">
        <v>2020382.01</v>
      </c>
      <c r="AD35" s="108">
        <v>1645582.52</v>
      </c>
      <c r="AE35" s="108">
        <v>2444250.39</v>
      </c>
      <c r="AF35" s="108">
        <v>2866018.01</v>
      </c>
      <c r="AG35" s="108">
        <v>2568472.33</v>
      </c>
      <c r="AH35" s="108">
        <v>2470378.25</v>
      </c>
      <c r="AI35" s="108">
        <v>1911666.16</v>
      </c>
      <c r="AJ35" s="114">
        <f>AJ28*$AM35+AJ49</f>
        <v>1711475.2235328874</v>
      </c>
      <c r="AK35" s="115">
        <f t="shared" ref="AK35:AL35" si="35">AK28*$AM35+AK49</f>
        <v>2338915.7777323183</v>
      </c>
      <c r="AL35" s="119">
        <f t="shared" si="35"/>
        <v>2987089.0253147818</v>
      </c>
      <c r="AM35" s="109">
        <v>2.029E-3</v>
      </c>
      <c r="AN35" s="50"/>
    </row>
    <row r="36" spans="1:40" x14ac:dyDescent="0.25">
      <c r="A36" s="50" t="str">
        <f>A29</f>
        <v>SGS</v>
      </c>
      <c r="B36" s="98">
        <v>0</v>
      </c>
      <c r="C36" s="99">
        <v>0</v>
      </c>
      <c r="D36" s="99">
        <v>0</v>
      </c>
      <c r="E36" s="99">
        <v>0</v>
      </c>
      <c r="F36" s="99">
        <v>30867.47</v>
      </c>
      <c r="G36" s="99">
        <v>447208.24</v>
      </c>
      <c r="H36" s="99">
        <v>531350.03</v>
      </c>
      <c r="I36" s="99">
        <v>530492.54</v>
      </c>
      <c r="J36" s="99">
        <v>510350.03</v>
      </c>
      <c r="K36" s="99">
        <v>434079.23</v>
      </c>
      <c r="L36" s="99">
        <v>385472.34</v>
      </c>
      <c r="M36" s="99">
        <v>447361.18</v>
      </c>
      <c r="N36" s="99">
        <v>521889.23</v>
      </c>
      <c r="O36" s="99">
        <v>291041.78999999998</v>
      </c>
      <c r="P36" s="99">
        <v>258475.06</v>
      </c>
      <c r="Q36" s="99">
        <v>244605.15</v>
      </c>
      <c r="R36" s="99">
        <v>242003.19</v>
      </c>
      <c r="S36" s="99">
        <v>287667.83</v>
      </c>
      <c r="T36" s="99">
        <v>333489.84999999998</v>
      </c>
      <c r="U36" s="99">
        <v>336690.37</v>
      </c>
      <c r="V36" s="99">
        <v>301150.11</v>
      </c>
      <c r="W36" s="108">
        <v>285102.90999999997</v>
      </c>
      <c r="X36" s="108">
        <v>254850.05</v>
      </c>
      <c r="Y36" s="108">
        <v>281447.78999999998</v>
      </c>
      <c r="Z36" s="108">
        <v>431665.87</v>
      </c>
      <c r="AA36" s="108">
        <v>950845.36</v>
      </c>
      <c r="AB36" s="108">
        <v>833398.31</v>
      </c>
      <c r="AC36" s="108">
        <v>821359.53</v>
      </c>
      <c r="AD36" s="108">
        <v>743516.11</v>
      </c>
      <c r="AE36" s="108">
        <v>936050.92</v>
      </c>
      <c r="AF36" s="108">
        <v>1032769.67</v>
      </c>
      <c r="AG36" s="108">
        <v>965010.54</v>
      </c>
      <c r="AH36" s="108">
        <v>948232.91</v>
      </c>
      <c r="AI36" s="108">
        <v>835687.41</v>
      </c>
      <c r="AJ36" s="114">
        <f>AJ29*$AM36</f>
        <v>748299.16437984374</v>
      </c>
      <c r="AK36" s="115">
        <f t="shared" ref="AJ36:AL39" si="36">AK29*$AM36</f>
        <v>873049.53883087542</v>
      </c>
      <c r="AL36" s="119">
        <f t="shared" si="36"/>
        <v>1036267.8390350856</v>
      </c>
      <c r="AM36" s="109">
        <v>3.1220000000000002E-3</v>
      </c>
      <c r="AN36" s="50"/>
    </row>
    <row r="37" spans="1:40" x14ac:dyDescent="0.25">
      <c r="A37" s="50" t="str">
        <f>A30</f>
        <v>LGS</v>
      </c>
      <c r="B37" s="98">
        <v>0</v>
      </c>
      <c r="C37" s="99">
        <v>0</v>
      </c>
      <c r="D37" s="99">
        <v>0</v>
      </c>
      <c r="E37" s="99">
        <v>0</v>
      </c>
      <c r="F37" s="99">
        <v>64202.879999999997</v>
      </c>
      <c r="G37" s="99">
        <v>1059813.77</v>
      </c>
      <c r="H37" s="99">
        <v>1203922.71</v>
      </c>
      <c r="I37" s="99">
        <v>1206399.46</v>
      </c>
      <c r="J37" s="99">
        <v>1211503.1299999999</v>
      </c>
      <c r="K37" s="99">
        <v>1066102.3899999999</v>
      </c>
      <c r="L37" s="99">
        <v>972108.05</v>
      </c>
      <c r="M37" s="99">
        <v>1010681.81</v>
      </c>
      <c r="N37" s="99">
        <v>1097512.96</v>
      </c>
      <c r="O37" s="99">
        <v>657802.05000000005</v>
      </c>
      <c r="P37" s="99">
        <v>617850.03</v>
      </c>
      <c r="Q37" s="99">
        <v>607462.05000000005</v>
      </c>
      <c r="R37" s="99">
        <v>624105.06000000006</v>
      </c>
      <c r="S37" s="99">
        <v>707741.76</v>
      </c>
      <c r="T37" s="99">
        <v>770766.14</v>
      </c>
      <c r="U37" s="99">
        <v>785160.49</v>
      </c>
      <c r="V37" s="99">
        <v>740167.74</v>
      </c>
      <c r="W37" s="108">
        <v>710721.13</v>
      </c>
      <c r="X37" s="108">
        <v>637956.66</v>
      </c>
      <c r="Y37" s="108">
        <v>666084.51999999897</v>
      </c>
      <c r="Z37" s="108">
        <v>874576.72</v>
      </c>
      <c r="AA37" s="108">
        <v>1984582.28</v>
      </c>
      <c r="AB37" s="108">
        <v>1854983.03</v>
      </c>
      <c r="AC37" s="108">
        <v>1871643.42</v>
      </c>
      <c r="AD37" s="108">
        <v>1855875.99</v>
      </c>
      <c r="AE37" s="108">
        <v>2212948.1</v>
      </c>
      <c r="AF37" s="108">
        <v>2349965.67</v>
      </c>
      <c r="AG37" s="108">
        <v>2223994.13</v>
      </c>
      <c r="AH37" s="108">
        <v>2262829.1800000002</v>
      </c>
      <c r="AI37" s="108">
        <v>2056074.25</v>
      </c>
      <c r="AJ37" s="114">
        <f t="shared" si="36"/>
        <v>1829480.7795553308</v>
      </c>
      <c r="AK37" s="115">
        <f t="shared" si="36"/>
        <v>1969247.1483399144</v>
      </c>
      <c r="AL37" s="119">
        <f t="shared" si="36"/>
        <v>2173355.4769915459</v>
      </c>
      <c r="AM37" s="109">
        <v>3.1359999999999999E-3</v>
      </c>
      <c r="AN37" s="50"/>
    </row>
    <row r="38" spans="1:40" x14ac:dyDescent="0.25">
      <c r="A38" s="50" t="str">
        <f>A31</f>
        <v>SPS</v>
      </c>
      <c r="B38" s="98">
        <v>0</v>
      </c>
      <c r="C38" s="99">
        <v>0</v>
      </c>
      <c r="D38" s="99">
        <v>0</v>
      </c>
      <c r="E38" s="99">
        <v>0</v>
      </c>
      <c r="F38" s="99">
        <v>42324.55</v>
      </c>
      <c r="G38" s="99">
        <v>402228.87</v>
      </c>
      <c r="H38" s="99">
        <v>504543.46</v>
      </c>
      <c r="I38" s="99">
        <v>492134.64</v>
      </c>
      <c r="J38" s="99">
        <v>534160.06000000006</v>
      </c>
      <c r="K38" s="99">
        <v>453189.31</v>
      </c>
      <c r="L38" s="99">
        <v>435008.89</v>
      </c>
      <c r="M38" s="99">
        <v>436137.77</v>
      </c>
      <c r="N38" s="99">
        <v>457765.57</v>
      </c>
      <c r="O38" s="99">
        <v>318136.18</v>
      </c>
      <c r="P38" s="99">
        <v>262787.62</v>
      </c>
      <c r="Q38" s="99">
        <v>282778.65000000002</v>
      </c>
      <c r="R38" s="99">
        <v>286456.53999999998</v>
      </c>
      <c r="S38" s="99">
        <v>329203.88</v>
      </c>
      <c r="T38" s="99">
        <v>322474.40000000002</v>
      </c>
      <c r="U38" s="99">
        <v>340197.43</v>
      </c>
      <c r="V38" s="99">
        <v>327331.33</v>
      </c>
      <c r="W38" s="108">
        <v>320388.98</v>
      </c>
      <c r="X38" s="108">
        <v>288445.09999999998</v>
      </c>
      <c r="Y38" s="108">
        <v>302275.21999999997</v>
      </c>
      <c r="Z38" s="108">
        <v>394301.64</v>
      </c>
      <c r="AA38" s="108">
        <v>798472.04</v>
      </c>
      <c r="AB38" s="108">
        <v>862270.76</v>
      </c>
      <c r="AC38" s="108">
        <v>797497.14</v>
      </c>
      <c r="AD38" s="108">
        <v>916795.59</v>
      </c>
      <c r="AE38" s="108">
        <v>994226.8</v>
      </c>
      <c r="AF38" s="108">
        <v>1029592.88</v>
      </c>
      <c r="AG38" s="108">
        <v>1012045.8</v>
      </c>
      <c r="AH38" s="108">
        <v>984929.5</v>
      </c>
      <c r="AI38" s="108">
        <v>923599.95</v>
      </c>
      <c r="AJ38" s="114">
        <f t="shared" si="36"/>
        <v>845261.16439362022</v>
      </c>
      <c r="AK38" s="115">
        <f t="shared" si="36"/>
        <v>877832.2125410256</v>
      </c>
      <c r="AL38" s="119">
        <f t="shared" si="36"/>
        <v>953133.8046309147</v>
      </c>
      <c r="AM38" s="109">
        <v>3.166E-3</v>
      </c>
      <c r="AN38" s="50"/>
    </row>
    <row r="39" spans="1:40" x14ac:dyDescent="0.25">
      <c r="A39" s="50" t="str">
        <f>A32</f>
        <v>LPS</v>
      </c>
      <c r="B39" s="98">
        <v>0</v>
      </c>
      <c r="C39" s="99">
        <v>0</v>
      </c>
      <c r="D39" s="99">
        <v>0</v>
      </c>
      <c r="E39" s="99">
        <v>0</v>
      </c>
      <c r="F39" s="99">
        <v>0</v>
      </c>
      <c r="G39" s="99">
        <v>131268.19</v>
      </c>
      <c r="H39" s="99">
        <v>256958.42</v>
      </c>
      <c r="I39" s="99">
        <v>259475.03</v>
      </c>
      <c r="J39" s="99">
        <v>285082.46999999997</v>
      </c>
      <c r="K39" s="99">
        <v>250150.11</v>
      </c>
      <c r="L39" s="99">
        <v>230623.71</v>
      </c>
      <c r="M39" s="99">
        <v>216819.48</v>
      </c>
      <c r="N39" s="99">
        <v>214621.26</v>
      </c>
      <c r="O39" s="99">
        <v>172271.18</v>
      </c>
      <c r="P39" s="99">
        <v>122366.39999999999</v>
      </c>
      <c r="Q39" s="99">
        <v>135610.26999999999</v>
      </c>
      <c r="R39" s="99">
        <v>137927.78</v>
      </c>
      <c r="S39" s="99">
        <v>164689.71</v>
      </c>
      <c r="T39" s="99">
        <v>155769.62</v>
      </c>
      <c r="U39" s="99">
        <v>172638.5</v>
      </c>
      <c r="V39" s="99">
        <v>164503.65</v>
      </c>
      <c r="W39" s="108">
        <v>156843.72</v>
      </c>
      <c r="X39" s="108">
        <v>149437.10999999999</v>
      </c>
      <c r="Y39" s="108">
        <v>137029.09</v>
      </c>
      <c r="Z39" s="108">
        <v>155747.07999999999</v>
      </c>
      <c r="AA39" s="108">
        <v>262877.71999999997</v>
      </c>
      <c r="AB39" s="108">
        <v>405202.34</v>
      </c>
      <c r="AC39" s="108">
        <v>385569.73</v>
      </c>
      <c r="AD39" s="108">
        <v>440885.67</v>
      </c>
      <c r="AE39" s="108">
        <v>487898.42</v>
      </c>
      <c r="AF39" s="108">
        <v>425781.68</v>
      </c>
      <c r="AG39" s="108">
        <v>502465.32</v>
      </c>
      <c r="AH39" s="108">
        <v>471908.19</v>
      </c>
      <c r="AI39" s="108">
        <v>465947.44</v>
      </c>
      <c r="AJ39" s="114">
        <f t="shared" si="36"/>
        <v>441286.11816124537</v>
      </c>
      <c r="AK39" s="115">
        <f t="shared" si="36"/>
        <v>425875.70361491403</v>
      </c>
      <c r="AL39" s="119">
        <f t="shared" si="36"/>
        <v>444997.57195408526</v>
      </c>
      <c r="AM39" s="109">
        <v>3.1359999999999999E-3</v>
      </c>
      <c r="AN39" s="50"/>
    </row>
    <row r="40" spans="1:40" x14ac:dyDescent="0.25">
      <c r="A40" s="50"/>
      <c r="B40" s="104"/>
      <c r="C40" s="112"/>
      <c r="D40" s="103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02"/>
      <c r="AK40" s="103"/>
      <c r="AL40" s="106"/>
    </row>
    <row r="41" spans="1:40" s="183" customFormat="1" x14ac:dyDescent="0.25">
      <c r="A41" s="50" t="s">
        <v>117</v>
      </c>
      <c r="B41" s="240"/>
      <c r="C41" s="232"/>
      <c r="D41" s="107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2"/>
      <c r="AK41" s="103"/>
      <c r="AL41" s="106"/>
    </row>
    <row r="42" spans="1:40" s="183" customFormat="1" x14ac:dyDescent="0.25">
      <c r="A42" s="183" t="s">
        <v>0</v>
      </c>
      <c r="B42" s="114">
        <v>0</v>
      </c>
      <c r="C42" s="118">
        <v>0</v>
      </c>
      <c r="D42" s="118">
        <v>0</v>
      </c>
      <c r="E42" s="118">
        <v>0</v>
      </c>
      <c r="F42" s="141">
        <f>+(F35-F49)+(F49*F35/SUM(F35:F39))</f>
        <v>123961.69</v>
      </c>
      <c r="G42" s="141">
        <f>+(G35-G49)+(G49*G35/SUM(G35:G39))</f>
        <v>1908168.92</v>
      </c>
      <c r="H42" s="118">
        <f t="shared" ref="H42:AL42" si="37">+(H35-H49)+(H49*H35/SUM(H35:H39))</f>
        <v>2568297.87</v>
      </c>
      <c r="I42" s="118">
        <f t="shared" si="37"/>
        <v>2577448.31</v>
      </c>
      <c r="J42" s="118">
        <f t="shared" si="37"/>
        <v>2331302.52</v>
      </c>
      <c r="K42" s="118">
        <f t="shared" si="37"/>
        <v>1662285.76</v>
      </c>
      <c r="L42" s="118">
        <f t="shared" si="37"/>
        <v>1362163.19</v>
      </c>
      <c r="M42" s="118">
        <f t="shared" si="37"/>
        <v>2095736.41</v>
      </c>
      <c r="N42" s="118">
        <f t="shared" si="37"/>
        <v>2744219.77</v>
      </c>
      <c r="O42" s="118">
        <f t="shared" si="37"/>
        <v>2148829.36</v>
      </c>
      <c r="P42" s="118">
        <f t="shared" si="37"/>
        <v>1729823.68</v>
      </c>
      <c r="Q42" s="118">
        <f>+(Q35-Q49)+(Q49*Q35/SUM(Q35:Q39))</f>
        <v>1535490.3519158037</v>
      </c>
      <c r="R42" s="118">
        <f t="shared" si="37"/>
        <v>1461392.3439489268</v>
      </c>
      <c r="S42" s="118">
        <f t="shared" si="37"/>
        <v>1959654.4296565112</v>
      </c>
      <c r="T42" s="118">
        <f t="shared" si="37"/>
        <v>2602980.2619516258</v>
      </c>
      <c r="U42" s="118">
        <f t="shared" si="37"/>
        <v>2635782.5735193253</v>
      </c>
      <c r="V42" s="118">
        <f t="shared" si="37"/>
        <v>2087458.9369660481</v>
      </c>
      <c r="W42" s="115">
        <f t="shared" si="37"/>
        <v>1834404.122561598</v>
      </c>
      <c r="X42" s="115">
        <f t="shared" ref="X42:AH42" si="38">+(X35-X49)+(X49*X35/SUM(X35:X39))</f>
        <v>1606117.6948667259</v>
      </c>
      <c r="Y42" s="115">
        <f t="shared" si="38"/>
        <v>2068883.559439132</v>
      </c>
      <c r="Z42" s="115">
        <f t="shared" si="38"/>
        <v>3226172.2975526219</v>
      </c>
      <c r="AA42" s="115">
        <f t="shared" si="38"/>
        <v>2657419.7915159557</v>
      </c>
      <c r="AB42" s="115">
        <f t="shared" si="38"/>
        <v>2148033.234848218</v>
      </c>
      <c r="AC42" s="115">
        <f t="shared" si="38"/>
        <v>2073158.2689492719</v>
      </c>
      <c r="AD42" s="115">
        <f t="shared" si="38"/>
        <v>1684360.7882410712</v>
      </c>
      <c r="AE42" s="115">
        <f t="shared" si="38"/>
        <v>2489096.4246969549</v>
      </c>
      <c r="AF42" s="115">
        <f t="shared" si="38"/>
        <v>2916270.5428013494</v>
      </c>
      <c r="AG42" s="115">
        <f t="shared" si="38"/>
        <v>2614104.5086031272</v>
      </c>
      <c r="AH42" s="115">
        <f t="shared" si="38"/>
        <v>2514280.7205046257</v>
      </c>
      <c r="AI42" s="115">
        <f t="shared" ref="AI42" si="39">+(AI35-AI49)+(AI49*AI35/SUM(AI35:AI39))</f>
        <v>1952199.8455454113</v>
      </c>
      <c r="AJ42" s="114">
        <f t="shared" si="37"/>
        <v>1750989.4408325343</v>
      </c>
      <c r="AK42" s="118">
        <f t="shared" si="37"/>
        <v>2388730.2995872982</v>
      </c>
      <c r="AL42" s="119">
        <f t="shared" si="37"/>
        <v>3047460.9366654786</v>
      </c>
    </row>
    <row r="43" spans="1:40" s="183" customFormat="1" x14ac:dyDescent="0.25">
      <c r="A43" s="183" t="s">
        <v>4</v>
      </c>
      <c r="B43" s="114">
        <v>0</v>
      </c>
      <c r="C43" s="118">
        <v>0</v>
      </c>
      <c r="D43" s="118">
        <v>0</v>
      </c>
      <c r="E43" s="118">
        <v>0</v>
      </c>
      <c r="F43" s="141">
        <f>+F36+(F49*F36/SUM(F35:F39))</f>
        <v>30867.47</v>
      </c>
      <c r="G43" s="118">
        <f t="shared" ref="G43:AL43" si="40">+G36+(G49*G36/SUM(G35:G39))</f>
        <v>447208.24</v>
      </c>
      <c r="H43" s="118">
        <f t="shared" si="40"/>
        <v>531350.03</v>
      </c>
      <c r="I43" s="118">
        <f t="shared" si="40"/>
        <v>530492.54</v>
      </c>
      <c r="J43" s="118">
        <f t="shared" si="40"/>
        <v>510350.03</v>
      </c>
      <c r="K43" s="118">
        <f t="shared" si="40"/>
        <v>434079.23</v>
      </c>
      <c r="L43" s="118">
        <f t="shared" si="40"/>
        <v>385472.34</v>
      </c>
      <c r="M43" s="118">
        <f t="shared" si="40"/>
        <v>447361.18</v>
      </c>
      <c r="N43" s="118">
        <f t="shared" si="40"/>
        <v>521889.23</v>
      </c>
      <c r="O43" s="118">
        <f t="shared" si="40"/>
        <v>291041.78999999998</v>
      </c>
      <c r="P43" s="118">
        <f t="shared" si="40"/>
        <v>258475.06</v>
      </c>
      <c r="Q43" s="118">
        <f t="shared" si="40"/>
        <v>240083.15584274652</v>
      </c>
      <c r="R43" s="118">
        <f t="shared" si="40"/>
        <v>238149.15984790772</v>
      </c>
      <c r="S43" s="118">
        <f t="shared" si="40"/>
        <v>283245.20303855278</v>
      </c>
      <c r="T43" s="118">
        <f t="shared" si="40"/>
        <v>327996.44676217379</v>
      </c>
      <c r="U43" s="118">
        <f t="shared" si="40"/>
        <v>331103.46574723173</v>
      </c>
      <c r="V43" s="118">
        <f t="shared" si="40"/>
        <v>296282.23817969492</v>
      </c>
      <c r="W43" s="115">
        <f t="shared" si="40"/>
        <v>280564.22084559378</v>
      </c>
      <c r="X43" s="115">
        <f t="shared" ref="X43:AH43" si="41">+X36+(X49*X36/SUM(X35:X39))</f>
        <v>250099.87615326291</v>
      </c>
      <c r="Y43" s="115">
        <f t="shared" si="41"/>
        <v>275418.30182261876</v>
      </c>
      <c r="Z43" s="115">
        <f t="shared" si="41"/>
        <v>421500.50217779254</v>
      </c>
      <c r="AA43" s="115">
        <f t="shared" si="41"/>
        <v>936215.17642884317</v>
      </c>
      <c r="AB43" s="115">
        <f t="shared" si="41"/>
        <v>821710.18178006366</v>
      </c>
      <c r="AC43" s="115">
        <f t="shared" si="41"/>
        <v>810175.96384697023</v>
      </c>
      <c r="AD43" s="115">
        <f t="shared" si="41"/>
        <v>736229.84954130137</v>
      </c>
      <c r="AE43" s="115">
        <f t="shared" si="41"/>
        <v>926986.56114003644</v>
      </c>
      <c r="AF43" s="115">
        <f t="shared" si="41"/>
        <v>1022042.4867010192</v>
      </c>
      <c r="AG43" s="115">
        <f t="shared" si="41"/>
        <v>955648.28094076551</v>
      </c>
      <c r="AH43" s="115">
        <f t="shared" si="41"/>
        <v>939314.60212604853</v>
      </c>
      <c r="AI43" s="115">
        <f t="shared" ref="AI43" si="42">+AI36+(AI49*AI36/SUM(AI35:AI39))</f>
        <v>827775.46290727635</v>
      </c>
      <c r="AJ43" s="114">
        <f t="shared" si="40"/>
        <v>740647.52049633488</v>
      </c>
      <c r="AK43" s="118">
        <f t="shared" si="40"/>
        <v>862559.79038783838</v>
      </c>
      <c r="AL43" s="119">
        <f t="shared" si="40"/>
        <v>1022690.4083150607</v>
      </c>
    </row>
    <row r="44" spans="1:40" s="183" customFormat="1" x14ac:dyDescent="0.25">
      <c r="A44" s="183" t="s">
        <v>5</v>
      </c>
      <c r="B44" s="114">
        <v>0</v>
      </c>
      <c r="C44" s="118">
        <v>0</v>
      </c>
      <c r="D44" s="118">
        <v>0</v>
      </c>
      <c r="E44" s="118">
        <v>0</v>
      </c>
      <c r="F44" s="118">
        <f t="shared" ref="F44:AL44" si="43">+F37+(F49*F37/SUM(F35:F39))</f>
        <v>64202.879999999997</v>
      </c>
      <c r="G44" s="118">
        <f t="shared" si="43"/>
        <v>1059813.77</v>
      </c>
      <c r="H44" s="118">
        <f t="shared" si="43"/>
        <v>1203922.71</v>
      </c>
      <c r="I44" s="118">
        <f t="shared" si="43"/>
        <v>1206399.46</v>
      </c>
      <c r="J44" s="118">
        <f t="shared" si="43"/>
        <v>1211503.1299999999</v>
      </c>
      <c r="K44" s="118">
        <f t="shared" si="43"/>
        <v>1066102.3899999999</v>
      </c>
      <c r="L44" s="118">
        <f t="shared" si="43"/>
        <v>972108.05</v>
      </c>
      <c r="M44" s="118">
        <f t="shared" si="43"/>
        <v>1010681.81</v>
      </c>
      <c r="N44" s="118">
        <f t="shared" si="43"/>
        <v>1097512.96</v>
      </c>
      <c r="O44" s="118">
        <f t="shared" si="43"/>
        <v>657802.05000000005</v>
      </c>
      <c r="P44" s="118">
        <f t="shared" si="43"/>
        <v>617850.03</v>
      </c>
      <c r="Q44" s="118">
        <f t="shared" si="43"/>
        <v>596231.95185671397</v>
      </c>
      <c r="R44" s="118">
        <f t="shared" si="43"/>
        <v>614165.85333370208</v>
      </c>
      <c r="S44" s="118">
        <f t="shared" si="43"/>
        <v>696860.88468794955</v>
      </c>
      <c r="T44" s="118">
        <f t="shared" si="43"/>
        <v>758069.71397958952</v>
      </c>
      <c r="U44" s="118">
        <f t="shared" si="43"/>
        <v>772131.85339038563</v>
      </c>
      <c r="V44" s="118">
        <f t="shared" si="43"/>
        <v>728203.46848157048</v>
      </c>
      <c r="W44" s="115">
        <f t="shared" si="43"/>
        <v>699406.82147702377</v>
      </c>
      <c r="X44" s="115">
        <f t="shared" ref="X44:AH44" si="44">+X37+(X49*X37/SUM(X35:X39))</f>
        <v>626065.72632475162</v>
      </c>
      <c r="Y44" s="115">
        <f t="shared" si="44"/>
        <v>651814.91518812021</v>
      </c>
      <c r="Z44" s="115">
        <f t="shared" si="44"/>
        <v>853981.17454365024</v>
      </c>
      <c r="AA44" s="115">
        <f t="shared" si="44"/>
        <v>1954046.501744254</v>
      </c>
      <c r="AB44" s="115">
        <f t="shared" si="44"/>
        <v>1828967.5230805702</v>
      </c>
      <c r="AC44" s="115">
        <f t="shared" si="44"/>
        <v>1846159.2717824064</v>
      </c>
      <c r="AD44" s="115">
        <f t="shared" si="44"/>
        <v>1837688.8980724488</v>
      </c>
      <c r="AE44" s="115">
        <f t="shared" si="44"/>
        <v>2191518.7575483364</v>
      </c>
      <c r="AF44" s="115">
        <f t="shared" si="44"/>
        <v>2325557.020888139</v>
      </c>
      <c r="AG44" s="115">
        <f t="shared" si="44"/>
        <v>2202417.5685758349</v>
      </c>
      <c r="AH44" s="115">
        <f t="shared" si="44"/>
        <v>2241546.8483274984</v>
      </c>
      <c r="AI44" s="115">
        <f t="shared" ref="AI44" si="45">+AI37+(AI49*AI37/SUM(AI35:AI39))</f>
        <v>2036608.1787273556</v>
      </c>
      <c r="AJ44" s="114">
        <f t="shared" si="43"/>
        <v>1810773.6419782322</v>
      </c>
      <c r="AK44" s="118">
        <f t="shared" si="43"/>
        <v>1945586.5125002621</v>
      </c>
      <c r="AL44" s="119">
        <f t="shared" si="43"/>
        <v>2144879.6502725421</v>
      </c>
    </row>
    <row r="45" spans="1:40" s="183" customFormat="1" x14ac:dyDescent="0.25">
      <c r="A45" s="183" t="s">
        <v>6</v>
      </c>
      <c r="B45" s="114">
        <v>0</v>
      </c>
      <c r="C45" s="118">
        <v>0</v>
      </c>
      <c r="D45" s="118">
        <v>0</v>
      </c>
      <c r="E45" s="118">
        <v>0</v>
      </c>
      <c r="F45" s="118">
        <f t="shared" ref="F45:AL45" si="46">+F38+(F49*F38/SUM(F35:F39))</f>
        <v>42324.55</v>
      </c>
      <c r="G45" s="118">
        <f t="shared" si="46"/>
        <v>402228.87</v>
      </c>
      <c r="H45" s="118">
        <f t="shared" si="46"/>
        <v>504543.46</v>
      </c>
      <c r="I45" s="118">
        <f t="shared" si="46"/>
        <v>492134.64</v>
      </c>
      <c r="J45" s="118">
        <f t="shared" si="46"/>
        <v>534160.06000000006</v>
      </c>
      <c r="K45" s="118">
        <f t="shared" si="46"/>
        <v>453189.31</v>
      </c>
      <c r="L45" s="118">
        <f t="shared" si="46"/>
        <v>435008.89</v>
      </c>
      <c r="M45" s="118">
        <f t="shared" si="46"/>
        <v>436137.77</v>
      </c>
      <c r="N45" s="118">
        <f t="shared" si="46"/>
        <v>457765.57</v>
      </c>
      <c r="O45" s="118">
        <f t="shared" si="46"/>
        <v>318136.18</v>
      </c>
      <c r="P45" s="118">
        <f t="shared" si="46"/>
        <v>262787.62</v>
      </c>
      <c r="Q45" s="118">
        <f t="shared" si="46"/>
        <v>277550.94566468237</v>
      </c>
      <c r="R45" s="118">
        <f t="shared" si="46"/>
        <v>281894.56648872508</v>
      </c>
      <c r="S45" s="118">
        <f t="shared" si="46"/>
        <v>324142.6746664003</v>
      </c>
      <c r="T45" s="118">
        <f t="shared" si="46"/>
        <v>317162.4484876045</v>
      </c>
      <c r="U45" s="118">
        <f t="shared" si="46"/>
        <v>334552.33100757014</v>
      </c>
      <c r="V45" s="118">
        <f t="shared" si="46"/>
        <v>322040.25785923278</v>
      </c>
      <c r="W45" s="115">
        <f t="shared" si="46"/>
        <v>315288.55507372593</v>
      </c>
      <c r="X45" s="115">
        <f t="shared" ref="X45:AH45" si="47">+X38+(X49*X38/SUM(X35:X39))</f>
        <v>283068.74488357187</v>
      </c>
      <c r="Y45" s="115">
        <f t="shared" si="47"/>
        <v>295799.54340895155</v>
      </c>
      <c r="Z45" s="115">
        <f t="shared" si="47"/>
        <v>385016.16833762458</v>
      </c>
      <c r="AA45" s="115">
        <f t="shared" si="47"/>
        <v>786186.34874770639</v>
      </c>
      <c r="AB45" s="115">
        <f t="shared" si="47"/>
        <v>850177.70547582896</v>
      </c>
      <c r="AC45" s="115">
        <f t="shared" si="47"/>
        <v>786638.48225478327</v>
      </c>
      <c r="AD45" s="115">
        <f t="shared" si="47"/>
        <v>907811.23664667946</v>
      </c>
      <c r="AE45" s="115">
        <f t="shared" si="47"/>
        <v>984599.08818343212</v>
      </c>
      <c r="AF45" s="115">
        <f t="shared" si="47"/>
        <v>1018898.693418121</v>
      </c>
      <c r="AG45" s="115">
        <f t="shared" si="47"/>
        <v>1002227.218164189</v>
      </c>
      <c r="AH45" s="115">
        <f t="shared" si="47"/>
        <v>975666.05383344879</v>
      </c>
      <c r="AI45" s="115">
        <f t="shared" ref="AI45" si="48">+AI38+(AI49*AI38/SUM(AI35:AI39))</f>
        <v>914855.68288313353</v>
      </c>
      <c r="AJ45" s="114">
        <f t="shared" si="46"/>
        <v>836618.04714002809</v>
      </c>
      <c r="AK45" s="118">
        <f t="shared" si="46"/>
        <v>867284.9999543482</v>
      </c>
      <c r="AL45" s="119">
        <f t="shared" si="46"/>
        <v>940645.61604509491</v>
      </c>
    </row>
    <row r="46" spans="1:40" s="183" customFormat="1" x14ac:dyDescent="0.25">
      <c r="A46" s="183" t="s">
        <v>7</v>
      </c>
      <c r="B46" s="114">
        <v>0</v>
      </c>
      <c r="C46" s="118">
        <v>0</v>
      </c>
      <c r="D46" s="118">
        <v>0</v>
      </c>
      <c r="E46" s="118">
        <v>0</v>
      </c>
      <c r="F46" s="118">
        <f t="shared" ref="F46:AL46" si="49">+F39+(F49*F39/SUM(F35:F39))</f>
        <v>0</v>
      </c>
      <c r="G46" s="118">
        <f t="shared" si="49"/>
        <v>131268.19</v>
      </c>
      <c r="H46" s="118">
        <f t="shared" si="49"/>
        <v>256958.42</v>
      </c>
      <c r="I46" s="118">
        <f t="shared" si="49"/>
        <v>259475.03</v>
      </c>
      <c r="J46" s="118">
        <f t="shared" si="49"/>
        <v>285082.46999999997</v>
      </c>
      <c r="K46" s="118">
        <f t="shared" si="49"/>
        <v>250150.11</v>
      </c>
      <c r="L46" s="118">
        <f t="shared" si="49"/>
        <v>230623.71</v>
      </c>
      <c r="M46" s="118">
        <f t="shared" si="49"/>
        <v>216819.48</v>
      </c>
      <c r="N46" s="118">
        <f t="shared" si="49"/>
        <v>214621.26</v>
      </c>
      <c r="O46" s="118">
        <f t="shared" si="49"/>
        <v>172271.18</v>
      </c>
      <c r="P46" s="118">
        <f t="shared" si="49"/>
        <v>122366.39999999999</v>
      </c>
      <c r="Q46" s="118">
        <f t="shared" si="49"/>
        <v>133103.25472005364</v>
      </c>
      <c r="R46" s="118">
        <f t="shared" si="49"/>
        <v>135731.20638073841</v>
      </c>
      <c r="S46" s="118">
        <f t="shared" si="49"/>
        <v>162157.75795058615</v>
      </c>
      <c r="T46" s="118">
        <f t="shared" si="49"/>
        <v>153203.70881900616</v>
      </c>
      <c r="U46" s="118">
        <f t="shared" si="49"/>
        <v>169773.80633548702</v>
      </c>
      <c r="V46" s="118">
        <f t="shared" si="49"/>
        <v>161844.56851345385</v>
      </c>
      <c r="W46" s="115">
        <f t="shared" si="49"/>
        <v>154346.85004205842</v>
      </c>
      <c r="X46" s="115">
        <f t="shared" ref="X46:AH46" si="50">+X39+(X49*X39/SUM(X35:X39))</f>
        <v>146651.7377716878</v>
      </c>
      <c r="Y46" s="115">
        <f t="shared" si="50"/>
        <v>134093.50014117642</v>
      </c>
      <c r="Z46" s="115">
        <f t="shared" si="50"/>
        <v>152079.36738831084</v>
      </c>
      <c r="AA46" s="115">
        <f t="shared" si="50"/>
        <v>258832.95156324055</v>
      </c>
      <c r="AB46" s="115">
        <f t="shared" si="50"/>
        <v>399519.51481531939</v>
      </c>
      <c r="AC46" s="115">
        <f t="shared" si="50"/>
        <v>380319.84316656803</v>
      </c>
      <c r="AD46" s="115">
        <f t="shared" si="50"/>
        <v>436565.10749849904</v>
      </c>
      <c r="AE46" s="115">
        <f t="shared" si="50"/>
        <v>483173.79843124037</v>
      </c>
      <c r="AF46" s="115">
        <f t="shared" si="50"/>
        <v>421359.16619137116</v>
      </c>
      <c r="AG46" s="115">
        <f t="shared" si="50"/>
        <v>497590.5437160838</v>
      </c>
      <c r="AH46" s="115">
        <f t="shared" si="50"/>
        <v>467469.80520837824</v>
      </c>
      <c r="AI46" s="115">
        <f t="shared" ref="AI46" si="51">+AI39+(AI49*AI39/SUM(AI35:AI39))</f>
        <v>461536.03993682319</v>
      </c>
      <c r="AJ46" s="114">
        <f t="shared" si="49"/>
        <v>436773.79957579804</v>
      </c>
      <c r="AK46" s="118">
        <f t="shared" si="49"/>
        <v>420758.77862930077</v>
      </c>
      <c r="AL46" s="119">
        <f t="shared" si="49"/>
        <v>439167.10662823683</v>
      </c>
    </row>
    <row r="47" spans="1:40" s="50" customFormat="1" x14ac:dyDescent="0.25">
      <c r="B47" s="241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104"/>
      <c r="AK47" s="103"/>
      <c r="AL47" s="106"/>
    </row>
    <row r="48" spans="1:40" s="183" customFormat="1" x14ac:dyDescent="0.25">
      <c r="A48" s="50" t="s">
        <v>118</v>
      </c>
      <c r="B48" s="240"/>
      <c r="C48" s="232"/>
      <c r="D48" s="107" t="s">
        <v>89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2"/>
      <c r="AK48" s="103"/>
      <c r="AL48" s="106"/>
      <c r="AM48" s="221"/>
      <c r="AN48" s="50"/>
    </row>
    <row r="49" spans="1:40" s="183" customFormat="1" x14ac:dyDescent="0.25">
      <c r="A49" s="50" t="str">
        <f>A35</f>
        <v>RES</v>
      </c>
      <c r="B49" s="98">
        <v>0</v>
      </c>
      <c r="C49" s="99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-51439.089999999989</v>
      </c>
      <c r="R49" s="99">
        <v>-43497.94</v>
      </c>
      <c r="S49" s="99">
        <v>-52672.520000000004</v>
      </c>
      <c r="T49" s="99">
        <v>-68515.819999999992</v>
      </c>
      <c r="U49" s="99">
        <v>-70412.339999999982</v>
      </c>
      <c r="V49" s="99">
        <v>-58123.959999999992</v>
      </c>
      <c r="W49" s="108">
        <v>-52279.729999999974</v>
      </c>
      <c r="X49" s="108">
        <v>-54277.110000000008</v>
      </c>
      <c r="Y49" s="108">
        <v>-73395.800000000017</v>
      </c>
      <c r="Z49" s="108">
        <f>-118236.63-OAR!D36</f>
        <v>-118658.30887468031</v>
      </c>
      <c r="AA49" s="108">
        <f>-97741.56-OAR!E36</f>
        <v>-101438.60037851662</v>
      </c>
      <c r="AB49" s="108">
        <f>-81845.59-OAR!F36</f>
        <v>-84826.87</v>
      </c>
      <c r="AC49" s="108">
        <v>-80285.62</v>
      </c>
      <c r="AD49" s="108">
        <v>-54904.540000000008</v>
      </c>
      <c r="AE49" s="108">
        <v>-68515.219999999987</v>
      </c>
      <c r="AF49" s="108">
        <v>-80021.319999999992</v>
      </c>
      <c r="AG49" s="108">
        <v>-70550.76999999999</v>
      </c>
      <c r="AH49" s="108">
        <v>-67136.84</v>
      </c>
      <c r="AI49" s="108">
        <v>-58632.55999999999</v>
      </c>
      <c r="AJ49" s="114">
        <f>-(AJ28*$AM$35*PPC!$B$14)</f>
        <v>-57014.703133779047</v>
      </c>
      <c r="AK49" s="118">
        <f>-(AK28*$AM$35*PPC!$B$14)</f>
        <v>-77916.750934348296</v>
      </c>
      <c r="AL49" s="119">
        <f>-(AL28*$AM$35*PPC!$B$14)</f>
        <v>-99509.470935218051</v>
      </c>
      <c r="AM49" s="234"/>
      <c r="AN49" s="50"/>
    </row>
    <row r="50" spans="1:40" s="183" customFormat="1" x14ac:dyDescent="0.25">
      <c r="A50" s="50"/>
      <c r="B50" s="104"/>
      <c r="C50" s="112"/>
      <c r="D50" s="107" t="s">
        <v>71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1"/>
      <c r="AK50" s="112"/>
      <c r="AL50" s="106"/>
    </row>
    <row r="51" spans="1:40" ht="15.75" thickBot="1" x14ac:dyDescent="0.3">
      <c r="A51" s="50" t="s">
        <v>95</v>
      </c>
      <c r="B51" s="121">
        <v>0</v>
      </c>
      <c r="C51" s="122">
        <v>0</v>
      </c>
      <c r="D51" s="122">
        <v>298.63</v>
      </c>
      <c r="E51" s="122">
        <v>674.69</v>
      </c>
      <c r="F51" s="122">
        <v>1475.36</v>
      </c>
      <c r="G51" s="122">
        <v>108.97</v>
      </c>
      <c r="H51" s="122">
        <v>-1399.24</v>
      </c>
      <c r="I51" s="122">
        <v>-2443.31</v>
      </c>
      <c r="J51" s="122">
        <v>-4160.29</v>
      </c>
      <c r="K51" s="122">
        <v>-4437.1276130225706</v>
      </c>
      <c r="L51" s="122">
        <v>-4089.8726909078409</v>
      </c>
      <c r="M51" s="122">
        <v>-5732.3796823568009</v>
      </c>
      <c r="N51" s="122">
        <v>-6387.1229241163428</v>
      </c>
      <c r="O51" s="122">
        <v>-3749.9100388094298</v>
      </c>
      <c r="P51" s="122">
        <v>-4794.8657862936871</v>
      </c>
      <c r="Q51" s="122">
        <v>-4983.609733505551</v>
      </c>
      <c r="R51" s="122">
        <v>-3142.1778395001616</v>
      </c>
      <c r="S51" s="122">
        <v>-2033.7917610442216</v>
      </c>
      <c r="T51" s="122">
        <v>-2950.032033167759</v>
      </c>
      <c r="U51" s="122">
        <v>-1520.1017399300081</v>
      </c>
      <c r="V51" s="122">
        <v>-600.37464592803713</v>
      </c>
      <c r="W51" s="123">
        <v>1065.6199999999999</v>
      </c>
      <c r="X51" s="123">
        <v>-1332.09</v>
      </c>
      <c r="Y51" s="123">
        <v>5237.09</v>
      </c>
      <c r="Z51" s="123">
        <v>3012.78</v>
      </c>
      <c r="AA51" s="123">
        <v>-1819.91</v>
      </c>
      <c r="AB51" s="123">
        <v>-5067.18</v>
      </c>
      <c r="AC51" s="123">
        <v>-9142.32</v>
      </c>
      <c r="AD51" s="123">
        <v>-10293.290000000001</v>
      </c>
      <c r="AE51" s="123">
        <v>-14356.41</v>
      </c>
      <c r="AF51" s="123">
        <v>-17932.63</v>
      </c>
      <c r="AG51" s="123">
        <v>-19194.27</v>
      </c>
      <c r="AH51" s="123">
        <v>-23187.84</v>
      </c>
      <c r="AI51" s="123">
        <v>-27364.65</v>
      </c>
      <c r="AJ51" s="100">
        <v>-26886.68</v>
      </c>
      <c r="AK51" s="101">
        <v>-28170.04</v>
      </c>
      <c r="AL51" s="158">
        <v>-29019.15</v>
      </c>
      <c r="AM51" s="50"/>
    </row>
    <row r="52" spans="1:40" x14ac:dyDescent="0.25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50"/>
      <c r="AK52" s="151"/>
      <c r="AL52" s="152"/>
    </row>
    <row r="53" spans="1:40" x14ac:dyDescent="0.25">
      <c r="A53" s="76" t="s">
        <v>72</v>
      </c>
      <c r="B53" s="104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2"/>
      <c r="AK53" s="103"/>
      <c r="AL53" s="106"/>
    </row>
    <row r="54" spans="1:40" x14ac:dyDescent="0.25">
      <c r="A54" s="76" t="s">
        <v>0</v>
      </c>
      <c r="B54" s="114">
        <f t="shared" ref="B54:AL54" si="52">B21-B42</f>
        <v>0</v>
      </c>
      <c r="C54" s="118">
        <f t="shared" si="52"/>
        <v>0</v>
      </c>
      <c r="D54" s="118">
        <f>D21-D42</f>
        <v>109165.05951390543</v>
      </c>
      <c r="E54" s="118">
        <f t="shared" si="52"/>
        <v>480741.41032421798</v>
      </c>
      <c r="F54" s="118">
        <f t="shared" si="52"/>
        <v>1035558.9875673528</v>
      </c>
      <c r="G54" s="118">
        <f t="shared" si="52"/>
        <v>-796014.29677120619</v>
      </c>
      <c r="H54" s="118">
        <f t="shared" si="52"/>
        <v>-960426.68598167389</v>
      </c>
      <c r="I54" s="118">
        <f t="shared" si="52"/>
        <v>119508.3173276647</v>
      </c>
      <c r="J54" s="118">
        <f t="shared" si="52"/>
        <v>-650781.14802932926</v>
      </c>
      <c r="K54" s="118">
        <f t="shared" si="52"/>
        <v>283633.757875429</v>
      </c>
      <c r="L54" s="118">
        <f t="shared" si="52"/>
        <v>758391.50758311059</v>
      </c>
      <c r="M54" s="118">
        <f t="shared" si="52"/>
        <v>-97704.226593116764</v>
      </c>
      <c r="N54" s="118">
        <f t="shared" si="52"/>
        <v>-862665.63054309995</v>
      </c>
      <c r="O54" s="118">
        <f t="shared" si="52"/>
        <v>-119200.60126053984</v>
      </c>
      <c r="P54" s="118">
        <f t="shared" si="52"/>
        <v>-159533.62003397848</v>
      </c>
      <c r="Q54" s="118">
        <f t="shared" si="52"/>
        <v>-864420.67600424855</v>
      </c>
      <c r="R54" s="118">
        <f t="shared" si="52"/>
        <v>844188.85099213431</v>
      </c>
      <c r="S54" s="118">
        <f t="shared" si="52"/>
        <v>520030.96328711743</v>
      </c>
      <c r="T54" s="118">
        <f t="shared" si="52"/>
        <v>-1055149.5793604027</v>
      </c>
      <c r="U54" s="118">
        <f t="shared" si="52"/>
        <v>-67022.342312908731</v>
      </c>
      <c r="V54" s="118">
        <f t="shared" si="52"/>
        <v>-132471.96672626049</v>
      </c>
      <c r="W54" s="115">
        <f t="shared" si="52"/>
        <v>-29300.709057155997</v>
      </c>
      <c r="X54" s="115">
        <f t="shared" ref="X54:AH54" si="53">X21-X42</f>
        <v>-141089.5657424212</v>
      </c>
      <c r="Y54" s="115">
        <f t="shared" si="53"/>
        <v>-96637.005920365918</v>
      </c>
      <c r="Z54" s="115">
        <f t="shared" si="53"/>
        <v>-1813406.9128263511</v>
      </c>
      <c r="AA54" s="115">
        <f t="shared" si="53"/>
        <v>-1568830.10050225</v>
      </c>
      <c r="AB54" s="115">
        <f t="shared" si="53"/>
        <v>-1064539.8070336694</v>
      </c>
      <c r="AC54" s="115">
        <f t="shared" si="53"/>
        <v>-711712.41645144811</v>
      </c>
      <c r="AD54" s="115">
        <f t="shared" si="53"/>
        <v>-481640.43160215323</v>
      </c>
      <c r="AE54" s="115">
        <f t="shared" si="53"/>
        <v>-556459.27604299667</v>
      </c>
      <c r="AF54" s="115">
        <f t="shared" si="53"/>
        <v>-805512.04048896022</v>
      </c>
      <c r="AG54" s="115">
        <f>AG21-AG42</f>
        <v>-661140.78495057859</v>
      </c>
      <c r="AH54" s="115">
        <f t="shared" si="53"/>
        <v>-1099338.2931797178</v>
      </c>
      <c r="AI54" s="115">
        <f t="shared" ref="AI54" si="54">AI21-AI42</f>
        <v>-502423.59165475797</v>
      </c>
      <c r="AJ54" s="114">
        <f>AJ21-AJ42</f>
        <v>418106.38072689902</v>
      </c>
      <c r="AK54" s="118">
        <f t="shared" si="52"/>
        <v>-228084.66215661215</v>
      </c>
      <c r="AL54" s="119">
        <f t="shared" si="52"/>
        <v>-1692245.624816787</v>
      </c>
    </row>
    <row r="55" spans="1:40" x14ac:dyDescent="0.25">
      <c r="A55" s="76" t="s">
        <v>4</v>
      </c>
      <c r="B55" s="114">
        <f t="shared" ref="B55:AL55" si="55">B22-B43</f>
        <v>0</v>
      </c>
      <c r="C55" s="118">
        <f t="shared" si="55"/>
        <v>0</v>
      </c>
      <c r="D55" s="118">
        <f t="shared" si="55"/>
        <v>80396.905524086716</v>
      </c>
      <c r="E55" s="118">
        <f t="shared" si="55"/>
        <v>22367.506099326867</v>
      </c>
      <c r="F55" s="118">
        <f t="shared" si="55"/>
        <v>35649.148293223669</v>
      </c>
      <c r="G55" s="118">
        <f t="shared" si="55"/>
        <v>-305595.24885977083</v>
      </c>
      <c r="H55" s="118">
        <f t="shared" si="55"/>
        <v>-408166.96200675756</v>
      </c>
      <c r="I55" s="118">
        <f t="shared" si="55"/>
        <v>-273673.78639455995</v>
      </c>
      <c r="J55" s="118">
        <f t="shared" si="55"/>
        <v>-425864.98574106238</v>
      </c>
      <c r="K55" s="118">
        <f t="shared" si="55"/>
        <v>-133153.04532952601</v>
      </c>
      <c r="L55" s="118">
        <f t="shared" si="55"/>
        <v>-32452.752257377142</v>
      </c>
      <c r="M55" s="118">
        <f t="shared" si="55"/>
        <v>-132305.03521318134</v>
      </c>
      <c r="N55" s="118">
        <f t="shared" si="55"/>
        <v>-110319.16126958677</v>
      </c>
      <c r="O55" s="118">
        <f t="shared" si="55"/>
        <v>211751.84688851453</v>
      </c>
      <c r="P55" s="118">
        <f t="shared" si="55"/>
        <v>35929.320019657316</v>
      </c>
      <c r="Q55" s="118">
        <f t="shared" si="55"/>
        <v>133416.23187539689</v>
      </c>
      <c r="R55" s="118">
        <f t="shared" si="55"/>
        <v>207756.1758795252</v>
      </c>
      <c r="S55" s="118">
        <f t="shared" si="55"/>
        <v>204160.02694802557</v>
      </c>
      <c r="T55" s="118">
        <f t="shared" si="55"/>
        <v>55539.995071532729</v>
      </c>
      <c r="U55" s="118">
        <f t="shared" si="55"/>
        <v>288464.61794483243</v>
      </c>
      <c r="V55" s="118">
        <f t="shared" si="55"/>
        <v>177754.05025938922</v>
      </c>
      <c r="W55" s="115">
        <f t="shared" si="55"/>
        <v>278495.55990872293</v>
      </c>
      <c r="X55" s="115">
        <f t="shared" ref="X55:AH55" si="56">X22-X43</f>
        <v>157807.94374413323</v>
      </c>
      <c r="Y55" s="115">
        <f t="shared" si="56"/>
        <v>431904.47897833918</v>
      </c>
      <c r="Z55" s="115">
        <f t="shared" si="56"/>
        <v>81552.355561456061</v>
      </c>
      <c r="AA55" s="115">
        <f t="shared" si="56"/>
        <v>-426653.29207006359</v>
      </c>
      <c r="AB55" s="115">
        <f t="shared" si="56"/>
        <v>-146085.43641560117</v>
      </c>
      <c r="AC55" s="115">
        <f t="shared" si="56"/>
        <v>-221060.2411139108</v>
      </c>
      <c r="AD55" s="115">
        <f t="shared" si="56"/>
        <v>-65055.934862794238</v>
      </c>
      <c r="AE55" s="115">
        <f t="shared" si="56"/>
        <v>-271876.9917904397</v>
      </c>
      <c r="AF55" s="115">
        <f t="shared" si="56"/>
        <v>-175502.33644051582</v>
      </c>
      <c r="AG55" s="115">
        <f t="shared" si="56"/>
        <v>-6034.8734516518889</v>
      </c>
      <c r="AH55" s="115">
        <f t="shared" si="56"/>
        <v>-183146.60975405248</v>
      </c>
      <c r="AI55" s="115">
        <f t="shared" ref="AI55" si="57">AI22-AI43</f>
        <v>-168992.48946161557</v>
      </c>
      <c r="AJ55" s="114">
        <f t="shared" si="55"/>
        <v>-26422.920422745869</v>
      </c>
      <c r="AK55" s="118">
        <f t="shared" si="55"/>
        <v>-73920.369012127281</v>
      </c>
      <c r="AL55" s="119">
        <f t="shared" si="55"/>
        <v>300827.80813527084</v>
      </c>
    </row>
    <row r="56" spans="1:40" x14ac:dyDescent="0.25">
      <c r="A56" s="76" t="s">
        <v>5</v>
      </c>
      <c r="B56" s="114">
        <f t="shared" ref="B56:AL56" si="58">B23-B44</f>
        <v>0</v>
      </c>
      <c r="C56" s="118">
        <f t="shared" si="58"/>
        <v>0</v>
      </c>
      <c r="D56" s="118">
        <f t="shared" si="58"/>
        <v>184247.82933918544</v>
      </c>
      <c r="E56" s="118">
        <f t="shared" si="58"/>
        <v>55385.846863700259</v>
      </c>
      <c r="F56" s="118">
        <f t="shared" si="58"/>
        <v>107328.74773943188</v>
      </c>
      <c r="G56" s="118">
        <f t="shared" si="58"/>
        <v>-721309.05281867995</v>
      </c>
      <c r="H56" s="118">
        <f t="shared" si="58"/>
        <v>-924707.02921066992</v>
      </c>
      <c r="I56" s="118">
        <f t="shared" si="58"/>
        <v>-622107.22711593262</v>
      </c>
      <c r="J56" s="118">
        <f t="shared" si="58"/>
        <v>-1010830.4703996622</v>
      </c>
      <c r="K56" s="118">
        <f t="shared" si="58"/>
        <v>-326649.49814118026</v>
      </c>
      <c r="L56" s="118">
        <f t="shared" si="58"/>
        <v>-83293.358918056474</v>
      </c>
      <c r="M56" s="118">
        <f t="shared" si="58"/>
        <v>-298940.94318697951</v>
      </c>
      <c r="N56" s="118">
        <f t="shared" si="58"/>
        <v>-237410.13066418737</v>
      </c>
      <c r="O56" s="118">
        <f t="shared" si="58"/>
        <v>454164.41792280087</v>
      </c>
      <c r="P56" s="118">
        <f t="shared" si="58"/>
        <v>72620.549294193159</v>
      </c>
      <c r="Q56" s="118">
        <f t="shared" si="58"/>
        <v>313888.46612891997</v>
      </c>
      <c r="R56" s="118">
        <f t="shared" si="58"/>
        <v>513993.56122851558</v>
      </c>
      <c r="S56" s="118">
        <f t="shared" si="58"/>
        <v>479962.63902338257</v>
      </c>
      <c r="T56" s="118">
        <f t="shared" si="58"/>
        <v>111975.11007318588</v>
      </c>
      <c r="U56" s="118">
        <f t="shared" si="58"/>
        <v>645962.20875550294</v>
      </c>
      <c r="V56" s="118">
        <f t="shared" si="58"/>
        <v>415247.59182569128</v>
      </c>
      <c r="W56" s="115">
        <f t="shared" si="58"/>
        <v>668310.70842069539</v>
      </c>
      <c r="X56" s="115">
        <f t="shared" ref="X56:AH56" si="59">X23-X44</f>
        <v>376261.39586610894</v>
      </c>
      <c r="Y56" s="115">
        <f t="shared" si="59"/>
        <v>990900.08577033645</v>
      </c>
      <c r="Z56" s="115">
        <f t="shared" si="59"/>
        <v>168651.64440161514</v>
      </c>
      <c r="AA56" s="115">
        <f t="shared" si="59"/>
        <v>-888524.12267667358</v>
      </c>
      <c r="AB56" s="115">
        <f t="shared" si="59"/>
        <v>-331899.75322859408</v>
      </c>
      <c r="AC56" s="115">
        <f t="shared" si="59"/>
        <v>-510337.8222499867</v>
      </c>
      <c r="AD56" s="115">
        <f t="shared" si="59"/>
        <v>-171184.72250201041</v>
      </c>
      <c r="AE56" s="115">
        <f t="shared" si="59"/>
        <v>-649542.64703121991</v>
      </c>
      <c r="AF56" s="115">
        <f t="shared" si="59"/>
        <v>-406287.08692043973</v>
      </c>
      <c r="AG56" s="115">
        <f t="shared" si="59"/>
        <v>-25116.995257765986</v>
      </c>
      <c r="AH56" s="115">
        <f t="shared" si="59"/>
        <v>-446333.55042853369</v>
      </c>
      <c r="AI56" s="115">
        <f t="shared" ref="AI56" si="60">AI23-AI44</f>
        <v>-422542.84724162449</v>
      </c>
      <c r="AJ56" s="114">
        <f t="shared" si="58"/>
        <v>-72395.549799441593</v>
      </c>
      <c r="AK56" s="118">
        <f t="shared" si="58"/>
        <v>-174675.80083255842</v>
      </c>
      <c r="AL56" s="119">
        <f t="shared" si="58"/>
        <v>618531.55287377862</v>
      </c>
    </row>
    <row r="57" spans="1:40" x14ac:dyDescent="0.25">
      <c r="A57" s="76" t="s">
        <v>6</v>
      </c>
      <c r="B57" s="114">
        <f t="shared" ref="B57:AL57" si="61">B24-B45</f>
        <v>0</v>
      </c>
      <c r="C57" s="118">
        <f t="shared" si="61"/>
        <v>0</v>
      </c>
      <c r="D57" s="118">
        <f t="shared" si="61"/>
        <v>76446.845496259717</v>
      </c>
      <c r="E57" s="118">
        <f t="shared" si="61"/>
        <v>24925.441552928634</v>
      </c>
      <c r="F57" s="118">
        <f t="shared" si="61"/>
        <v>38048.606654482297</v>
      </c>
      <c r="G57" s="118">
        <f t="shared" si="61"/>
        <v>-258416.37577544444</v>
      </c>
      <c r="H57" s="118">
        <f t="shared" si="61"/>
        <v>-387453.90191009501</v>
      </c>
      <c r="I57" s="118">
        <f t="shared" si="61"/>
        <v>-253978.04832345201</v>
      </c>
      <c r="J57" s="118">
        <f t="shared" si="61"/>
        <v>-445728.66763809219</v>
      </c>
      <c r="K57" s="118">
        <f t="shared" si="61"/>
        <v>-139007.91718968638</v>
      </c>
      <c r="L57" s="118">
        <f t="shared" si="61"/>
        <v>-36890.856533018057</v>
      </c>
      <c r="M57" s="118">
        <f t="shared" si="61"/>
        <v>-129151.0816384597</v>
      </c>
      <c r="N57" s="118">
        <f t="shared" si="61"/>
        <v>-100977.52958177513</v>
      </c>
      <c r="O57" s="118">
        <f t="shared" si="61"/>
        <v>201907.90722166945</v>
      </c>
      <c r="P57" s="118">
        <f t="shared" si="61"/>
        <v>31290.893116822233</v>
      </c>
      <c r="Q57" s="118">
        <f t="shared" si="61"/>
        <v>146609.69208863127</v>
      </c>
      <c r="R57" s="118">
        <f t="shared" si="61"/>
        <v>236697.60336530575</v>
      </c>
      <c r="S57" s="118">
        <f t="shared" si="61"/>
        <v>223996.57620818634</v>
      </c>
      <c r="T57" s="118">
        <f t="shared" si="61"/>
        <v>47327.370643315255</v>
      </c>
      <c r="U57" s="118">
        <f t="shared" si="61"/>
        <v>280702.30776770622</v>
      </c>
      <c r="V57" s="118">
        <f t="shared" si="61"/>
        <v>184307.67623669398</v>
      </c>
      <c r="W57" s="115">
        <f t="shared" si="61"/>
        <v>302095.12968430069</v>
      </c>
      <c r="X57" s="115">
        <f t="shared" ref="X57:AH57" si="62">X24-X45</f>
        <v>170866.56722860155</v>
      </c>
      <c r="Y57" s="115">
        <f t="shared" si="62"/>
        <v>450699.31547003827</v>
      </c>
      <c r="Z57" s="115">
        <f t="shared" si="62"/>
        <v>58024.878791236028</v>
      </c>
      <c r="AA57" s="115">
        <f t="shared" si="62"/>
        <v>-328224.00123522163</v>
      </c>
      <c r="AB57" s="115">
        <f t="shared" si="62"/>
        <v>-161389.21758456051</v>
      </c>
      <c r="AC57" s="115">
        <f t="shared" si="62"/>
        <v>-224368.64453837438</v>
      </c>
      <c r="AD57" s="115">
        <f t="shared" si="62"/>
        <v>-92352.482614646549</v>
      </c>
      <c r="AE57" s="115">
        <f t="shared" si="62"/>
        <v>-298828.16464478907</v>
      </c>
      <c r="AF57" s="115">
        <f t="shared" si="62"/>
        <v>-186717.53926353704</v>
      </c>
      <c r="AG57" s="115">
        <f t="shared" si="62"/>
        <v>-20798.890421728021</v>
      </c>
      <c r="AH57" s="115">
        <f t="shared" si="62"/>
        <v>-201654.02364436549</v>
      </c>
      <c r="AI57" s="115">
        <f t="shared" ref="AI57" si="63">AI24-AI45</f>
        <v>-202155.18310460856</v>
      </c>
      <c r="AJ57" s="114">
        <f t="shared" si="61"/>
        <v>-41058.946327851503</v>
      </c>
      <c r="AK57" s="118">
        <f t="shared" si="61"/>
        <v>-85345.600189789897</v>
      </c>
      <c r="AL57" s="119">
        <f t="shared" si="61"/>
        <v>259775.88162177673</v>
      </c>
    </row>
    <row r="58" spans="1:40" x14ac:dyDescent="0.25">
      <c r="A58" s="76" t="s">
        <v>7</v>
      </c>
      <c r="B58" s="114">
        <f t="shared" ref="B58:AL58" si="64">B25-B46</f>
        <v>0</v>
      </c>
      <c r="C58" s="118">
        <f t="shared" si="64"/>
        <v>0</v>
      </c>
      <c r="D58" s="118">
        <f t="shared" si="64"/>
        <v>39321.070126562699</v>
      </c>
      <c r="E58" s="118">
        <f t="shared" si="64"/>
        <v>12619.135159826228</v>
      </c>
      <c r="F58" s="118">
        <f t="shared" si="64"/>
        <v>39310.379745509235</v>
      </c>
      <c r="G58" s="118">
        <f t="shared" si="64"/>
        <v>-53851.695774898544</v>
      </c>
      <c r="H58" s="118">
        <f t="shared" si="64"/>
        <v>-197393.83089080374</v>
      </c>
      <c r="I58" s="118">
        <f t="shared" si="64"/>
        <v>-133908.38549372059</v>
      </c>
      <c r="J58" s="118">
        <f t="shared" si="64"/>
        <v>-237887.45819185395</v>
      </c>
      <c r="K58" s="118">
        <f t="shared" si="64"/>
        <v>-76729.147215036035</v>
      </c>
      <c r="L58" s="118">
        <f t="shared" si="64"/>
        <v>-19558.069874658773</v>
      </c>
      <c r="M58" s="118">
        <f t="shared" si="64"/>
        <v>-64205.543368262704</v>
      </c>
      <c r="N58" s="118">
        <f t="shared" si="64"/>
        <v>-49997.51794135099</v>
      </c>
      <c r="O58" s="118">
        <f t="shared" si="64"/>
        <v>77321.659227554861</v>
      </c>
      <c r="P58" s="118">
        <f t="shared" si="64"/>
        <v>19984.607603305602</v>
      </c>
      <c r="Q58" s="118">
        <f t="shared" si="64"/>
        <v>78350.945911300631</v>
      </c>
      <c r="R58" s="118">
        <f t="shared" si="64"/>
        <v>123841.56853451955</v>
      </c>
      <c r="S58" s="118">
        <f t="shared" si="64"/>
        <v>122899.63453328802</v>
      </c>
      <c r="T58" s="118">
        <f t="shared" si="64"/>
        <v>29822.363572369242</v>
      </c>
      <c r="U58" s="118">
        <f t="shared" si="64"/>
        <v>154791.02784486694</v>
      </c>
      <c r="V58" s="118">
        <f t="shared" si="64"/>
        <v>102686.8684044863</v>
      </c>
      <c r="W58" s="115">
        <f t="shared" si="64"/>
        <v>159837.53104343769</v>
      </c>
      <c r="X58" s="115">
        <f t="shared" ref="X58:AH58" si="65">X25-X46</f>
        <v>103957.24890357757</v>
      </c>
      <c r="Y58" s="115">
        <f t="shared" si="65"/>
        <v>217693.13570165282</v>
      </c>
      <c r="Z58" s="115">
        <f t="shared" si="65"/>
        <v>41181.104072043643</v>
      </c>
      <c r="AA58" s="115">
        <f t="shared" si="65"/>
        <v>-48979.683515790559</v>
      </c>
      <c r="AB58" s="115">
        <f t="shared" si="65"/>
        <v>-81244.015737575595</v>
      </c>
      <c r="AC58" s="115">
        <f t="shared" si="65"/>
        <v>-113798.17564627936</v>
      </c>
      <c r="AD58" s="115">
        <f t="shared" si="65"/>
        <v>-51423.618418395577</v>
      </c>
      <c r="AE58" s="115">
        <f t="shared" si="65"/>
        <v>-152862.8004905546</v>
      </c>
      <c r="AF58" s="115">
        <f t="shared" si="65"/>
        <v>-22294.196886547899</v>
      </c>
      <c r="AG58" s="115">
        <f t="shared" si="65"/>
        <v>-5665.0359182761749</v>
      </c>
      <c r="AH58" s="115">
        <f t="shared" si="65"/>
        <v>-93070.602993329812</v>
      </c>
      <c r="AI58" s="115">
        <f t="shared" ref="AI58" si="66">AI25-AI46</f>
        <v>-95802.008537393413</v>
      </c>
      <c r="AJ58" s="114">
        <f t="shared" si="64"/>
        <v>-17462.414199787134</v>
      </c>
      <c r="AK58" s="118">
        <f t="shared" si="64"/>
        <v>-37775.948867959843</v>
      </c>
      <c r="AL58" s="119">
        <f t="shared" si="64"/>
        <v>126645.2000695382</v>
      </c>
    </row>
    <row r="59" spans="1:40" x14ac:dyDescent="0.25">
      <c r="B59" s="104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2"/>
      <c r="AK59" s="103"/>
      <c r="AL59" s="106"/>
    </row>
    <row r="60" spans="1:40" x14ac:dyDescent="0.25">
      <c r="A60" s="76" t="s">
        <v>73</v>
      </c>
      <c r="B60" s="104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2"/>
      <c r="AK60" s="103"/>
      <c r="AL60" s="106"/>
    </row>
    <row r="61" spans="1:40" x14ac:dyDescent="0.25">
      <c r="A61" s="76" t="s">
        <v>0</v>
      </c>
      <c r="B61" s="114">
        <f>B54</f>
        <v>0</v>
      </c>
      <c r="C61" s="118">
        <f t="shared" ref="C61:AL61" si="67">B61+C54+B68</f>
        <v>0</v>
      </c>
      <c r="D61" s="118">
        <f t="shared" si="67"/>
        <v>109165.05951390543</v>
      </c>
      <c r="E61" s="118">
        <f t="shared" si="67"/>
        <v>589973.05797724216</v>
      </c>
      <c r="F61" s="118">
        <f t="shared" si="67"/>
        <v>1625898.6002303143</v>
      </c>
      <c r="G61" s="118">
        <f t="shared" si="67"/>
        <v>830908.3404646602</v>
      </c>
      <c r="H61" s="118">
        <f t="shared" si="67"/>
        <v>-129084.66537233327</v>
      </c>
      <c r="I61" s="118">
        <f t="shared" si="67"/>
        <v>-9644.0145489684128</v>
      </c>
      <c r="J61" s="118">
        <f t="shared" si="67"/>
        <v>-660431.30714965402</v>
      </c>
      <c r="K61" s="118">
        <f t="shared" si="67"/>
        <v>-377213.32380364108</v>
      </c>
      <c r="L61" s="118">
        <f t="shared" si="67"/>
        <v>380939.22856917302</v>
      </c>
      <c r="M61" s="118">
        <f t="shared" si="67"/>
        <v>283477.57931506872</v>
      </c>
      <c r="N61" s="118">
        <f>M61+N54+M68</f>
        <v>-578960.74851075851</v>
      </c>
      <c r="O61" s="118">
        <f>N61+O54+N68+N78</f>
        <v>1561544.4296673187</v>
      </c>
      <c r="P61" s="118">
        <f>O61+P54+O68</f>
        <v>1403181.9679555907</v>
      </c>
      <c r="Q61" s="118">
        <f t="shared" si="67"/>
        <v>540106.0080039663</v>
      </c>
      <c r="R61" s="118">
        <f t="shared" si="67"/>
        <v>1384812.4605871045</v>
      </c>
      <c r="S61" s="118">
        <f t="shared" si="67"/>
        <v>1906170.535815618</v>
      </c>
      <c r="T61" s="118">
        <f t="shared" si="67"/>
        <v>853260.70683479868</v>
      </c>
      <c r="U61" s="118">
        <f t="shared" si="67"/>
        <v>787228.04028422991</v>
      </c>
      <c r="V61" s="118">
        <f t="shared" si="67"/>
        <v>655718.44409265614</v>
      </c>
      <c r="W61" s="115">
        <f t="shared" si="67"/>
        <v>627209.11943994742</v>
      </c>
      <c r="X61" s="115">
        <f t="shared" ref="X61:X65" si="68">W61+X54+W68</f>
        <v>486877.86520315713</v>
      </c>
      <c r="Y61" s="115">
        <f t="shared" ref="Y61:Y65" si="69">X61+Y54+X68</f>
        <v>389557.29746406822</v>
      </c>
      <c r="Z61" s="115">
        <f t="shared" ref="Z61:Z65" si="70">Y61+Z54+Y68</f>
        <v>-1423273.8688298648</v>
      </c>
      <c r="AA61" s="115">
        <f t="shared" ref="AA61:AA65" si="71">Z61+AA54+Z68</f>
        <v>-2994138.5227227453</v>
      </c>
      <c r="AB61" s="115">
        <f t="shared" ref="AB61:AB65" si="72">AA61+AB54+AA68</f>
        <v>-4063238.3178925966</v>
      </c>
      <c r="AC61" s="115">
        <f t="shared" ref="AC61:AC65" si="73">AB61+AC54+AB68</f>
        <v>-4781905.4610857796</v>
      </c>
      <c r="AD61" s="115">
        <f t="shared" ref="AD61:AD65" si="74">AC61+AD54+AC68</f>
        <v>-5272755.8266662993</v>
      </c>
      <c r="AE61" s="115">
        <f t="shared" ref="AE61:AE65" si="75">AD61+AE54+AD68</f>
        <v>-5838876.5269992081</v>
      </c>
      <c r="AF61" s="115">
        <f t="shared" ref="AF61:AF65" si="76">AE61+AF54+AE68</f>
        <v>-6655480.2968338039</v>
      </c>
      <c r="AG61" s="115">
        <f t="shared" ref="AG61:AG65" si="77">AF61+AG54+AF68</f>
        <v>-7329639.0293117482</v>
      </c>
      <c r="AH61" s="115">
        <f t="shared" ref="AH61:AH65" si="78">AG61+AH54+AG68</f>
        <v>-8443181.2222932652</v>
      </c>
      <c r="AI61" s="115">
        <f t="shared" ref="AI61:AI65" si="79">AH61+AI54+AH68</f>
        <v>-8961991.3541362192</v>
      </c>
      <c r="AJ61" s="114">
        <f>AI61+AJ54+AI68</f>
        <v>-8562237.7351256069</v>
      </c>
      <c r="AK61" s="118">
        <f>AJ61+AK54+AJ68+AJ78</f>
        <v>-8807856.5258817095</v>
      </c>
      <c r="AL61" s="119">
        <f t="shared" si="67"/>
        <v>-10518139.26830586</v>
      </c>
    </row>
    <row r="62" spans="1:40" x14ac:dyDescent="0.25">
      <c r="A62" s="76" t="s">
        <v>4</v>
      </c>
      <c r="B62" s="114">
        <f>B55</f>
        <v>0</v>
      </c>
      <c r="C62" s="118">
        <f t="shared" ref="C62:J65" si="80">B62+C55+B69</f>
        <v>0</v>
      </c>
      <c r="D62" s="118">
        <f t="shared" si="80"/>
        <v>80396.905524086716</v>
      </c>
      <c r="E62" s="118">
        <f t="shared" si="80"/>
        <v>102813.45185985549</v>
      </c>
      <c r="F62" s="118">
        <f t="shared" si="80"/>
        <v>138526.47892182056</v>
      </c>
      <c r="G62" s="118">
        <f t="shared" si="80"/>
        <v>-166981.5220366084</v>
      </c>
      <c r="H62" s="118">
        <f t="shared" si="80"/>
        <v>-575235.63754407014</v>
      </c>
      <c r="I62" s="118">
        <f t="shared" si="80"/>
        <v>-849210.96389791986</v>
      </c>
      <c r="J62" s="118">
        <f t="shared" si="80"/>
        <v>-1275617.0144971686</v>
      </c>
      <c r="K62" s="118">
        <f t="shared" ref="K62:AL62" si="81">J62+K55+J69</f>
        <v>-1409573.1245181714</v>
      </c>
      <c r="L62" s="118">
        <f t="shared" si="81"/>
        <v>-1442918.8061106028</v>
      </c>
      <c r="M62" s="118">
        <f t="shared" si="81"/>
        <v>-1576142.6739830303</v>
      </c>
      <c r="N62" s="118">
        <f t="shared" si="81"/>
        <v>-1687725.6442405146</v>
      </c>
      <c r="O62" s="118">
        <f>N62+O55+N69+N79</f>
        <v>-1378496.5915851805</v>
      </c>
      <c r="P62" s="118">
        <f t="shared" si="81"/>
        <v>-1343601.144009212</v>
      </c>
      <c r="Q62" s="118">
        <f t="shared" si="81"/>
        <v>-1211472.5298968242</v>
      </c>
      <c r="R62" s="118">
        <f t="shared" si="81"/>
        <v>-1004877.3485251167</v>
      </c>
      <c r="S62" s="118">
        <f t="shared" si="81"/>
        <v>-801680.32903609436</v>
      </c>
      <c r="T62" s="118">
        <f t="shared" si="81"/>
        <v>-747082.308351179</v>
      </c>
      <c r="U62" s="118">
        <f t="shared" si="81"/>
        <v>-459484.21249874542</v>
      </c>
      <c r="V62" s="118">
        <f t="shared" si="81"/>
        <v>-282291.87249945168</v>
      </c>
      <c r="W62" s="115">
        <f t="shared" si="81"/>
        <v>-4137.0097106754265</v>
      </c>
      <c r="X62" s="115">
        <f t="shared" si="68"/>
        <v>153665.93228529237</v>
      </c>
      <c r="Y62" s="115">
        <f t="shared" si="69"/>
        <v>585383.48561580118</v>
      </c>
      <c r="Z62" s="115">
        <f t="shared" si="70"/>
        <v>667801.00918764272</v>
      </c>
      <c r="AA62" s="115">
        <f t="shared" si="71"/>
        <v>242102.33086920111</v>
      </c>
      <c r="AB62" s="115">
        <f t="shared" si="72"/>
        <v>96385.609443947687</v>
      </c>
      <c r="AC62" s="115">
        <f t="shared" si="73"/>
        <v>-124509.65597248398</v>
      </c>
      <c r="AD62" s="115">
        <f t="shared" si="74"/>
        <v>-189805.39601764904</v>
      </c>
      <c r="AE62" s="115">
        <f t="shared" si="75"/>
        <v>-462030.17377120256</v>
      </c>
      <c r="AF62" s="115">
        <f t="shared" si="76"/>
        <v>-638410.19851584511</v>
      </c>
      <c r="AG62" s="115">
        <f t="shared" si="77"/>
        <v>-645693.78582353052</v>
      </c>
      <c r="AH62" s="115">
        <f t="shared" si="78"/>
        <v>-830091.6672704732</v>
      </c>
      <c r="AI62" s="115">
        <f t="shared" si="79"/>
        <v>-1000695.2000234134</v>
      </c>
      <c r="AJ62" s="114">
        <f t="shared" ref="AJ62:AJ65" si="82">AI62+AJ55+AI69</f>
        <v>-1029167.3882741386</v>
      </c>
      <c r="AK62" s="118">
        <f t="shared" si="81"/>
        <v>-1105195.3317188667</v>
      </c>
      <c r="AL62" s="119">
        <f t="shared" si="81"/>
        <v>-806630.79139668355</v>
      </c>
    </row>
    <row r="63" spans="1:40" x14ac:dyDescent="0.25">
      <c r="A63" s="76" t="s">
        <v>5</v>
      </c>
      <c r="B63" s="114">
        <f>B56</f>
        <v>0</v>
      </c>
      <c r="C63" s="118">
        <f t="shared" si="80"/>
        <v>0</v>
      </c>
      <c r="D63" s="118">
        <f t="shared" si="80"/>
        <v>184247.82933918544</v>
      </c>
      <c r="E63" s="118">
        <f t="shared" si="80"/>
        <v>239746.06307966658</v>
      </c>
      <c r="F63" s="118">
        <f t="shared" si="80"/>
        <v>347223.76684618538</v>
      </c>
      <c r="G63" s="118">
        <f t="shared" si="80"/>
        <v>-373866.59460612811</v>
      </c>
      <c r="H63" s="118">
        <f t="shared" si="80"/>
        <v>-1298768.7578778537</v>
      </c>
      <c r="I63" s="118">
        <f t="shared" si="80"/>
        <v>-1921556.8028235878</v>
      </c>
      <c r="J63" s="118">
        <f t="shared" si="80"/>
        <v>-2933611.5707220067</v>
      </c>
      <c r="K63" s="118">
        <f t="shared" ref="K63:AL63" si="83">J63+K56+J70</f>
        <v>-3262107.9240275351</v>
      </c>
      <c r="L63" s="118">
        <f t="shared" si="83"/>
        <v>-3347467.7467627646</v>
      </c>
      <c r="M63" s="118">
        <f t="shared" si="83"/>
        <v>-3648540.3155675363</v>
      </c>
      <c r="N63" s="118">
        <f t="shared" si="83"/>
        <v>-3888875.9796365574</v>
      </c>
      <c r="O63" s="118">
        <f>N63+O56+N70+N80</f>
        <v>-3083427.2186984839</v>
      </c>
      <c r="P63" s="118">
        <f t="shared" si="83"/>
        <v>-3013119.2398183146</v>
      </c>
      <c r="Q63" s="118">
        <f t="shared" si="83"/>
        <v>-2702118.3462942205</v>
      </c>
      <c r="R63" s="118">
        <f t="shared" si="83"/>
        <v>-2190714.3151475703</v>
      </c>
      <c r="S63" s="118">
        <f t="shared" si="83"/>
        <v>-1712851.1106762041</v>
      </c>
      <c r="T63" s="118">
        <f t="shared" si="83"/>
        <v>-1602888.6006580628</v>
      </c>
      <c r="U63" s="118">
        <f t="shared" si="83"/>
        <v>-958785.54231824819</v>
      </c>
      <c r="V63" s="118">
        <f t="shared" si="83"/>
        <v>-544710.04664233013</v>
      </c>
      <c r="W63" s="115">
        <f t="shared" si="83"/>
        <v>122943.25303877279</v>
      </c>
      <c r="X63" s="115">
        <f t="shared" si="68"/>
        <v>499353.29037138692</v>
      </c>
      <c r="Y63" s="115">
        <f t="shared" si="69"/>
        <v>1489940.4573800988</v>
      </c>
      <c r="Z63" s="115">
        <f t="shared" si="70"/>
        <v>1660794.1605223157</v>
      </c>
      <c r="AA63" s="115">
        <f t="shared" si="71"/>
        <v>774644.12372217688</v>
      </c>
      <c r="AB63" s="115">
        <f t="shared" si="72"/>
        <v>443924.13154576148</v>
      </c>
      <c r="AC63" s="115">
        <f t="shared" si="73"/>
        <v>-65653.860542315306</v>
      </c>
      <c r="AD63" s="115">
        <f t="shared" si="74"/>
        <v>-236965.032160884</v>
      </c>
      <c r="AE63" s="115">
        <f t="shared" si="75"/>
        <v>-886941.87713201239</v>
      </c>
      <c r="AF63" s="115">
        <f t="shared" si="76"/>
        <v>-1294913.8291460997</v>
      </c>
      <c r="AG63" s="115">
        <f t="shared" si="77"/>
        <v>-1322563.6424017348</v>
      </c>
      <c r="AH63" s="115">
        <f t="shared" si="78"/>
        <v>-1771460.1514402423</v>
      </c>
      <c r="AI63" s="115">
        <f t="shared" si="79"/>
        <v>-2197441.0514962152</v>
      </c>
      <c r="AJ63" s="114">
        <f t="shared" si="82"/>
        <v>-2274336.6181345568</v>
      </c>
      <c r="AK63" s="118">
        <f t="shared" si="83"/>
        <v>-2453669.9059435986</v>
      </c>
      <c r="AL63" s="119">
        <f t="shared" si="83"/>
        <v>-1840163.086673632</v>
      </c>
    </row>
    <row r="64" spans="1:40" x14ac:dyDescent="0.25">
      <c r="A64" s="76" t="s">
        <v>6</v>
      </c>
      <c r="B64" s="114">
        <f>B57</f>
        <v>0</v>
      </c>
      <c r="C64" s="118">
        <f t="shared" si="80"/>
        <v>0</v>
      </c>
      <c r="D64" s="118">
        <f t="shared" si="80"/>
        <v>76446.845496259717</v>
      </c>
      <c r="E64" s="118">
        <f t="shared" si="80"/>
        <v>101418.91784118135</v>
      </c>
      <c r="F64" s="118">
        <f t="shared" si="80"/>
        <v>139530.53682996024</v>
      </c>
      <c r="G64" s="118">
        <f t="shared" si="80"/>
        <v>-118797.95866002348</v>
      </c>
      <c r="H64" s="118">
        <f t="shared" si="80"/>
        <v>-506313.86538267171</v>
      </c>
      <c r="I64" s="118">
        <f t="shared" si="80"/>
        <v>-760557.32470014202</v>
      </c>
      <c r="J64" s="118">
        <f t="shared" si="80"/>
        <v>-1206770.5725644981</v>
      </c>
      <c r="K64" s="118">
        <f t="shared" ref="K64:AL64" si="84">J64+K57+J71</f>
        <v>-1346538.2121681424</v>
      </c>
      <c r="L64" s="118">
        <f t="shared" si="84"/>
        <v>-1384282.0669951139</v>
      </c>
      <c r="M64" s="118">
        <f t="shared" si="84"/>
        <v>-1514314.6421503103</v>
      </c>
      <c r="N64" s="118">
        <f t="shared" si="84"/>
        <v>-1616506.4047370318</v>
      </c>
      <c r="O64" s="118">
        <f>N64+O57+N71+N81</f>
        <v>-1309206.877318915</v>
      </c>
      <c r="P64" s="118">
        <f t="shared" si="84"/>
        <v>-1278897.8893600819</v>
      </c>
      <c r="Q64" s="118">
        <f t="shared" si="84"/>
        <v>-1133513.807748754</v>
      </c>
      <c r="R64" s="118">
        <f t="shared" si="84"/>
        <v>-897902.48844920751</v>
      </c>
      <c r="S64" s="118">
        <f t="shared" si="84"/>
        <v>-674766.40212578501</v>
      </c>
      <c r="T64" s="118">
        <f t="shared" si="84"/>
        <v>-628231.88200496754</v>
      </c>
      <c r="U64" s="118">
        <f t="shared" si="84"/>
        <v>-348258.24469140184</v>
      </c>
      <c r="V64" s="118">
        <f t="shared" si="84"/>
        <v>-164376.30719367819</v>
      </c>
      <c r="W64" s="115">
        <f t="shared" si="84"/>
        <v>137520.43727339146</v>
      </c>
      <c r="X64" s="115">
        <f t="shared" si="68"/>
        <v>308553.27014866745</v>
      </c>
      <c r="Y64" s="115">
        <f t="shared" si="69"/>
        <v>759209.95408458391</v>
      </c>
      <c r="Z64" s="115">
        <f t="shared" si="70"/>
        <v>818356.90786013415</v>
      </c>
      <c r="AA64" s="115">
        <f t="shared" si="71"/>
        <v>491302.73827720131</v>
      </c>
      <c r="AB64" s="115">
        <f t="shared" si="72"/>
        <v>330661.76084279275</v>
      </c>
      <c r="AC64" s="115">
        <f t="shared" si="73"/>
        <v>106859.08413861504</v>
      </c>
      <c r="AD64" s="115">
        <f t="shared" si="74"/>
        <v>14712.411763822518</v>
      </c>
      <c r="AE64" s="115">
        <f t="shared" si="75"/>
        <v>-284088.79489977966</v>
      </c>
      <c r="AF64" s="115">
        <f t="shared" si="76"/>
        <v>-471345.99894447549</v>
      </c>
      <c r="AG64" s="115">
        <f t="shared" si="77"/>
        <v>-493066.82996370061</v>
      </c>
      <c r="AH64" s="115">
        <f t="shared" si="78"/>
        <v>-695676.3538476259</v>
      </c>
      <c r="AI64" s="115">
        <f t="shared" si="79"/>
        <v>-899181.70677924249</v>
      </c>
      <c r="AJ64" s="114">
        <f t="shared" si="82"/>
        <v>-942082.03712009522</v>
      </c>
      <c r="AK64" s="118">
        <f t="shared" si="84"/>
        <v>-1029356.874514123</v>
      </c>
      <c r="AL64" s="119">
        <f t="shared" si="84"/>
        <v>-771688.95536323823</v>
      </c>
    </row>
    <row r="65" spans="1:38" x14ac:dyDescent="0.25">
      <c r="A65" s="76" t="s">
        <v>7</v>
      </c>
      <c r="B65" s="114">
        <f>B58</f>
        <v>0</v>
      </c>
      <c r="C65" s="118">
        <f t="shared" si="80"/>
        <v>0</v>
      </c>
      <c r="D65" s="118">
        <f t="shared" si="80"/>
        <v>39321.070126562699</v>
      </c>
      <c r="E65" s="118">
        <f t="shared" si="80"/>
        <v>51964.190221674493</v>
      </c>
      <c r="F65" s="118">
        <f t="shared" si="80"/>
        <v>91306.855708299874</v>
      </c>
      <c r="G65" s="118">
        <f t="shared" si="80"/>
        <v>37512.667578153996</v>
      </c>
      <c r="H65" s="118">
        <f t="shared" si="80"/>
        <v>-159861.58413849736</v>
      </c>
      <c r="I65" s="118">
        <f t="shared" si="80"/>
        <v>-293853.76947427733</v>
      </c>
      <c r="J65" s="118">
        <f t="shared" si="80"/>
        <v>-531928.45316705783</v>
      </c>
      <c r="K65" s="118">
        <f t="shared" ref="K65:AL65" si="85">J65+K58+J72</f>
        <v>-608992.47593978513</v>
      </c>
      <c r="L65" s="118">
        <f t="shared" si="85"/>
        <v>-628936.32732313976</v>
      </c>
      <c r="M65" s="118">
        <f t="shared" si="85"/>
        <v>-693542.36948293773</v>
      </c>
      <c r="N65" s="118">
        <f t="shared" si="85"/>
        <v>-744095.99512602703</v>
      </c>
      <c r="O65" s="118">
        <f>N65+O58+N72+N82</f>
        <v>-790294.40789481672</v>
      </c>
      <c r="P65" s="118">
        <f t="shared" si="85"/>
        <v>-770902.52109743224</v>
      </c>
      <c r="Q65" s="118">
        <f t="shared" si="85"/>
        <v>-693290.35676885</v>
      </c>
      <c r="R65" s="118">
        <f t="shared" si="85"/>
        <v>-570113.1914929006</v>
      </c>
      <c r="S65" s="118">
        <f t="shared" si="85"/>
        <v>-447759.91543479328</v>
      </c>
      <c r="T65" s="118">
        <f t="shared" si="85"/>
        <v>-418463.66976305988</v>
      </c>
      <c r="U65" s="118">
        <f t="shared" si="85"/>
        <v>-264158.00746715942</v>
      </c>
      <c r="V65" s="118">
        <f t="shared" si="85"/>
        <v>-161794.06694364158</v>
      </c>
      <c r="W65" s="115">
        <f t="shared" si="85"/>
        <v>-2151.804620284614</v>
      </c>
      <c r="X65" s="115">
        <f t="shared" si="68"/>
        <v>101802.84269771191</v>
      </c>
      <c r="Y65" s="115">
        <f t="shared" si="69"/>
        <v>319390.02627035143</v>
      </c>
      <c r="Z65" s="115">
        <f t="shared" si="70"/>
        <v>361043.17309787968</v>
      </c>
      <c r="AA65" s="115">
        <f t="shared" si="71"/>
        <v>312579.59658586216</v>
      </c>
      <c r="AB65" s="115">
        <f t="shared" si="72"/>
        <v>231811.63071746493</v>
      </c>
      <c r="AC65" s="115">
        <f t="shared" si="73"/>
        <v>118410.22888090691</v>
      </c>
      <c r="AD65" s="115">
        <f t="shared" si="74"/>
        <v>67214.668168635195</v>
      </c>
      <c r="AE65" s="115">
        <f t="shared" si="75"/>
        <v>-85524.972925006194</v>
      </c>
      <c r="AF65" s="115">
        <f t="shared" si="76"/>
        <v>-107981.63597222567</v>
      </c>
      <c r="AG65" s="115">
        <f t="shared" si="77"/>
        <v>-113857.88118093793</v>
      </c>
      <c r="AH65" s="115">
        <f t="shared" si="78"/>
        <v>-207149.12613623499</v>
      </c>
      <c r="AI65" s="115">
        <f t="shared" si="79"/>
        <v>-303353.17004288215</v>
      </c>
      <c r="AJ65" s="114">
        <f t="shared" si="82"/>
        <v>-321436.80426238145</v>
      </c>
      <c r="AK65" s="118">
        <f t="shared" si="85"/>
        <v>-359871.00561490201</v>
      </c>
      <c r="AL65" s="119">
        <f t="shared" si="85"/>
        <v>-233962.76528496476</v>
      </c>
    </row>
    <row r="66" spans="1:38" x14ac:dyDescent="0.25">
      <c r="B66" s="104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2"/>
      <c r="AK66" s="103"/>
      <c r="AL66" s="106"/>
    </row>
    <row r="67" spans="1:38" x14ac:dyDescent="0.25">
      <c r="A67" s="76" t="s">
        <v>68</v>
      </c>
      <c r="B67" s="127">
        <v>0</v>
      </c>
      <c r="C67" s="128">
        <v>0</v>
      </c>
      <c r="D67" s="128">
        <f>0.731972%/12</f>
        <v>6.0997666666666656E-4</v>
      </c>
      <c r="E67" s="128">
        <f>0.745569%/12</f>
        <v>6.2130750000000004E-4</v>
      </c>
      <c r="F67" s="128">
        <f>0.755794%/12</f>
        <v>6.2982833333333329E-4</v>
      </c>
      <c r="G67" s="128">
        <f>0.626322%/12</f>
        <v>5.2193500000000006E-4</v>
      </c>
      <c r="H67" s="128">
        <f>0.629043%/12</f>
        <v>5.2420250000000004E-4</v>
      </c>
      <c r="I67" s="128">
        <f>0.764566%/12</f>
        <v>6.3713833333333325E-4</v>
      </c>
      <c r="J67" s="128">
        <f>0.75546%/12</f>
        <v>6.2954999999999999E-4</v>
      </c>
      <c r="K67" s="213">
        <f>0.76017%/12</f>
        <v>6.3347499999999999E-4</v>
      </c>
      <c r="L67" s="213">
        <f>0.764145%/12</f>
        <v>6.3678749999999994E-4</v>
      </c>
      <c r="M67" s="213">
        <f>0.962204%/12</f>
        <v>8.0183666666666664E-4</v>
      </c>
      <c r="N67" s="213">
        <f>0.9%/12</f>
        <v>7.5000000000000012E-4</v>
      </c>
      <c r="O67" s="213">
        <f>0.9%/12</f>
        <v>7.5000000000000012E-4</v>
      </c>
      <c r="P67" s="213">
        <f>1.15%/12</f>
        <v>9.5833333333333328E-4</v>
      </c>
      <c r="Q67" s="213">
        <f>1.15%/12</f>
        <v>9.5833333333333328E-4</v>
      </c>
      <c r="R67" s="213">
        <f>1.15%/12</f>
        <v>9.5833333333333328E-4</v>
      </c>
      <c r="S67" s="213">
        <f>1.41%/12</f>
        <v>1.175E-3</v>
      </c>
      <c r="T67" s="213">
        <f>1.39185%/12</f>
        <v>1.1598750000000001E-3</v>
      </c>
      <c r="U67" s="213">
        <f>1.466976%/12</f>
        <v>1.22248E-3</v>
      </c>
      <c r="V67" s="213">
        <f>1.448276%/12</f>
        <v>1.2068966666666666E-3</v>
      </c>
      <c r="W67" s="213">
        <f>1.45083%/12</f>
        <v>1.2090250000000001E-3</v>
      </c>
      <c r="X67" s="213">
        <f>1.4428689%/12</f>
        <v>1.2023907500000001E-3</v>
      </c>
      <c r="Y67" s="213">
        <f>1.773541%/12</f>
        <v>1.4779508333333333E-3</v>
      </c>
      <c r="Z67" s="213">
        <f>1.715386%/12</f>
        <v>1.4294883333333334E-3</v>
      </c>
      <c r="AA67" s="213">
        <f>1.827566%/12</f>
        <v>1.5229716666666667E-3</v>
      </c>
      <c r="AB67" s="213">
        <f>2.053946%/12</f>
        <v>1.7116216666666665E-3</v>
      </c>
      <c r="AC67" s="213">
        <f>2.311196%/12</f>
        <v>1.9259966666666664E-3</v>
      </c>
      <c r="AD67" s="213">
        <f>2.198795%/12</f>
        <v>1.8323291666666665E-3</v>
      </c>
      <c r="AE67" s="213">
        <f>2.279561%/12</f>
        <v>1.8996341666666667E-3</v>
      </c>
      <c r="AF67" s="213">
        <f>2.347169%/12</f>
        <v>1.9559741666666667E-3</v>
      </c>
      <c r="AG67" s="213">
        <f>2.325446%/12</f>
        <v>1.9378716666666664E-3</v>
      </c>
      <c r="AH67" s="213">
        <f>2.328962%/12</f>
        <v>1.9408016666666668E-3</v>
      </c>
      <c r="AI67" s="213">
        <f>2.457413%/12</f>
        <v>2.0478441666666666E-3</v>
      </c>
      <c r="AJ67" s="127">
        <f>+AI67</f>
        <v>2.0478441666666666E-3</v>
      </c>
      <c r="AK67" s="128">
        <f>+AJ67</f>
        <v>2.0478441666666666E-3</v>
      </c>
      <c r="AL67" s="214">
        <f>+AK67</f>
        <v>2.0478441666666666E-3</v>
      </c>
    </row>
    <row r="68" spans="1:38" x14ac:dyDescent="0.25">
      <c r="A68" s="76" t="s">
        <v>0</v>
      </c>
      <c r="B68" s="114">
        <f t="shared" ref="B68:U68" si="86">B61*B$67</f>
        <v>0</v>
      </c>
      <c r="C68" s="118">
        <f t="shared" si="86"/>
        <v>0</v>
      </c>
      <c r="D68" s="118">
        <f t="shared" si="86"/>
        <v>66.58813911876031</v>
      </c>
      <c r="E68" s="118">
        <f>E61*E$67</f>
        <v>366.55468571919539</v>
      </c>
      <c r="F68" s="118">
        <f t="shared" si="86"/>
        <v>1024.0370055520584</v>
      </c>
      <c r="G68" s="118">
        <f t="shared" si="86"/>
        <v>433.68014468042247</v>
      </c>
      <c r="H68" s="118">
        <f t="shared" si="86"/>
        <v>-67.66650429984054</v>
      </c>
      <c r="I68" s="118">
        <f t="shared" si="86"/>
        <v>-6.1445713563721522</v>
      </c>
      <c r="J68" s="118">
        <f t="shared" si="86"/>
        <v>-415.77452941606469</v>
      </c>
      <c r="K68" s="118">
        <f>K61*K$67</f>
        <v>-238.95521029651152</v>
      </c>
      <c r="L68" s="118">
        <f t="shared" si="86"/>
        <v>242.57733901249225</v>
      </c>
      <c r="M68" s="118">
        <f t="shared" si="86"/>
        <v>227.30271727273032</v>
      </c>
      <c r="N68" s="118">
        <f>N61*N$67</f>
        <v>-434.22056138306897</v>
      </c>
      <c r="O68" s="118">
        <f>O61*O$67</f>
        <v>1171.1583222504892</v>
      </c>
      <c r="P68" s="118">
        <f t="shared" si="86"/>
        <v>1344.7160526241078</v>
      </c>
      <c r="Q68" s="118">
        <f t="shared" si="86"/>
        <v>517.60159100380099</v>
      </c>
      <c r="R68" s="118">
        <f t="shared" si="86"/>
        <v>1327.111941395975</v>
      </c>
      <c r="S68" s="118">
        <f t="shared" si="86"/>
        <v>2239.7503795833513</v>
      </c>
      <c r="T68" s="118">
        <f t="shared" si="86"/>
        <v>989.67576234001217</v>
      </c>
      <c r="U68" s="118">
        <f t="shared" si="86"/>
        <v>962.37053468666534</v>
      </c>
      <c r="V68" s="118">
        <f t="shared" ref="V68:W72" si="87">V61*V$67</f>
        <v>791.38440444727962</v>
      </c>
      <c r="W68" s="115">
        <f t="shared" si="87"/>
        <v>758.31150563088249</v>
      </c>
      <c r="X68" s="115">
        <f>X61*X$67-3196*(X28/SUM($X$28:$X$32))</f>
        <v>-683.56181872300442</v>
      </c>
      <c r="Y68" s="115">
        <f t="shared" ref="Y68:AH68" si="88">Y61*Y$67</f>
        <v>575.74653241810086</v>
      </c>
      <c r="Z68" s="115">
        <f t="shared" si="88"/>
        <v>-2034.5533906304888</v>
      </c>
      <c r="AA68" s="115">
        <f t="shared" si="88"/>
        <v>-4559.9881361819307</v>
      </c>
      <c r="AB68" s="115">
        <f t="shared" si="88"/>
        <v>-6954.7267417351886</v>
      </c>
      <c r="AC68" s="115">
        <f t="shared" si="88"/>
        <v>-9209.9339783663399</v>
      </c>
      <c r="AD68" s="115">
        <f t="shared" si="88"/>
        <v>-9661.424289912271</v>
      </c>
      <c r="AE68" s="115">
        <f t="shared" si="88"/>
        <v>-11091.729345635702</v>
      </c>
      <c r="AF68" s="115">
        <f t="shared" si="88"/>
        <v>-13017.947527365919</v>
      </c>
      <c r="AG68" s="115">
        <f t="shared" si="88"/>
        <v>-14203.899801797405</v>
      </c>
      <c r="AH68" s="115">
        <f t="shared" si="88"/>
        <v>-16386.540188195475</v>
      </c>
      <c r="AI68" s="115">
        <f t="shared" ref="AI68" si="89">AI61*AI$67</f>
        <v>-18352.761716284956</v>
      </c>
      <c r="AJ68" s="114">
        <f>AJ61*AJ$67</f>
        <v>-17534.128599490185</v>
      </c>
      <c r="AK68" s="118">
        <f t="shared" ref="AJ68:AL72" si="90">AK61*AK$67</f>
        <v>-18037.117607363791</v>
      </c>
      <c r="AL68" s="119">
        <f t="shared" si="90"/>
        <v>-21539.510144787757</v>
      </c>
    </row>
    <row r="69" spans="1:38" x14ac:dyDescent="0.25">
      <c r="A69" s="76" t="s">
        <v>4</v>
      </c>
      <c r="B69" s="114">
        <f t="shared" ref="B69:J72" si="91">B62*B$67</f>
        <v>0</v>
      </c>
      <c r="C69" s="118">
        <f t="shared" si="91"/>
        <v>0</v>
      </c>
      <c r="D69" s="118">
        <f t="shared" si="91"/>
        <v>49.040236441897328</v>
      </c>
      <c r="E69" s="118">
        <f t="shared" si="91"/>
        <v>63.878768741417169</v>
      </c>
      <c r="F69" s="118">
        <f t="shared" si="91"/>
        <v>87.247901341865372</v>
      </c>
      <c r="G69" s="118">
        <f t="shared" si="91"/>
        <v>-87.153500704177219</v>
      </c>
      <c r="H69" s="118">
        <f t="shared" si="91"/>
        <v>-301.53995928969545</v>
      </c>
      <c r="I69" s="118">
        <f t="shared" si="91"/>
        <v>-541.06485818631404</v>
      </c>
      <c r="J69" s="118">
        <f t="shared" si="91"/>
        <v>-803.06469147669247</v>
      </c>
      <c r="K69" s="118">
        <f>K62*K$67</f>
        <v>-892.92933505414862</v>
      </c>
      <c r="L69" s="118">
        <f t="shared" ref="L69:U69" si="92">L62*L$67</f>
        <v>-918.83265924615534</v>
      </c>
      <c r="M69" s="118">
        <f t="shared" si="92"/>
        <v>-1263.8089878976396</v>
      </c>
      <c r="N69" s="118">
        <f t="shared" si="92"/>
        <v>-1265.7942331803861</v>
      </c>
      <c r="O69" s="118">
        <f t="shared" si="92"/>
        <v>-1033.8724436888856</v>
      </c>
      <c r="P69" s="118">
        <f t="shared" si="92"/>
        <v>-1287.6177630088282</v>
      </c>
      <c r="Q69" s="118">
        <f t="shared" si="92"/>
        <v>-1160.9945078177898</v>
      </c>
      <c r="R69" s="118">
        <f t="shared" si="92"/>
        <v>-963.00745900323682</v>
      </c>
      <c r="S69" s="118">
        <f t="shared" si="92"/>
        <v>-941.97438661741091</v>
      </c>
      <c r="T69" s="118">
        <f t="shared" si="92"/>
        <v>-866.52209239882382</v>
      </c>
      <c r="U69" s="118">
        <f t="shared" si="92"/>
        <v>-561.71026009546631</v>
      </c>
      <c r="V69" s="118">
        <f t="shared" si="87"/>
        <v>-340.69711994667989</v>
      </c>
      <c r="W69" s="115">
        <f t="shared" si="87"/>
        <v>-5.0017481654493574</v>
      </c>
      <c r="X69" s="115">
        <f>X62*X$67-3196*(X29/SUM($X$28:$X$32))</f>
        <v>-186.92564783031244</v>
      </c>
      <c r="Y69" s="115">
        <f t="shared" ref="Y69:AH69" si="93">Y62*Y$67</f>
        <v>865.16801038544475</v>
      </c>
      <c r="Z69" s="115">
        <f t="shared" si="93"/>
        <v>954.61375162196146</v>
      </c>
      <c r="AA69" s="115">
        <f t="shared" si="93"/>
        <v>368.71499034775201</v>
      </c>
      <c r="AB69" s="115">
        <f t="shared" si="93"/>
        <v>164.97569747913212</v>
      </c>
      <c r="AC69" s="115">
        <f t="shared" si="93"/>
        <v>-239.80518237081753</v>
      </c>
      <c r="AD69" s="115">
        <f t="shared" si="93"/>
        <v>-347.78596311385547</v>
      </c>
      <c r="AE69" s="115">
        <f t="shared" si="93"/>
        <v>-877.68830412671355</v>
      </c>
      <c r="AF69" s="115">
        <f t="shared" si="93"/>
        <v>-1248.7138560335313</v>
      </c>
      <c r="AG69" s="115">
        <f t="shared" si="93"/>
        <v>-1251.2716928901546</v>
      </c>
      <c r="AH69" s="115">
        <f t="shared" si="93"/>
        <v>-1611.0432913246466</v>
      </c>
      <c r="AI69" s="115">
        <f t="shared" ref="AI69" si="94">AI62*AI$67</f>
        <v>-2049.2678279792804</v>
      </c>
      <c r="AJ69" s="114">
        <f t="shared" si="90"/>
        <v>-2107.574432600763</v>
      </c>
      <c r="AK69" s="118">
        <f t="shared" si="90"/>
        <v>-2263.267813087713</v>
      </c>
      <c r="AL69" s="119">
        <f t="shared" si="90"/>
        <v>-1651.8541608154153</v>
      </c>
    </row>
    <row r="70" spans="1:38" x14ac:dyDescent="0.25">
      <c r="A70" s="76" t="s">
        <v>5</v>
      </c>
      <c r="B70" s="114">
        <f t="shared" si="91"/>
        <v>0</v>
      </c>
      <c r="C70" s="118">
        <f t="shared" si="91"/>
        <v>0</v>
      </c>
      <c r="D70" s="118">
        <f t="shared" si="91"/>
        <v>112.38687678088519</v>
      </c>
      <c r="E70" s="118">
        <f t="shared" si="91"/>
        <v>148.95602708686997</v>
      </c>
      <c r="F70" s="118">
        <f t="shared" si="91"/>
        <v>218.69136636645484</v>
      </c>
      <c r="G70" s="118">
        <f t="shared" si="91"/>
        <v>-195.1340610557495</v>
      </c>
      <c r="H70" s="118">
        <f t="shared" si="91"/>
        <v>-680.81782980146568</v>
      </c>
      <c r="I70" s="118">
        <f t="shared" si="91"/>
        <v>-1224.2974987563491</v>
      </c>
      <c r="J70" s="118">
        <f t="shared" si="91"/>
        <v>-1846.8551643480394</v>
      </c>
      <c r="K70" s="118">
        <f>K63*K$67</f>
        <v>-2066.4638171733427</v>
      </c>
      <c r="L70" s="118">
        <f t="shared" ref="L70:U70" si="95">L63*L$67</f>
        <v>-2131.6256177916939</v>
      </c>
      <c r="M70" s="118">
        <f t="shared" si="95"/>
        <v>-2925.5334048336213</v>
      </c>
      <c r="N70" s="118">
        <f t="shared" si="95"/>
        <v>-2916.6569847274186</v>
      </c>
      <c r="O70" s="118">
        <f t="shared" si="95"/>
        <v>-2312.5704140238631</v>
      </c>
      <c r="P70" s="118">
        <f t="shared" si="95"/>
        <v>-2887.5726048258848</v>
      </c>
      <c r="Q70" s="118">
        <f t="shared" si="95"/>
        <v>-2589.5300818652945</v>
      </c>
      <c r="R70" s="118">
        <f t="shared" si="95"/>
        <v>-2099.4345520164215</v>
      </c>
      <c r="S70" s="118">
        <f t="shared" si="95"/>
        <v>-2012.6000550445399</v>
      </c>
      <c r="T70" s="118">
        <f t="shared" si="95"/>
        <v>-1859.1504156882709</v>
      </c>
      <c r="U70" s="118">
        <f t="shared" si="95"/>
        <v>-1172.0961497732121</v>
      </c>
      <c r="V70" s="118">
        <f t="shared" si="87"/>
        <v>-657.40873959247267</v>
      </c>
      <c r="W70" s="115">
        <f t="shared" si="87"/>
        <v>148.64146650520229</v>
      </c>
      <c r="X70" s="115">
        <f>X63*X$67-3196*(X30/SUM($X$28:$X$32))</f>
        <v>-312.91876162445351</v>
      </c>
      <c r="Y70" s="115">
        <f t="shared" ref="Y70:AH70" si="96">Y63*Y$67</f>
        <v>2202.0587406019649</v>
      </c>
      <c r="Z70" s="115">
        <f t="shared" si="96"/>
        <v>2374.0858765347775</v>
      </c>
      <c r="AA70" s="115">
        <f t="shared" si="96"/>
        <v>1179.7610521787033</v>
      </c>
      <c r="AB70" s="115">
        <f t="shared" si="96"/>
        <v>759.83016190990872</v>
      </c>
      <c r="AC70" s="115">
        <f t="shared" si="96"/>
        <v>-126.44911655829746</v>
      </c>
      <c r="AD70" s="115">
        <f t="shared" si="96"/>
        <v>-434.1979399084924</v>
      </c>
      <c r="AE70" s="115">
        <f t="shared" si="96"/>
        <v>-1684.8650936474394</v>
      </c>
      <c r="AF70" s="115">
        <f t="shared" si="96"/>
        <v>-2532.8179978691846</v>
      </c>
      <c r="AG70" s="115">
        <f t="shared" si="96"/>
        <v>-2562.9586099737867</v>
      </c>
      <c r="AH70" s="115">
        <f t="shared" si="96"/>
        <v>-3438.0528143488082</v>
      </c>
      <c r="AI70" s="115">
        <f t="shared" ref="AI70" si="97">AI63*AI$67</f>
        <v>-4500.0168389003902</v>
      </c>
      <c r="AJ70" s="114">
        <f t="shared" si="90"/>
        <v>-4657.4869764832465</v>
      </c>
      <c r="AK70" s="118">
        <f t="shared" si="90"/>
        <v>-5024.7336038121466</v>
      </c>
      <c r="AL70" s="119">
        <f t="shared" si="90"/>
        <v>-3768.3672427599249</v>
      </c>
    </row>
    <row r="71" spans="1:38" x14ac:dyDescent="0.25">
      <c r="A71" s="76" t="s">
        <v>6</v>
      </c>
      <c r="B71" s="114">
        <f t="shared" si="91"/>
        <v>0</v>
      </c>
      <c r="C71" s="118">
        <f t="shared" si="91"/>
        <v>0</v>
      </c>
      <c r="D71" s="118">
        <f t="shared" si="91"/>
        <v>46.630791992990176</v>
      </c>
      <c r="E71" s="118">
        <f t="shared" si="91"/>
        <v>63.012334296609787</v>
      </c>
      <c r="F71" s="118">
        <f t="shared" si="91"/>
        <v>87.880285460719136</v>
      </c>
      <c r="G71" s="118">
        <f t="shared" si="91"/>
        <v>-62.004812553219359</v>
      </c>
      <c r="H71" s="118">
        <f t="shared" si="91"/>
        <v>-265.41099401826</v>
      </c>
      <c r="I71" s="118">
        <f t="shared" si="91"/>
        <v>-484.58022626390726</v>
      </c>
      <c r="J71" s="118">
        <f t="shared" si="91"/>
        <v>-759.72241395797971</v>
      </c>
      <c r="K71" s="118">
        <f>K64*K$67</f>
        <v>-852.99829395321399</v>
      </c>
      <c r="L71" s="118">
        <f t="shared" ref="L71:U71" si="98">L64*L$67</f>
        <v>-881.49351673665103</v>
      </c>
      <c r="M71" s="118">
        <f t="shared" si="98"/>
        <v>-1214.233004946331</v>
      </c>
      <c r="N71" s="118">
        <f t="shared" si="98"/>
        <v>-1212.3798035527741</v>
      </c>
      <c r="O71" s="118">
        <f t="shared" si="98"/>
        <v>-981.90515798918636</v>
      </c>
      <c r="P71" s="118">
        <f t="shared" si="98"/>
        <v>-1225.6104773034117</v>
      </c>
      <c r="Q71" s="118">
        <f t="shared" si="98"/>
        <v>-1086.2840657592226</v>
      </c>
      <c r="R71" s="118">
        <f t="shared" si="98"/>
        <v>-860.48988476382385</v>
      </c>
      <c r="S71" s="118">
        <f t="shared" si="98"/>
        <v>-792.85052249779744</v>
      </c>
      <c r="T71" s="118">
        <f t="shared" si="98"/>
        <v>-728.67045414051177</v>
      </c>
      <c r="U71" s="118">
        <f t="shared" si="98"/>
        <v>-425.73873897034491</v>
      </c>
      <c r="V71" s="118">
        <f t="shared" si="87"/>
        <v>-198.38521723102622</v>
      </c>
      <c r="W71" s="115">
        <f t="shared" si="87"/>
        <v>166.26564667446212</v>
      </c>
      <c r="X71" s="115">
        <f>X64*X$67-3196*(X31/SUM($X$28:$X$32))</f>
        <v>-42.631534121866594</v>
      </c>
      <c r="Y71" s="115">
        <f t="shared" ref="Y71:AH71" si="99">Y64*Y$67</f>
        <v>1122.0749843142726</v>
      </c>
      <c r="Z71" s="115">
        <f t="shared" si="99"/>
        <v>1169.8316522888035</v>
      </c>
      <c r="AA71" s="115">
        <f t="shared" si="99"/>
        <v>748.2401501519264</v>
      </c>
      <c r="AB71" s="115">
        <f t="shared" si="99"/>
        <v>565.96783419667565</v>
      </c>
      <c r="AC71" s="115">
        <f t="shared" si="99"/>
        <v>205.81023985402541</v>
      </c>
      <c r="AD71" s="115">
        <f t="shared" si="99"/>
        <v>26.957981186861776</v>
      </c>
      <c r="AE71" s="115">
        <f t="shared" si="99"/>
        <v>-539.66478115878056</v>
      </c>
      <c r="AF71" s="115">
        <f t="shared" si="99"/>
        <v>-921.94059749708799</v>
      </c>
      <c r="AG71" s="115">
        <f t="shared" si="99"/>
        <v>-955.50023955980635</v>
      </c>
      <c r="AH71" s="115">
        <f t="shared" si="99"/>
        <v>-1350.1698270080622</v>
      </c>
      <c r="AI71" s="115">
        <f t="shared" ref="AI71" si="100">AI64*AI$67</f>
        <v>-1841.3840130012488</v>
      </c>
      <c r="AJ71" s="114">
        <f t="shared" si="90"/>
        <v>-1929.2372042378372</v>
      </c>
      <c r="AK71" s="118">
        <f t="shared" si="90"/>
        <v>-2107.9624708919787</v>
      </c>
      <c r="AL71" s="119">
        <f t="shared" si="90"/>
        <v>-1580.2987257217012</v>
      </c>
    </row>
    <row r="72" spans="1:38" ht="15.75" thickBot="1" x14ac:dyDescent="0.3">
      <c r="A72" s="76" t="s">
        <v>7</v>
      </c>
      <c r="B72" s="114">
        <f t="shared" si="91"/>
        <v>0</v>
      </c>
      <c r="C72" s="118">
        <f t="shared" si="91"/>
        <v>0</v>
      </c>
      <c r="D72" s="118">
        <f t="shared" si="91"/>
        <v>23.984935285566955</v>
      </c>
      <c r="E72" s="118">
        <f t="shared" si="91"/>
        <v>32.285741116153027</v>
      </c>
      <c r="F72" s="118">
        <f t="shared" si="91"/>
        <v>57.507644752665662</v>
      </c>
      <c r="G72" s="118">
        <f t="shared" si="91"/>
        <v>19.579174152403809</v>
      </c>
      <c r="H72" s="118">
        <f t="shared" si="91"/>
        <v>-83.799842059360671</v>
      </c>
      <c r="I72" s="118">
        <f t="shared" si="91"/>
        <v>-187.22550092655857</v>
      </c>
      <c r="J72" s="118">
        <f t="shared" si="91"/>
        <v>-334.87555769132126</v>
      </c>
      <c r="K72" s="118">
        <f>K65*K$67</f>
        <v>-385.78150869595538</v>
      </c>
      <c r="L72" s="118">
        <f t="shared" ref="L72:U72" si="101">L65*L$67</f>
        <v>-400.49879153528383</v>
      </c>
      <c r="M72" s="118">
        <f t="shared" si="101"/>
        <v>-556.10770173830053</v>
      </c>
      <c r="N72" s="118">
        <f t="shared" si="101"/>
        <v>-558.07199634452036</v>
      </c>
      <c r="O72" s="118">
        <f t="shared" si="101"/>
        <v>-592.72080592111263</v>
      </c>
      <c r="P72" s="118">
        <f t="shared" si="101"/>
        <v>-738.78158271837253</v>
      </c>
      <c r="Q72" s="118">
        <f t="shared" si="101"/>
        <v>-664.40325857014784</v>
      </c>
      <c r="R72" s="118">
        <f t="shared" si="101"/>
        <v>-546.35847518069636</v>
      </c>
      <c r="S72" s="118">
        <f t="shared" si="101"/>
        <v>-526.11790063588217</v>
      </c>
      <c r="T72" s="118">
        <f t="shared" si="101"/>
        <v>-485.36554896642912</v>
      </c>
      <c r="U72" s="118">
        <f t="shared" si="101"/>
        <v>-322.92788096845305</v>
      </c>
      <c r="V72" s="118">
        <f t="shared" si="87"/>
        <v>-195.26872008072453</v>
      </c>
      <c r="W72" s="115">
        <f t="shared" si="87"/>
        <v>-2.6015855810396054</v>
      </c>
      <c r="X72" s="115">
        <f>X65*X$67-3196*(X32/SUM($X$28:$X$32))</f>
        <v>-105.95212901331553</v>
      </c>
      <c r="Y72" s="115">
        <f t="shared" ref="Y72:AH72" si="102">Y65*Y$67</f>
        <v>472.04275548462113</v>
      </c>
      <c r="Z72" s="115">
        <f t="shared" si="102"/>
        <v>516.10700377306625</v>
      </c>
      <c r="AA72" s="115">
        <f t="shared" si="102"/>
        <v>476.04986917836482</v>
      </c>
      <c r="AB72" s="115">
        <f t="shared" si="102"/>
        <v>396.77380972134512</v>
      </c>
      <c r="AC72" s="115">
        <f t="shared" si="102"/>
        <v>228.05770612386377</v>
      </c>
      <c r="AD72" s="115">
        <f t="shared" si="102"/>
        <v>123.15939691321185</v>
      </c>
      <c r="AE72" s="115">
        <f t="shared" si="102"/>
        <v>-162.46616067158337</v>
      </c>
      <c r="AF72" s="115">
        <f t="shared" si="102"/>
        <v>-211.20929043607748</v>
      </c>
      <c r="AG72" s="115">
        <f t="shared" si="102"/>
        <v>-220.64196196723944</v>
      </c>
      <c r="AH72" s="115">
        <f t="shared" si="102"/>
        <v>-402.03536925374846</v>
      </c>
      <c r="AI72" s="115">
        <f t="shared" ref="AI72" si="103">AI65*AI$67</f>
        <v>-621.22001971215764</v>
      </c>
      <c r="AJ72" s="114">
        <f t="shared" si="90"/>
        <v>-658.25248456069301</v>
      </c>
      <c r="AK72" s="118">
        <f t="shared" si="90"/>
        <v>-736.95973960094432</v>
      </c>
      <c r="AL72" s="119">
        <f t="shared" si="90"/>
        <v>-479.11928410601757</v>
      </c>
    </row>
    <row r="73" spans="1:38" ht="16.5" thickTop="1" thickBot="1" x14ac:dyDescent="0.3">
      <c r="A73" s="130" t="s">
        <v>74</v>
      </c>
      <c r="B73" s="134">
        <f t="shared" ref="B73:AI73" si="104">SUM(B68:B72)+SUM(B61:B65)-B76</f>
        <v>0</v>
      </c>
      <c r="C73" s="135">
        <f t="shared" si="104"/>
        <v>0</v>
      </c>
      <c r="D73" s="135">
        <f t="shared" si="104"/>
        <v>0</v>
      </c>
      <c r="E73" s="135">
        <f t="shared" si="104"/>
        <v>0</v>
      </c>
      <c r="F73" s="135">
        <f t="shared" si="104"/>
        <v>0</v>
      </c>
      <c r="G73" s="135">
        <f t="shared" si="104"/>
        <v>3.7834979593753815E-10</v>
      </c>
      <c r="H73" s="135">
        <f t="shared" si="104"/>
        <v>0</v>
      </c>
      <c r="I73" s="135">
        <f t="shared" si="104"/>
        <v>0</v>
      </c>
      <c r="J73" s="135">
        <f t="shared" si="104"/>
        <v>0</v>
      </c>
      <c r="K73" s="135">
        <f t="shared" si="104"/>
        <v>0</v>
      </c>
      <c r="L73" s="135">
        <f t="shared" si="104"/>
        <v>0</v>
      </c>
      <c r="M73" s="135">
        <f t="shared" si="104"/>
        <v>0</v>
      </c>
      <c r="N73" s="135">
        <f t="shared" si="104"/>
        <v>0</v>
      </c>
      <c r="O73" s="135">
        <f t="shared" si="104"/>
        <v>0</v>
      </c>
      <c r="P73" s="135">
        <f t="shared" si="104"/>
        <v>0</v>
      </c>
      <c r="Q73" s="135">
        <f t="shared" si="104"/>
        <v>0</v>
      </c>
      <c r="R73" s="135">
        <f t="shared" si="104"/>
        <v>0</v>
      </c>
      <c r="S73" s="135">
        <f t="shared" si="104"/>
        <v>2.0954757928848267E-9</v>
      </c>
      <c r="T73" s="135">
        <f t="shared" si="104"/>
        <v>0</v>
      </c>
      <c r="U73" s="135">
        <f t="shared" si="104"/>
        <v>3.7252902984619141E-9</v>
      </c>
      <c r="V73" s="135">
        <f t="shared" si="104"/>
        <v>2.9103830456733704E-9</v>
      </c>
      <c r="W73" s="160">
        <f t="shared" si="104"/>
        <v>3.8417056202888489E-9</v>
      </c>
      <c r="X73" s="160">
        <f t="shared" si="104"/>
        <v>3.9581209421157837E-9</v>
      </c>
      <c r="Y73" s="160">
        <f t="shared" si="104"/>
        <v>0</v>
      </c>
      <c r="Z73" s="160">
        <f t="shared" si="104"/>
        <v>2.7939677238464355E-9</v>
      </c>
      <c r="AA73" s="160">
        <f t="shared" si="104"/>
        <v>0</v>
      </c>
      <c r="AB73" s="160">
        <f t="shared" si="104"/>
        <v>0</v>
      </c>
      <c r="AC73" s="160">
        <f t="shared" si="104"/>
        <v>0</v>
      </c>
      <c r="AD73" s="160">
        <f t="shared" si="104"/>
        <v>0</v>
      </c>
      <c r="AE73" s="160">
        <f t="shared" si="104"/>
        <v>0</v>
      </c>
      <c r="AF73" s="160">
        <f t="shared" si="104"/>
        <v>0</v>
      </c>
      <c r="AG73" s="160">
        <f t="shared" si="104"/>
        <v>0</v>
      </c>
      <c r="AH73" s="160">
        <f t="shared" si="104"/>
        <v>0</v>
      </c>
      <c r="AI73" s="160">
        <f t="shared" si="104"/>
        <v>0</v>
      </c>
      <c r="AJ73" s="134">
        <f>SUM(AJ68:AJ72)+SUM(AJ61:AJ65)-AJ76</f>
        <v>0</v>
      </c>
      <c r="AK73" s="135">
        <f>SUM(AK68:AK72)+SUM(AK61:AK65)-AK76</f>
        <v>0</v>
      </c>
      <c r="AL73" s="136">
        <f>SUM(AL68:AL72)+SUM(AL61:AL65)-AL76</f>
        <v>0</v>
      </c>
    </row>
    <row r="74" spans="1:38" ht="16.5" thickTop="1" thickBot="1" x14ac:dyDescent="0.3">
      <c r="A74" s="130" t="s">
        <v>75</v>
      </c>
      <c r="B74" s="134">
        <f t="shared" ref="B74:AH74" si="105">SUM(B68:B72)-B51</f>
        <v>0</v>
      </c>
      <c r="C74" s="135">
        <f t="shared" si="105"/>
        <v>0</v>
      </c>
      <c r="D74" s="135">
        <f>SUM(D68:D72)-D51</f>
        <v>9.7962009999719157E-4</v>
      </c>
      <c r="E74" s="135">
        <f t="shared" si="105"/>
        <v>-2.4430397546666427E-3</v>
      </c>
      <c r="F74" s="135">
        <f t="shared" si="105"/>
        <v>4.2034737632548058E-3</v>
      </c>
      <c r="G74" s="135">
        <f t="shared" si="105"/>
        <v>-3.0554803197588853E-3</v>
      </c>
      <c r="H74" s="135">
        <f t="shared" si="105"/>
        <v>4.8705313777190895E-3</v>
      </c>
      <c r="I74" s="135">
        <f t="shared" si="105"/>
        <v>-2.6554895011940971E-3</v>
      </c>
      <c r="J74" s="135">
        <f t="shared" si="105"/>
        <v>-2.3568900978716556E-3</v>
      </c>
      <c r="K74" s="135">
        <f t="shared" si="105"/>
        <v>-5.5215060183400055E-4</v>
      </c>
      <c r="L74" s="135">
        <f t="shared" si="105"/>
        <v>-5.5538945116495597E-4</v>
      </c>
      <c r="M74" s="135">
        <f t="shared" si="105"/>
        <v>-6.9978636111045489E-4</v>
      </c>
      <c r="N74" s="135">
        <f t="shared" si="105"/>
        <v>-6.5507182534929598E-4</v>
      </c>
      <c r="O74" s="135">
        <f t="shared" si="105"/>
        <v>-4.6056312885411899E-4</v>
      </c>
      <c r="P74" s="135">
        <f t="shared" si="105"/>
        <v>-5.8893870209431043E-4</v>
      </c>
      <c r="Q74" s="135">
        <f t="shared" si="105"/>
        <v>-5.8950310267391615E-4</v>
      </c>
      <c r="R74" s="135">
        <f t="shared" si="105"/>
        <v>-5.9006804212913266E-4</v>
      </c>
      <c r="S74" s="135">
        <f t="shared" si="105"/>
        <v>-7.2416805710417975E-4</v>
      </c>
      <c r="T74" s="135">
        <f t="shared" si="105"/>
        <v>-7.1568626481166575E-4</v>
      </c>
      <c r="U74" s="135">
        <f t="shared" si="105"/>
        <v>-7.551908031473431E-4</v>
      </c>
      <c r="V74" s="135">
        <f t="shared" si="105"/>
        <v>-7.4647558653850865E-4</v>
      </c>
      <c r="W74" s="160">
        <f t="shared" si="105"/>
        <v>-4.7149359420473047E-3</v>
      </c>
      <c r="X74" s="160">
        <f t="shared" si="105"/>
        <v>0.10010868704739551</v>
      </c>
      <c r="Y74" s="160">
        <f t="shared" si="105"/>
        <v>1.0232044041913468E-3</v>
      </c>
      <c r="Z74" s="160">
        <f t="shared" si="105"/>
        <v>-32.695106411880715</v>
      </c>
      <c r="AA74" s="160">
        <f t="shared" si="105"/>
        <v>32.687925674816142</v>
      </c>
      <c r="AB74" s="160">
        <f t="shared" si="105"/>
        <v>7.615718732267851E-4</v>
      </c>
      <c r="AC74" s="160">
        <f t="shared" si="105"/>
        <v>-3.3131756572402082E-4</v>
      </c>
      <c r="AD74" s="160">
        <f t="shared" si="105"/>
        <v>-8.1483454414410517E-4</v>
      </c>
      <c r="AE74" s="160">
        <f t="shared" si="105"/>
        <v>-3.6852402190561406E-3</v>
      </c>
      <c r="AF74" s="160">
        <f t="shared" si="105"/>
        <v>7.3079820140264928E-4</v>
      </c>
      <c r="AG74" s="160">
        <f t="shared" si="105"/>
        <v>-2.306188387592556E-3</v>
      </c>
      <c r="AH74" s="160">
        <f t="shared" si="105"/>
        <v>-1.4901307440595701E-3</v>
      </c>
      <c r="AI74" s="160">
        <f t="shared" ref="AI74" si="106">SUM(AI68:AI72)-AI51</f>
        <v>-4.1587803207221441E-4</v>
      </c>
      <c r="AJ74" s="134">
        <f>SUM(AJ68:AJ72)-AJ51</f>
        <v>3.0262727523222566E-4</v>
      </c>
      <c r="AK74" s="135">
        <f>SUM(AK68:AK72)-AK51</f>
        <v>-1.2347565752861556E-3</v>
      </c>
      <c r="AL74" s="136">
        <f>SUM(AL68:AL72)-AL51</f>
        <v>4.4180918484926224E-4</v>
      </c>
    </row>
    <row r="75" spans="1:38" ht="15.75" thickTop="1" x14ac:dyDescent="0.25">
      <c r="B75" s="104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2"/>
      <c r="AK75" s="103"/>
      <c r="AL75" s="106"/>
    </row>
    <row r="76" spans="1:38" x14ac:dyDescent="0.25">
      <c r="A76" s="76" t="s">
        <v>76</v>
      </c>
      <c r="B76" s="114">
        <f>(SUM(B15:B18)-SUM(B35:B39))+SUM(B68:B72)</f>
        <v>0</v>
      </c>
      <c r="C76" s="118">
        <f t="shared" ref="C76:N76" si="107">(SUM(C15:C18)-SUM(C35:C39))+SUM(C68:C72)+B76</f>
        <v>0</v>
      </c>
      <c r="D76" s="118">
        <f t="shared" si="107"/>
        <v>489876.34097962017</v>
      </c>
      <c r="E76" s="118">
        <f t="shared" si="107"/>
        <v>1086590.3685365804</v>
      </c>
      <c r="F76" s="118">
        <f t="shared" si="107"/>
        <v>2343961.602740054</v>
      </c>
      <c r="G76" s="118">
        <f t="shared" si="107"/>
        <v>208883.89968457352</v>
      </c>
      <c r="H76" s="118">
        <f t="shared" si="107"/>
        <v>-2670663.7454448952</v>
      </c>
      <c r="I76" s="118">
        <f t="shared" si="107"/>
        <v>-3837266.1881003855</v>
      </c>
      <c r="J76" s="118">
        <f t="shared" si="107"/>
        <v>-6612519.2104572756</v>
      </c>
      <c r="K76" s="118">
        <f t="shared" si="107"/>
        <v>-7008862.1886224486</v>
      </c>
      <c r="L76" s="118">
        <f t="shared" si="107"/>
        <v>-6426755.5918687461</v>
      </c>
      <c r="M76" s="118">
        <f t="shared" si="107"/>
        <v>-7154794.8022508901</v>
      </c>
      <c r="N76" s="118">
        <f t="shared" si="107"/>
        <v>-8522551.8958300781</v>
      </c>
      <c r="O76" s="118">
        <f>(SUM(O15:O18)-SUM(O35:O39))+SUM(O68:O72)+N76+N77</f>
        <v>-5003630.5763294511</v>
      </c>
      <c r="P76" s="118">
        <f t="shared" ref="P76:AH76" si="108">(SUM(P15:P18)-SUM(P35:P39))+SUM(P68:P72)+O76</f>
        <v>-5008133.6927046841</v>
      </c>
      <c r="Q76" s="118">
        <f t="shared" si="108"/>
        <v>-5205272.643027693</v>
      </c>
      <c r="R76" s="118">
        <f t="shared" si="108"/>
        <v>-3281937.0614572605</v>
      </c>
      <c r="S76" s="118">
        <f t="shared" si="108"/>
        <v>-1732921.0139424729</v>
      </c>
      <c r="T76" s="118">
        <f t="shared" si="108"/>
        <v>-2546355.7866913271</v>
      </c>
      <c r="U76" s="118">
        <f t="shared" si="108"/>
        <v>-1244978.0691864495</v>
      </c>
      <c r="V76" s="118">
        <f t="shared" si="108"/>
        <v>-498054.22457885195</v>
      </c>
      <c r="W76" s="115">
        <f t="shared" si="108"/>
        <v>882449.61070621188</v>
      </c>
      <c r="X76" s="115">
        <f t="shared" si="108"/>
        <v>1548921.2108148988</v>
      </c>
      <c r="Y76" s="115">
        <f t="shared" si="108"/>
        <v>3548718.3118381049</v>
      </c>
      <c r="Z76" s="115">
        <f t="shared" si="108"/>
        <v>2087701.4667316929</v>
      </c>
      <c r="AA76" s="115">
        <f t="shared" si="108"/>
        <v>-1175296.9553426306</v>
      </c>
      <c r="AB76" s="115">
        <f t="shared" si="108"/>
        <v>-2965522.3645810592</v>
      </c>
      <c r="AC76" s="115">
        <f t="shared" si="108"/>
        <v>-4755941.9849123769</v>
      </c>
      <c r="AD76" s="115">
        <f t="shared" si="108"/>
        <v>-5627892.4657272128</v>
      </c>
      <c r="AE76" s="115">
        <f t="shared" si="108"/>
        <v>-7571818.7594124526</v>
      </c>
      <c r="AF76" s="115">
        <f t="shared" si="108"/>
        <v>-9186064.588681655</v>
      </c>
      <c r="AG76" s="115">
        <f t="shared" si="108"/>
        <v>-9924015.440987844</v>
      </c>
      <c r="AH76" s="115">
        <f t="shared" si="108"/>
        <v>-11970746.362477975</v>
      </c>
      <c r="AI76" s="275">
        <f>(SUM(AI15:AI18)-SUM(AI35:AI39))+SUM(AI68:AI72)+AH76</f>
        <v>-13390027.132893855</v>
      </c>
      <c r="AJ76" s="114">
        <f>(SUM(AJ15:AJ18)-SUM(AJ35:AJ39))+SUM(AJ68:AJ72)+AI76</f>
        <v>-13156147.262614155</v>
      </c>
      <c r="AK76" s="118">
        <f>(SUM(AK15:AK18)-SUM(AK35:AK39))+SUM(AK68:AK72)+AJ76</f>
        <v>-13784119.68490796</v>
      </c>
      <c r="AL76" s="119">
        <f>(SUM(AL15:AL18)-SUM(AL35:AL39))+SUM(AL68:AL72)+AK76</f>
        <v>-14199604.016582575</v>
      </c>
    </row>
    <row r="77" spans="1:38" x14ac:dyDescent="0.25">
      <c r="B77" s="225"/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62" t="s">
        <v>120</v>
      </c>
      <c r="N77" s="242">
        <v>2696726</v>
      </c>
      <c r="O77" s="226"/>
      <c r="P77" s="226"/>
      <c r="Q77" s="226"/>
      <c r="R77" s="226"/>
      <c r="S77" s="226"/>
      <c r="T77" s="226"/>
      <c r="U77" s="226"/>
      <c r="V77" s="226"/>
      <c r="W77" s="226"/>
      <c r="X77" s="227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69"/>
      <c r="AK77" s="227"/>
      <c r="AL77" s="228"/>
    </row>
    <row r="78" spans="1:38" s="183" customFormat="1" x14ac:dyDescent="0.25">
      <c r="A78" s="229" t="s">
        <v>0</v>
      </c>
      <c r="B78" s="104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223">
        <v>2260140</v>
      </c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57"/>
      <c r="AK78" s="105"/>
      <c r="AL78" s="106"/>
    </row>
    <row r="79" spans="1:38" s="183" customFormat="1" x14ac:dyDescent="0.25">
      <c r="A79" s="229" t="s">
        <v>4</v>
      </c>
      <c r="B79" s="104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223">
        <v>98743</v>
      </c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4"/>
      <c r="AK79" s="105"/>
      <c r="AL79" s="106"/>
    </row>
    <row r="80" spans="1:38" s="183" customFormat="1" x14ac:dyDescent="0.25">
      <c r="A80" s="229" t="s">
        <v>5</v>
      </c>
      <c r="B80" s="104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223">
        <v>354201</v>
      </c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4"/>
      <c r="AK80" s="105"/>
      <c r="AL80" s="106"/>
    </row>
    <row r="81" spans="1:38" s="183" customFormat="1" x14ac:dyDescent="0.25">
      <c r="A81" s="229" t="s">
        <v>6</v>
      </c>
      <c r="B81" s="104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223">
        <v>106604</v>
      </c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4"/>
      <c r="AK81" s="105"/>
      <c r="AL81" s="106"/>
    </row>
    <row r="82" spans="1:38" ht="15.75" thickBot="1" x14ac:dyDescent="0.3">
      <c r="A82" s="229" t="s">
        <v>7</v>
      </c>
      <c r="B82" s="153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243">
        <v>-122962</v>
      </c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53"/>
      <c r="AK82" s="154"/>
      <c r="AL82" s="139"/>
    </row>
    <row r="83" spans="1:38" x14ac:dyDescent="0.25">
      <c r="D83" s="57"/>
      <c r="E83" s="53"/>
      <c r="F83" s="53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</row>
    <row r="85" spans="1:38" x14ac:dyDescent="0.25"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</row>
    <row r="86" spans="1:38" x14ac:dyDescent="0.25"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4"/>
    </row>
    <row r="87" spans="1:38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9" spans="1:38" x14ac:dyDescent="0.25"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4"/>
    </row>
  </sheetData>
  <mergeCells count="1">
    <mergeCell ref="AJ13:AL13"/>
  </mergeCells>
  <pageMargins left="0.7" right="0.7" top="0.75" bottom="0.75" header="0.3" footer="0.3"/>
  <pageSetup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56"/>
  <sheetViews>
    <sheetView workbookViewId="0"/>
  </sheetViews>
  <sheetFormatPr defaultRowHeight="15" x14ac:dyDescent="0.25"/>
  <cols>
    <col min="1" max="1" width="17.5703125" customWidth="1"/>
    <col min="2" max="2" width="23.710937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8" t="s">
        <v>161</v>
      </c>
      <c r="D1" s="50"/>
    </row>
    <row r="2" spans="1:10" x14ac:dyDescent="0.25">
      <c r="B2" s="79" t="s">
        <v>63</v>
      </c>
      <c r="C2" s="79"/>
      <c r="E2" s="58" t="s">
        <v>27</v>
      </c>
      <c r="F2" s="50"/>
      <c r="G2" s="50"/>
      <c r="H2" s="50"/>
      <c r="I2" s="50"/>
      <c r="J2" s="50"/>
    </row>
    <row r="3" spans="1:10" x14ac:dyDescent="0.25">
      <c r="B3" s="6" t="s">
        <v>65</v>
      </c>
      <c r="E3" s="58" t="s">
        <v>64</v>
      </c>
      <c r="F3" s="50"/>
    </row>
    <row r="4" spans="1:10" x14ac:dyDescent="0.25">
      <c r="A4" s="22" t="s">
        <v>0</v>
      </c>
      <c r="B4" s="46">
        <v>15851916.780496133</v>
      </c>
      <c r="C4" s="4"/>
      <c r="F4" s="50"/>
      <c r="G4" s="50"/>
      <c r="H4" s="50"/>
      <c r="I4" s="50"/>
      <c r="J4" s="50"/>
    </row>
    <row r="5" spans="1:10" x14ac:dyDescent="0.25">
      <c r="A5" s="22" t="s">
        <v>4</v>
      </c>
      <c r="B5" s="46">
        <v>7198017.7686088225</v>
      </c>
      <c r="E5" s="3"/>
    </row>
    <row r="6" spans="1:10" x14ac:dyDescent="0.25">
      <c r="A6" s="22" t="s">
        <v>5</v>
      </c>
      <c r="B6" s="46">
        <v>13370298.405779386</v>
      </c>
      <c r="C6" s="4"/>
      <c r="E6" s="3"/>
    </row>
    <row r="7" spans="1:10" x14ac:dyDescent="0.25">
      <c r="A7" s="22" t="s">
        <v>6</v>
      </c>
      <c r="B7" s="46">
        <v>5745609.8156835204</v>
      </c>
      <c r="C7" s="4"/>
    </row>
    <row r="8" spans="1:10" ht="15.75" thickBot="1" x14ac:dyDescent="0.3">
      <c r="A8" s="22" t="s">
        <v>7</v>
      </c>
      <c r="B8" s="46">
        <v>1154890.9294321279</v>
      </c>
      <c r="C8" s="4"/>
    </row>
    <row r="9" spans="1:10" ht="16.5" thickTop="1" thickBot="1" x14ac:dyDescent="0.3">
      <c r="A9" s="77" t="s">
        <v>9</v>
      </c>
      <c r="B9" s="71">
        <f>SUM(B4:B8)</f>
        <v>43320733.699999996</v>
      </c>
      <c r="C9" s="4"/>
    </row>
    <row r="10" spans="1:10" ht="15.75" thickTop="1" x14ac:dyDescent="0.25">
      <c r="C10" s="4"/>
      <c r="D10" s="56"/>
    </row>
    <row r="11" spans="1:10" x14ac:dyDescent="0.25">
      <c r="C11" s="4"/>
    </row>
    <row r="12" spans="1:10" x14ac:dyDescent="0.25">
      <c r="C12" s="4"/>
      <c r="D12" s="4"/>
    </row>
    <row r="13" spans="1:10" x14ac:dyDescent="0.25">
      <c r="D13" s="4"/>
    </row>
    <row r="17" spans="5:27" x14ac:dyDescent="0.25">
      <c r="R17" s="1"/>
      <c r="S17" s="1"/>
      <c r="T17" s="1"/>
      <c r="U17" s="1"/>
      <c r="V17" s="1"/>
      <c r="W17" s="1"/>
      <c r="X17" s="1"/>
      <c r="Y17" s="1"/>
      <c r="Z17" s="1"/>
      <c r="AA17" s="1"/>
    </row>
    <row r="25" spans="5:27" x14ac:dyDescent="0.25">
      <c r="E25" s="59"/>
    </row>
    <row r="47" spans="2:2" x14ac:dyDescent="0.25">
      <c r="B47" s="7"/>
    </row>
    <row r="51" spans="2:4" x14ac:dyDescent="0.25">
      <c r="B51" s="7"/>
      <c r="D51" s="7"/>
    </row>
    <row r="52" spans="2:4" x14ac:dyDescent="0.25">
      <c r="C52" s="7"/>
    </row>
    <row r="55" spans="2:4" x14ac:dyDescent="0.25">
      <c r="D55" s="7"/>
    </row>
    <row r="56" spans="2:4" x14ac:dyDescent="0.25">
      <c r="C5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2:AW75"/>
  <sheetViews>
    <sheetView zoomScaleNormal="100" workbookViewId="0">
      <pane xSplit="1" ySplit="14" topLeftCell="B15" activePane="bottomRight" state="frozen"/>
      <selection activeCell="K28" sqref="K28"/>
      <selection pane="topRight" activeCell="K28" sqref="K28"/>
      <selection pane="bottomLeft" activeCell="K28" sqref="K28"/>
      <selection pane="bottomRight" activeCell="B15" sqref="B15"/>
    </sheetView>
  </sheetViews>
  <sheetFormatPr defaultColWidth="9.140625" defaultRowHeight="15" x14ac:dyDescent="0.25"/>
  <cols>
    <col min="1" max="1" width="17.5703125" style="76" customWidth="1"/>
    <col min="2" max="2" width="16" style="76" customWidth="1"/>
    <col min="3" max="3" width="14.5703125" style="76" customWidth="1"/>
    <col min="4" max="4" width="15.140625" style="76" customWidth="1"/>
    <col min="5" max="5" width="16.140625" style="76" customWidth="1"/>
    <col min="6" max="6" width="14.28515625" style="76" bestFit="1" customWidth="1"/>
    <col min="7" max="7" width="16" style="76" customWidth="1"/>
    <col min="8" max="9" width="14.28515625" style="76" bestFit="1" customWidth="1"/>
    <col min="10" max="10" width="15.5703125" style="76" customWidth="1"/>
    <col min="11" max="11" width="14" style="76" customWidth="1"/>
    <col min="12" max="35" width="14" style="183" customWidth="1"/>
    <col min="36" max="38" width="15.5703125" style="76" customWidth="1"/>
    <col min="39" max="39" width="17.28515625" style="76" customWidth="1"/>
    <col min="40" max="16384" width="9.140625" style="76"/>
  </cols>
  <sheetData>
    <row r="2" spans="1:49" x14ac:dyDescent="0.25">
      <c r="B2" s="204" t="s">
        <v>113</v>
      </c>
      <c r="E2" s="183"/>
      <c r="I2" s="3" t="s">
        <v>27</v>
      </c>
      <c r="L2" s="76"/>
      <c r="AJ2" s="183"/>
    </row>
    <row r="3" spans="1:49" x14ac:dyDescent="0.25">
      <c r="B3" s="231" t="s">
        <v>139</v>
      </c>
      <c r="C3" s="89" t="s">
        <v>67</v>
      </c>
      <c r="D3" s="89" t="s">
        <v>79</v>
      </c>
      <c r="E3" s="203" t="s">
        <v>94</v>
      </c>
      <c r="F3" s="89" t="s">
        <v>68</v>
      </c>
      <c r="G3" s="89" t="s">
        <v>69</v>
      </c>
      <c r="I3" s="58" t="s">
        <v>93</v>
      </c>
      <c r="J3" s="50"/>
      <c r="K3" s="50"/>
      <c r="L3" s="76"/>
      <c r="AJ3" s="183"/>
    </row>
    <row r="4" spans="1:49" x14ac:dyDescent="0.25">
      <c r="A4" s="77" t="s">
        <v>0</v>
      </c>
      <c r="B4" s="24">
        <f>+N66</f>
        <v>7611905</v>
      </c>
      <c r="C4" s="24">
        <f>SUM(B29:AL29)</f>
        <v>32531082.237553328</v>
      </c>
      <c r="D4" s="24">
        <f>SUM(B15:AL15)</f>
        <v>22906109.317114465</v>
      </c>
      <c r="E4" s="24">
        <f>B4-C4+D4</f>
        <v>-2013067.9204388633</v>
      </c>
      <c r="F4" s="24">
        <f>SUM(B56:AL56)</f>
        <v>17560.922245934416</v>
      </c>
      <c r="G4" s="42">
        <f>E4+F4</f>
        <v>-1995506.998192929</v>
      </c>
      <c r="I4" s="3" t="s">
        <v>111</v>
      </c>
      <c r="J4" s="50"/>
      <c r="K4" s="50"/>
      <c r="L4" s="76"/>
      <c r="AJ4" s="183"/>
    </row>
    <row r="5" spans="1:49" x14ac:dyDescent="0.25">
      <c r="A5" s="77" t="s">
        <v>4</v>
      </c>
      <c r="B5" s="24">
        <f>+N67</f>
        <v>668388</v>
      </c>
      <c r="C5" s="24">
        <f t="shared" ref="C5:C8" si="0">SUM(B30:AL30)</f>
        <v>5640081.6879431913</v>
      </c>
      <c r="D5" s="24">
        <f>SUM(B16:AL16)</f>
        <v>5409363.136914229</v>
      </c>
      <c r="E5" s="24">
        <f t="shared" ref="E5:E8" si="1">B5-C5+D5</f>
        <v>437669.44897103775</v>
      </c>
      <c r="F5" s="24">
        <f>SUM(B57:AL57)</f>
        <v>6923.6227926577376</v>
      </c>
      <c r="G5" s="42">
        <f>E5+F5</f>
        <v>444593.07176369551</v>
      </c>
      <c r="I5" s="58" t="s">
        <v>112</v>
      </c>
      <c r="J5" s="50"/>
      <c r="K5" s="50"/>
      <c r="L5" s="76"/>
      <c r="AJ5" s="183"/>
    </row>
    <row r="6" spans="1:49" x14ac:dyDescent="0.25">
      <c r="A6" s="77" t="s">
        <v>5</v>
      </c>
      <c r="B6" s="24">
        <f>+N68</f>
        <v>905881</v>
      </c>
      <c r="C6" s="24">
        <f t="shared" si="0"/>
        <v>11393160.099477066</v>
      </c>
      <c r="D6" s="24">
        <f>SUM(B17:AL17)</f>
        <v>10988254.856129965</v>
      </c>
      <c r="E6" s="24">
        <f t="shared" si="1"/>
        <v>500975.75665289909</v>
      </c>
      <c r="F6" s="24">
        <f>SUM(B58:AL58)</f>
        <v>-6977.6909843634803</v>
      </c>
      <c r="G6" s="42">
        <f>E6+F6</f>
        <v>493998.06566853559</v>
      </c>
      <c r="I6" s="58" t="s">
        <v>147</v>
      </c>
      <c r="J6" s="50"/>
      <c r="K6" s="50"/>
      <c r="L6" s="76"/>
      <c r="AJ6" s="183"/>
    </row>
    <row r="7" spans="1:49" x14ac:dyDescent="0.25">
      <c r="A7" s="77" t="s">
        <v>6</v>
      </c>
      <c r="B7" s="24">
        <f>+N69</f>
        <v>2477462</v>
      </c>
      <c r="C7" s="24">
        <f t="shared" si="0"/>
        <v>7775614.8219965808</v>
      </c>
      <c r="D7" s="24">
        <f>SUM(B18:AL18)</f>
        <v>4662625.523927941</v>
      </c>
      <c r="E7" s="24">
        <f t="shared" si="1"/>
        <v>-635527.29806863982</v>
      </c>
      <c r="F7" s="24">
        <f>SUM(B59:AL59)</f>
        <v>90.119962101286774</v>
      </c>
      <c r="G7" s="42">
        <f>E7+F7</f>
        <v>-635437.17810653849</v>
      </c>
      <c r="I7" s="58" t="s">
        <v>85</v>
      </c>
      <c r="J7" s="50"/>
      <c r="K7" s="50"/>
      <c r="L7" s="76"/>
      <c r="AJ7" s="183"/>
    </row>
    <row r="8" spans="1:49" ht="15.75" thickBot="1" x14ac:dyDescent="0.3">
      <c r="A8" s="77" t="s">
        <v>7</v>
      </c>
      <c r="B8" s="24">
        <f>+N70</f>
        <v>1878286</v>
      </c>
      <c r="C8" s="24">
        <f t="shared" si="0"/>
        <v>2780362.0628916612</v>
      </c>
      <c r="D8" s="24">
        <f>SUM(B19:AL19)</f>
        <v>859852.50591340661</v>
      </c>
      <c r="E8" s="24">
        <f t="shared" si="1"/>
        <v>-42223.556978254579</v>
      </c>
      <c r="F8" s="24">
        <f>SUM(B60:AL60)</f>
        <v>1501.0189765156047</v>
      </c>
      <c r="G8" s="42">
        <f>E8+F8</f>
        <v>-40722.538001738976</v>
      </c>
      <c r="I8" s="58" t="s">
        <v>109</v>
      </c>
      <c r="L8" s="76"/>
      <c r="AJ8" s="183"/>
    </row>
    <row r="9" spans="1:49" ht="16.5" thickTop="1" thickBot="1" x14ac:dyDescent="0.3">
      <c r="B9" s="91">
        <f t="shared" ref="B9:G9" si="2">SUM(B4:B8)</f>
        <v>13541922</v>
      </c>
      <c r="C9" s="91">
        <f t="shared" si="2"/>
        <v>60120300.909861833</v>
      </c>
      <c r="D9" s="91">
        <f t="shared" si="2"/>
        <v>44826205.340000011</v>
      </c>
      <c r="E9" s="91">
        <f t="shared" si="2"/>
        <v>-1752173.5698618209</v>
      </c>
      <c r="F9" s="91">
        <f t="shared" si="2"/>
        <v>19097.99299284556</v>
      </c>
      <c r="G9" s="91">
        <f t="shared" si="2"/>
        <v>-1733075.5768689753</v>
      </c>
      <c r="I9" s="58" t="s">
        <v>146</v>
      </c>
      <c r="L9" s="76"/>
      <c r="AJ9" s="49"/>
    </row>
    <row r="10" spans="1:49" ht="16.5" thickTop="1" thickBot="1" x14ac:dyDescent="0.3">
      <c r="B10" s="183"/>
      <c r="E10" s="39" t="s">
        <v>26</v>
      </c>
      <c r="F10" s="21">
        <f>F9-SUM(B39:AL39)</f>
        <v>2.6830629394680727E-3</v>
      </c>
      <c r="J10" s="50"/>
      <c r="K10" s="50"/>
      <c r="L10" s="76"/>
      <c r="AJ10" s="183"/>
    </row>
    <row r="11" spans="1:49" ht="15.75" thickTop="1" x14ac:dyDescent="0.25">
      <c r="B11" s="183"/>
      <c r="F11" s="4"/>
      <c r="G11" s="4"/>
      <c r="L11" s="76"/>
      <c r="M11" s="76"/>
      <c r="AJ11" s="183"/>
      <c r="AK11" s="183"/>
    </row>
    <row r="12" spans="1:49" ht="15.75" thickBot="1" x14ac:dyDescent="0.3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20"/>
      <c r="AK12" s="20"/>
    </row>
    <row r="13" spans="1:49" ht="15.75" thickBot="1" x14ac:dyDescent="0.3">
      <c r="B13" s="92"/>
      <c r="C13" s="93"/>
      <c r="D13" s="94" t="s">
        <v>92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280" t="s">
        <v>70</v>
      </c>
      <c r="AK13" s="281"/>
      <c r="AL13" s="282"/>
    </row>
    <row r="14" spans="1:49" x14ac:dyDescent="0.25">
      <c r="A14" s="76" t="s">
        <v>78</v>
      </c>
      <c r="B14" s="95">
        <v>42370</v>
      </c>
      <c r="C14" s="96">
        <f>EDATE(B14,1)</f>
        <v>42401</v>
      </c>
      <c r="D14" s="96">
        <f t="shared" ref="D14:AL14" si="3">EDATE(C14,1)</f>
        <v>42430</v>
      </c>
      <c r="E14" s="96">
        <f t="shared" si="3"/>
        <v>42461</v>
      </c>
      <c r="F14" s="96">
        <f t="shared" si="3"/>
        <v>42491</v>
      </c>
      <c r="G14" s="96">
        <f t="shared" si="3"/>
        <v>42522</v>
      </c>
      <c r="H14" s="96">
        <f t="shared" si="3"/>
        <v>42552</v>
      </c>
      <c r="I14" s="96">
        <f t="shared" si="3"/>
        <v>42583</v>
      </c>
      <c r="J14" s="96">
        <f t="shared" si="3"/>
        <v>42614</v>
      </c>
      <c r="K14" s="96">
        <f t="shared" si="3"/>
        <v>42644</v>
      </c>
      <c r="L14" s="96">
        <f t="shared" ref="L14" si="4">EDATE(K14,1)</f>
        <v>42675</v>
      </c>
      <c r="M14" s="96">
        <f t="shared" ref="M14" si="5">EDATE(L14,1)</f>
        <v>42705</v>
      </c>
      <c r="N14" s="96">
        <f t="shared" ref="N14" si="6">EDATE(M14,1)</f>
        <v>42736</v>
      </c>
      <c r="O14" s="96">
        <f t="shared" ref="O14" si="7">EDATE(N14,1)</f>
        <v>42767</v>
      </c>
      <c r="P14" s="96">
        <f t="shared" ref="P14" si="8">EDATE(O14,1)</f>
        <v>42795</v>
      </c>
      <c r="Q14" s="96">
        <f t="shared" ref="Q14" si="9">EDATE(P14,1)</f>
        <v>42826</v>
      </c>
      <c r="R14" s="96">
        <f t="shared" ref="R14" si="10">EDATE(Q14,1)</f>
        <v>42856</v>
      </c>
      <c r="S14" s="96">
        <f t="shared" ref="S14" si="11">EDATE(R14,1)</f>
        <v>42887</v>
      </c>
      <c r="T14" s="96">
        <f t="shared" ref="T14" si="12">EDATE(S14,1)</f>
        <v>42917</v>
      </c>
      <c r="U14" s="96">
        <f t="shared" ref="U14" si="13">EDATE(T14,1)</f>
        <v>42948</v>
      </c>
      <c r="V14" s="96">
        <f t="shared" ref="V14" si="14">EDATE(U14,1)</f>
        <v>42979</v>
      </c>
      <c r="W14" s="96">
        <f t="shared" ref="W14" si="15">EDATE(V14,1)</f>
        <v>43009</v>
      </c>
      <c r="X14" s="96">
        <f t="shared" ref="X14" si="16">EDATE(W14,1)</f>
        <v>43040</v>
      </c>
      <c r="Y14" s="96">
        <f t="shared" ref="Y14" si="17">EDATE(X14,1)</f>
        <v>43070</v>
      </c>
      <c r="Z14" s="96">
        <f t="shared" ref="Z14" si="18">EDATE(Y14,1)</f>
        <v>43101</v>
      </c>
      <c r="AA14" s="96">
        <f t="shared" ref="AA14" si="19">EDATE(Z14,1)</f>
        <v>43132</v>
      </c>
      <c r="AB14" s="96">
        <f t="shared" ref="AB14" si="20">EDATE(AA14,1)</f>
        <v>43160</v>
      </c>
      <c r="AC14" s="96">
        <f t="shared" ref="AC14" si="21">EDATE(AB14,1)</f>
        <v>43191</v>
      </c>
      <c r="AD14" s="96">
        <f t="shared" ref="AD14" si="22">EDATE(AC14,1)</f>
        <v>43221</v>
      </c>
      <c r="AE14" s="96">
        <f t="shared" ref="AE14" si="23">EDATE(AD14,1)</f>
        <v>43252</v>
      </c>
      <c r="AF14" s="96">
        <f t="shared" ref="AF14" si="24">EDATE(AE14,1)</f>
        <v>43282</v>
      </c>
      <c r="AG14" s="96">
        <f t="shared" ref="AG14" si="25">EDATE(AF14,1)</f>
        <v>43313</v>
      </c>
      <c r="AH14" s="96">
        <f t="shared" ref="AH14:AI14" si="26">EDATE(AG14,1)</f>
        <v>43344</v>
      </c>
      <c r="AI14" s="96">
        <f t="shared" si="26"/>
        <v>43374</v>
      </c>
      <c r="AJ14" s="95">
        <f>EDATE(AI14,1)</f>
        <v>43405</v>
      </c>
      <c r="AK14" s="96">
        <f t="shared" si="3"/>
        <v>43435</v>
      </c>
      <c r="AL14" s="97">
        <f t="shared" si="3"/>
        <v>43466</v>
      </c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5">
      <c r="A15" s="76" t="s">
        <v>0</v>
      </c>
      <c r="B15" s="98">
        <v>0</v>
      </c>
      <c r="C15" s="99">
        <v>0</v>
      </c>
      <c r="D15" s="99">
        <v>0</v>
      </c>
      <c r="E15" s="99">
        <v>1328.78</v>
      </c>
      <c r="F15" s="99">
        <v>9526.5300000000007</v>
      </c>
      <c r="G15" s="99">
        <v>120352.88</v>
      </c>
      <c r="H15" s="99">
        <v>256080.65000000002</v>
      </c>
      <c r="I15" s="99">
        <v>373393.34435846674</v>
      </c>
      <c r="J15" s="99">
        <v>671736.21363575384</v>
      </c>
      <c r="K15" s="99">
        <v>120839.85</v>
      </c>
      <c r="L15" s="99">
        <v>185093.49881649271</v>
      </c>
      <c r="M15" s="99">
        <v>303285.19452852954</v>
      </c>
      <c r="N15" s="99">
        <v>329743.7910035231</v>
      </c>
      <c r="O15" s="99">
        <v>319589.12614734296</v>
      </c>
      <c r="P15" s="99">
        <v>307416.51622437377</v>
      </c>
      <c r="Q15" s="99">
        <v>202009.99758789604</v>
      </c>
      <c r="R15" s="99">
        <v>201518.00847600689</v>
      </c>
      <c r="S15" s="99">
        <v>884196.51701427973</v>
      </c>
      <c r="T15" s="99">
        <v>1282604.3399999999</v>
      </c>
      <c r="U15" s="99">
        <v>1412760.5841518985</v>
      </c>
      <c r="V15" s="99">
        <v>912043.87330211163</v>
      </c>
      <c r="W15" s="99">
        <v>279976.46619588812</v>
      </c>
      <c r="X15" s="99">
        <v>377438.47759872582</v>
      </c>
      <c r="Y15" s="99">
        <v>565267.94576951256</v>
      </c>
      <c r="Z15" s="99">
        <v>607215.02747681318</v>
      </c>
      <c r="AA15" s="99">
        <v>515316.53827609093</v>
      </c>
      <c r="AB15" s="99">
        <v>473150.50916160172</v>
      </c>
      <c r="AC15" s="99">
        <v>270731.77958850004</v>
      </c>
      <c r="AD15" s="99">
        <v>491596.14834248205</v>
      </c>
      <c r="AE15" s="99">
        <v>2024956.6659391024</v>
      </c>
      <c r="AF15" s="99">
        <v>2753783.435947692</v>
      </c>
      <c r="AG15" s="99">
        <v>2655187.2707727067</v>
      </c>
      <c r="AH15" s="99">
        <v>1585670.784126644</v>
      </c>
      <c r="AI15" s="99">
        <v>556118.7299202627</v>
      </c>
      <c r="AJ15" s="100">
        <v>480690.32123092905</v>
      </c>
      <c r="AK15" s="101">
        <v>689858.30892050511</v>
      </c>
      <c r="AL15" s="252">
        <v>685631.21260032908</v>
      </c>
      <c r="AM15" s="50"/>
    </row>
    <row r="16" spans="1:49" x14ac:dyDescent="0.25">
      <c r="A16" s="76" t="s">
        <v>4</v>
      </c>
      <c r="B16" s="98">
        <v>0</v>
      </c>
      <c r="C16" s="99">
        <v>0</v>
      </c>
      <c r="D16" s="99">
        <v>0</v>
      </c>
      <c r="E16" s="99">
        <v>0</v>
      </c>
      <c r="F16" s="99">
        <v>0</v>
      </c>
      <c r="G16" s="99">
        <v>4167.9399999999996</v>
      </c>
      <c r="H16" s="99">
        <v>13357.940000000002</v>
      </c>
      <c r="I16" s="99">
        <v>14670.985238775314</v>
      </c>
      <c r="J16" s="99">
        <v>22602.465674921033</v>
      </c>
      <c r="K16" s="99">
        <v>23670.86</v>
      </c>
      <c r="L16" s="99">
        <v>27753.308601536653</v>
      </c>
      <c r="M16" s="99">
        <v>37258.575758638253</v>
      </c>
      <c r="N16" s="99">
        <v>47579.322188278435</v>
      </c>
      <c r="O16" s="99">
        <v>42911.041729266297</v>
      </c>
      <c r="P16" s="99">
        <v>52823.001162257649</v>
      </c>
      <c r="Q16" s="99">
        <v>25950.307634173645</v>
      </c>
      <c r="R16" s="99">
        <v>48983.559131334005</v>
      </c>
      <c r="S16" s="99">
        <v>90621.489340586311</v>
      </c>
      <c r="T16" s="99">
        <v>138931.90000000002</v>
      </c>
      <c r="U16" s="99">
        <v>133700.2685394297</v>
      </c>
      <c r="V16" s="99">
        <v>151757.81340251025</v>
      </c>
      <c r="W16" s="99">
        <v>116837.79257470783</v>
      </c>
      <c r="X16" s="99">
        <v>88133.517269885691</v>
      </c>
      <c r="Y16" s="99">
        <v>126989.00719390194</v>
      </c>
      <c r="Z16" s="99">
        <v>151376.91870679389</v>
      </c>
      <c r="AA16" s="99">
        <v>131012.65264951537</v>
      </c>
      <c r="AB16" s="99">
        <v>161984.73662810036</v>
      </c>
      <c r="AC16" s="99">
        <v>186884.98622710272</v>
      </c>
      <c r="AD16" s="99">
        <v>260709.07600105793</v>
      </c>
      <c r="AE16" s="99">
        <v>394275.90039880731</v>
      </c>
      <c r="AF16" s="99">
        <v>517564.58433629415</v>
      </c>
      <c r="AG16" s="99">
        <v>456642.37398614379</v>
      </c>
      <c r="AH16" s="99">
        <v>495377.09665466635</v>
      </c>
      <c r="AI16" s="99">
        <v>348239.88671273278</v>
      </c>
      <c r="AJ16" s="100">
        <v>308578.42186493933</v>
      </c>
      <c r="AK16" s="101">
        <v>364257.28200321895</v>
      </c>
      <c r="AL16" s="252">
        <v>423758.12530465343</v>
      </c>
      <c r="AM16" s="50"/>
    </row>
    <row r="17" spans="1:40" x14ac:dyDescent="0.25">
      <c r="A17" s="76" t="s">
        <v>5</v>
      </c>
      <c r="B17" s="98">
        <v>0</v>
      </c>
      <c r="C17" s="99">
        <v>0</v>
      </c>
      <c r="D17" s="99">
        <v>0</v>
      </c>
      <c r="E17" s="99">
        <v>0</v>
      </c>
      <c r="F17" s="99">
        <v>0</v>
      </c>
      <c r="G17" s="99">
        <v>6853.38</v>
      </c>
      <c r="H17" s="99">
        <v>24493.5</v>
      </c>
      <c r="I17" s="99">
        <v>33902.946879751129</v>
      </c>
      <c r="J17" s="99">
        <v>57130.941306139037</v>
      </c>
      <c r="K17" s="99">
        <v>48568.43</v>
      </c>
      <c r="L17" s="99">
        <v>56402.832716238408</v>
      </c>
      <c r="M17" s="99">
        <v>76416.403445979842</v>
      </c>
      <c r="N17" s="99">
        <v>98464.472713338357</v>
      </c>
      <c r="O17" s="99">
        <v>92820.247439449406</v>
      </c>
      <c r="P17" s="99">
        <v>115878.51859125202</v>
      </c>
      <c r="Q17" s="99">
        <v>64178.344243350926</v>
      </c>
      <c r="R17" s="99">
        <v>102867.21859456625</v>
      </c>
      <c r="S17" s="99">
        <v>225026.10782354834</v>
      </c>
      <c r="T17" s="99">
        <v>332206.05000000005</v>
      </c>
      <c r="U17" s="99">
        <v>326565.43828407576</v>
      </c>
      <c r="V17" s="99">
        <v>357152.1332604558</v>
      </c>
      <c r="W17" s="99">
        <v>233165.34998028661</v>
      </c>
      <c r="X17" s="99">
        <v>242735.19909115109</v>
      </c>
      <c r="Y17" s="99">
        <v>270260.8911173091</v>
      </c>
      <c r="Z17" s="99">
        <v>318931.98735694966</v>
      </c>
      <c r="AA17" s="99">
        <v>278425.9450890508</v>
      </c>
      <c r="AB17" s="99">
        <v>325174.04680208978</v>
      </c>
      <c r="AC17" s="99">
        <v>343158.29248776339</v>
      </c>
      <c r="AD17" s="99">
        <v>457118.03014316031</v>
      </c>
      <c r="AE17" s="99">
        <v>886825.58305134752</v>
      </c>
      <c r="AF17" s="99">
        <v>1197518.2821251666</v>
      </c>
      <c r="AG17" s="99">
        <v>1030275.3853313371</v>
      </c>
      <c r="AH17" s="99">
        <v>1033786.813176945</v>
      </c>
      <c r="AI17" s="99">
        <v>565137.42472021224</v>
      </c>
      <c r="AJ17" s="100">
        <v>493483.53356803459</v>
      </c>
      <c r="AK17" s="101">
        <v>595454.93620646175</v>
      </c>
      <c r="AL17" s="252">
        <v>697876.19058455259</v>
      </c>
      <c r="AM17" s="50"/>
    </row>
    <row r="18" spans="1:40" x14ac:dyDescent="0.25">
      <c r="A18" s="76" t="s">
        <v>6</v>
      </c>
      <c r="B18" s="98">
        <v>0</v>
      </c>
      <c r="C18" s="99">
        <v>0</v>
      </c>
      <c r="D18" s="99">
        <v>0</v>
      </c>
      <c r="E18" s="99">
        <v>0</v>
      </c>
      <c r="F18" s="99">
        <v>0</v>
      </c>
      <c r="G18" s="99">
        <v>526.23</v>
      </c>
      <c r="H18" s="99">
        <v>1707.2399999999998</v>
      </c>
      <c r="I18" s="99">
        <v>2230.0207254609436</v>
      </c>
      <c r="J18" s="99">
        <v>4794.6581417484167</v>
      </c>
      <c r="K18" s="99">
        <v>4373.8599999999997</v>
      </c>
      <c r="L18" s="99">
        <v>7453.242982336099</v>
      </c>
      <c r="M18" s="99">
        <v>18084.577784318448</v>
      </c>
      <c r="N18" s="99">
        <v>27963.810761260709</v>
      </c>
      <c r="O18" s="99">
        <v>24456.059952649921</v>
      </c>
      <c r="P18" s="99">
        <v>29615.310672687767</v>
      </c>
      <c r="Q18" s="99">
        <v>12166.436689655247</v>
      </c>
      <c r="R18" s="99">
        <v>28108.084360485296</v>
      </c>
      <c r="S18" s="99">
        <v>128148.15141495112</v>
      </c>
      <c r="T18" s="99">
        <v>175689.74</v>
      </c>
      <c r="U18" s="99">
        <v>218402.52810095585</v>
      </c>
      <c r="V18" s="99">
        <v>205067.89849978662</v>
      </c>
      <c r="W18" s="99">
        <v>101187.08297273742</v>
      </c>
      <c r="X18" s="99">
        <v>97773.438006020719</v>
      </c>
      <c r="Y18" s="99">
        <v>113746.10309897989</v>
      </c>
      <c r="Z18" s="99">
        <v>131796.02801249109</v>
      </c>
      <c r="AA18" s="99">
        <v>116090.38160247794</v>
      </c>
      <c r="AB18" s="99">
        <v>132068.16497570253</v>
      </c>
      <c r="AC18" s="99">
        <v>133321.08677453059</v>
      </c>
      <c r="AD18" s="99">
        <v>180104.81791441111</v>
      </c>
      <c r="AE18" s="99">
        <v>422991.61425343697</v>
      </c>
      <c r="AF18" s="99">
        <v>543609.86073367961</v>
      </c>
      <c r="AG18" s="99">
        <v>486263.01132460969</v>
      </c>
      <c r="AH18" s="99">
        <v>414107.44556621916</v>
      </c>
      <c r="AI18" s="99">
        <v>207208.35422995902</v>
      </c>
      <c r="AJ18" s="100">
        <v>184622.25527048422</v>
      </c>
      <c r="AK18" s="101">
        <v>233580.06959687854</v>
      </c>
      <c r="AL18" s="252">
        <v>275367.95950902533</v>
      </c>
      <c r="AM18" s="50"/>
    </row>
    <row r="19" spans="1:40" x14ac:dyDescent="0.25">
      <c r="A19" s="76" t="s">
        <v>7</v>
      </c>
      <c r="B19" s="98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360.22</v>
      </c>
      <c r="I19" s="99">
        <v>1356.5027975457876</v>
      </c>
      <c r="J19" s="99">
        <v>2255.3712414377201</v>
      </c>
      <c r="K19" s="99">
        <v>1897.72</v>
      </c>
      <c r="L19" s="99">
        <v>2405.4668833960245</v>
      </c>
      <c r="M19" s="99">
        <v>3262.8984825339485</v>
      </c>
      <c r="N19" s="99">
        <v>5909.4833335993335</v>
      </c>
      <c r="O19" s="99">
        <v>6425.014731291647</v>
      </c>
      <c r="P19" s="99">
        <v>9106.0133494287093</v>
      </c>
      <c r="Q19" s="99">
        <v>8390.7638449238184</v>
      </c>
      <c r="R19" s="99">
        <v>10997.379437607351</v>
      </c>
      <c r="S19" s="99">
        <v>20856.094406634937</v>
      </c>
      <c r="T19" s="99">
        <v>29338.039999999994</v>
      </c>
      <c r="U19" s="99">
        <v>27923.370923640025</v>
      </c>
      <c r="V19" s="99">
        <v>26983.721535135461</v>
      </c>
      <c r="W19" s="99">
        <v>19471.188276380515</v>
      </c>
      <c r="X19" s="99">
        <v>18971.478034215677</v>
      </c>
      <c r="Y19" s="99">
        <v>20838.032820297231</v>
      </c>
      <c r="Z19" s="99">
        <v>24107.448446951264</v>
      </c>
      <c r="AA19" s="99">
        <v>21893.062382864882</v>
      </c>
      <c r="AB19" s="99">
        <v>24080.232432507251</v>
      </c>
      <c r="AC19" s="99">
        <v>25697.334922102909</v>
      </c>
      <c r="AD19" s="99">
        <v>34703.027598888038</v>
      </c>
      <c r="AE19" s="99">
        <v>75519.476357307751</v>
      </c>
      <c r="AF19" s="99">
        <v>100273.42685716876</v>
      </c>
      <c r="AG19" s="99">
        <v>85499.508585205374</v>
      </c>
      <c r="AH19" s="99">
        <v>69397.820475524379</v>
      </c>
      <c r="AI19" s="99">
        <v>37821.144416831085</v>
      </c>
      <c r="AJ19" s="100">
        <v>32648.758065612245</v>
      </c>
      <c r="AK19" s="101">
        <v>48950.673272933091</v>
      </c>
      <c r="AL19" s="252">
        <v>62511.832001441318</v>
      </c>
      <c r="AM19" s="50"/>
    </row>
    <row r="20" spans="1:40" x14ac:dyDescent="0.25">
      <c r="B20" s="102"/>
      <c r="C20" s="103"/>
      <c r="D20" s="103"/>
      <c r="E20" s="103"/>
      <c r="F20" s="103"/>
      <c r="G20" s="112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4"/>
      <c r="AK20" s="105"/>
      <c r="AL20" s="106"/>
    </row>
    <row r="21" spans="1:40" x14ac:dyDescent="0.25">
      <c r="A21" s="50" t="s">
        <v>149</v>
      </c>
      <c r="B21" s="233"/>
      <c r="C21" s="103"/>
      <c r="D21" s="107" t="s">
        <v>71</v>
      </c>
      <c r="E21" s="232"/>
      <c r="F21" s="232"/>
      <c r="G21" s="112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4"/>
      <c r="AK21" s="105"/>
      <c r="AL21" s="106"/>
      <c r="AM21" s="120" t="s">
        <v>125</v>
      </c>
    </row>
    <row r="22" spans="1:40" x14ac:dyDescent="0.25">
      <c r="A22" s="76" t="s">
        <v>0</v>
      </c>
      <c r="B22" s="98">
        <v>0</v>
      </c>
      <c r="C22" s="99">
        <v>0</v>
      </c>
      <c r="D22" s="99">
        <v>0</v>
      </c>
      <c r="E22" s="99">
        <v>0</v>
      </c>
      <c r="F22" s="99">
        <v>12454.76</v>
      </c>
      <c r="G22" s="99">
        <v>191642.45</v>
      </c>
      <c r="H22" s="99">
        <v>257925.06</v>
      </c>
      <c r="I22" s="99">
        <v>258848.42</v>
      </c>
      <c r="J22" s="99">
        <v>234125.18</v>
      </c>
      <c r="K22" s="99">
        <v>166948.49</v>
      </c>
      <c r="L22" s="99">
        <v>136842.14000000001</v>
      </c>
      <c r="M22" s="99">
        <v>210493.55</v>
      </c>
      <c r="N22" s="99">
        <v>406285.42</v>
      </c>
      <c r="O22" s="99">
        <v>1369889.78</v>
      </c>
      <c r="P22" s="99">
        <v>1103029.06</v>
      </c>
      <c r="Q22" s="99">
        <v>964230.74</v>
      </c>
      <c r="R22" s="99">
        <v>918986.9</v>
      </c>
      <c r="S22" s="99">
        <v>1235335.3500000001</v>
      </c>
      <c r="T22" s="99">
        <v>1643710.03</v>
      </c>
      <c r="U22" s="99">
        <v>1663991.32</v>
      </c>
      <c r="V22" s="99">
        <v>1315722.52</v>
      </c>
      <c r="W22" s="99">
        <v>1155142.76</v>
      </c>
      <c r="X22" s="99">
        <v>1008647.72</v>
      </c>
      <c r="Y22" s="99">
        <v>1300717.95</v>
      </c>
      <c r="Z22" s="99">
        <v>1995202.44</v>
      </c>
      <c r="AA22" s="99">
        <v>1361606.16</v>
      </c>
      <c r="AB22" s="99">
        <v>1097480.82</v>
      </c>
      <c r="AC22" s="99">
        <v>1059578.1200000001</v>
      </c>
      <c r="AD22" s="99">
        <v>862980.65</v>
      </c>
      <c r="AE22" s="99">
        <v>1281774.72</v>
      </c>
      <c r="AF22" s="99">
        <v>1502957.34</v>
      </c>
      <c r="AG22" s="99">
        <v>1346919.46</v>
      </c>
      <c r="AH22" s="99">
        <v>1295482.8999999999</v>
      </c>
      <c r="AI22" s="99">
        <v>1002485.52</v>
      </c>
      <c r="AJ22" s="114">
        <f>+PCR!AJ28*TDR!$AM$22+AJ36</f>
        <v>897491.19656924217</v>
      </c>
      <c r="AK22" s="118">
        <f>+PCR!AK28*TDR!$AM$22+AK36</f>
        <v>1226518.6729951636</v>
      </c>
      <c r="AL22" s="119">
        <f>+PCR!AL28*TDR!$AM$22+AL36</f>
        <v>1566418.2961729562</v>
      </c>
      <c r="AM22" s="109">
        <v>1.0640000000000001E-3</v>
      </c>
      <c r="AN22" s="110"/>
    </row>
    <row r="23" spans="1:40" x14ac:dyDescent="0.25">
      <c r="A23" s="76" t="s">
        <v>4</v>
      </c>
      <c r="B23" s="98">
        <v>0</v>
      </c>
      <c r="C23" s="99">
        <v>0</v>
      </c>
      <c r="D23" s="99">
        <v>0</v>
      </c>
      <c r="E23" s="99">
        <v>0</v>
      </c>
      <c r="F23" s="99">
        <v>856.28</v>
      </c>
      <c r="G23" s="99">
        <v>12419.27</v>
      </c>
      <c r="H23" s="99">
        <v>14760.05</v>
      </c>
      <c r="I23" s="99">
        <v>14736.25</v>
      </c>
      <c r="J23" s="99">
        <v>14174.52</v>
      </c>
      <c r="K23" s="99">
        <v>12053.27</v>
      </c>
      <c r="L23" s="99">
        <v>10707.26</v>
      </c>
      <c r="M23" s="99">
        <v>12431.58</v>
      </c>
      <c r="N23" s="99">
        <v>27338.89</v>
      </c>
      <c r="O23" s="99">
        <v>144726.28</v>
      </c>
      <c r="P23" s="99">
        <v>128485.97</v>
      </c>
      <c r="Q23" s="99">
        <v>121597.62</v>
      </c>
      <c r="R23" s="99">
        <v>120360.92</v>
      </c>
      <c r="S23" s="99">
        <v>143026.74</v>
      </c>
      <c r="T23" s="99">
        <v>165801.25</v>
      </c>
      <c r="U23" s="99">
        <v>167384.09</v>
      </c>
      <c r="V23" s="99">
        <v>149701.24</v>
      </c>
      <c r="W23" s="99">
        <v>141748.14000000001</v>
      </c>
      <c r="X23" s="99">
        <v>126699.78</v>
      </c>
      <c r="Y23" s="99">
        <v>139926.94</v>
      </c>
      <c r="Z23" s="99">
        <v>202221.15</v>
      </c>
      <c r="AA23" s="99">
        <v>343067.75</v>
      </c>
      <c r="AB23" s="99">
        <v>300632.48</v>
      </c>
      <c r="AC23" s="99">
        <v>296300.02</v>
      </c>
      <c r="AD23" s="99">
        <v>268199.42</v>
      </c>
      <c r="AE23" s="99">
        <v>337634.86</v>
      </c>
      <c r="AF23" s="99">
        <v>372521.79</v>
      </c>
      <c r="AG23" s="99">
        <v>348089.17</v>
      </c>
      <c r="AH23" s="99">
        <v>342034.51</v>
      </c>
      <c r="AI23" s="99">
        <v>301373.81</v>
      </c>
      <c r="AJ23" s="114">
        <f>+PCR!AJ29*TDR!$AM$23</f>
        <v>269886.2457052223</v>
      </c>
      <c r="AK23" s="118">
        <f>+PCR!AK29*TDR!$AM$23</f>
        <v>314879.49414592114</v>
      </c>
      <c r="AL23" s="119">
        <f>+PCR!AL29*TDR!$AM$23</f>
        <v>373746.82471284637</v>
      </c>
      <c r="AM23" s="109">
        <v>1.126E-3</v>
      </c>
      <c r="AN23" s="110"/>
    </row>
    <row r="24" spans="1:40" x14ac:dyDescent="0.25">
      <c r="A24" s="76" t="s">
        <v>5</v>
      </c>
      <c r="B24" s="98">
        <v>0</v>
      </c>
      <c r="C24" s="99">
        <v>0</v>
      </c>
      <c r="D24" s="99">
        <v>0</v>
      </c>
      <c r="E24" s="99">
        <v>0</v>
      </c>
      <c r="F24" s="99">
        <v>2460.2199999999998</v>
      </c>
      <c r="G24" s="99">
        <v>40611.43</v>
      </c>
      <c r="H24" s="99">
        <v>46133.34</v>
      </c>
      <c r="I24" s="99">
        <v>46227.56</v>
      </c>
      <c r="J24" s="99">
        <v>46423.360000000001</v>
      </c>
      <c r="K24" s="99">
        <v>40852.160000000003</v>
      </c>
      <c r="L24" s="99">
        <v>37249.85</v>
      </c>
      <c r="M24" s="99">
        <v>38727.83</v>
      </c>
      <c r="N24" s="99">
        <v>63808.639999999999</v>
      </c>
      <c r="O24" s="99">
        <v>334912.75</v>
      </c>
      <c r="P24" s="99">
        <v>311859.65000000002</v>
      </c>
      <c r="Q24" s="99">
        <v>306431.03999999998</v>
      </c>
      <c r="R24" s="99">
        <v>315079.21999999997</v>
      </c>
      <c r="S24" s="99">
        <v>357143.49</v>
      </c>
      <c r="T24" s="99">
        <v>388918.74</v>
      </c>
      <c r="U24" s="99">
        <v>396209.91</v>
      </c>
      <c r="V24" s="99">
        <v>373506.75</v>
      </c>
      <c r="W24" s="99">
        <v>358646.38</v>
      </c>
      <c r="X24" s="99">
        <v>321927.84000000003</v>
      </c>
      <c r="Y24" s="99">
        <v>337190.07</v>
      </c>
      <c r="Z24" s="99">
        <v>406112.33</v>
      </c>
      <c r="AA24" s="99">
        <v>569283.56999999995</v>
      </c>
      <c r="AB24" s="99">
        <v>530638.37</v>
      </c>
      <c r="AC24" s="99">
        <v>535419.43000000005</v>
      </c>
      <c r="AD24" s="99">
        <v>530865.09</v>
      </c>
      <c r="AE24" s="99">
        <v>632987.31999999995</v>
      </c>
      <c r="AF24" s="99">
        <v>672168.03</v>
      </c>
      <c r="AG24" s="99">
        <v>636130.80000000005</v>
      </c>
      <c r="AH24" s="99">
        <v>647286.31999999995</v>
      </c>
      <c r="AI24" s="99">
        <v>588134.43000000005</v>
      </c>
      <c r="AJ24" s="114">
        <f>+PCR!AJ30*TDR!$AM$24</f>
        <v>523292.17450928944</v>
      </c>
      <c r="AK24" s="118">
        <f>+PCR!AK30*TDR!$AM$24</f>
        <v>563269.99109084927</v>
      </c>
      <c r="AL24" s="119">
        <f>+PCR!AL30*TDR!$AM$24</f>
        <v>621651.74198387004</v>
      </c>
      <c r="AM24" s="109">
        <v>8.9700000000000001E-4</v>
      </c>
      <c r="AN24" s="110"/>
    </row>
    <row r="25" spans="1:40" x14ac:dyDescent="0.25">
      <c r="A25" s="76" t="s">
        <v>6</v>
      </c>
      <c r="B25" s="98">
        <v>0</v>
      </c>
      <c r="C25" s="99">
        <v>0</v>
      </c>
      <c r="D25" s="99">
        <v>0</v>
      </c>
      <c r="E25" s="99">
        <v>0</v>
      </c>
      <c r="F25" s="99">
        <v>1621.85</v>
      </c>
      <c r="G25" s="99">
        <v>15413.06</v>
      </c>
      <c r="H25" s="99">
        <v>19333.560000000001</v>
      </c>
      <c r="I25" s="99">
        <v>18858.009999999998</v>
      </c>
      <c r="J25" s="99">
        <v>20468.599999999999</v>
      </c>
      <c r="K25" s="99">
        <v>17365.72</v>
      </c>
      <c r="L25" s="99">
        <v>16669.060000000001</v>
      </c>
      <c r="M25" s="99">
        <v>16712.28</v>
      </c>
      <c r="N25" s="99">
        <v>31958.9</v>
      </c>
      <c r="O25" s="99">
        <v>328456.90999999997</v>
      </c>
      <c r="P25" s="99">
        <v>267175.5</v>
      </c>
      <c r="Q25" s="99">
        <v>287500.39</v>
      </c>
      <c r="R25" s="99">
        <v>291239.59000000003</v>
      </c>
      <c r="S25" s="99">
        <v>334700.84000000003</v>
      </c>
      <c r="T25" s="99">
        <v>327858.78000000003</v>
      </c>
      <c r="U25" s="99">
        <v>345877.98</v>
      </c>
      <c r="V25" s="99">
        <v>332796.82</v>
      </c>
      <c r="W25" s="99">
        <v>325738.77</v>
      </c>
      <c r="X25" s="99">
        <v>293261.37</v>
      </c>
      <c r="Y25" s="99">
        <v>307322.53000000003</v>
      </c>
      <c r="Z25" s="99">
        <v>339565.96</v>
      </c>
      <c r="AA25" s="99">
        <v>307869.25</v>
      </c>
      <c r="AB25" s="99">
        <v>306963.45</v>
      </c>
      <c r="AC25" s="99">
        <v>283370.14</v>
      </c>
      <c r="AD25" s="99">
        <v>326351.34000000003</v>
      </c>
      <c r="AE25" s="99">
        <v>353914.84</v>
      </c>
      <c r="AF25" s="99">
        <v>366503.78</v>
      </c>
      <c r="AG25" s="99">
        <v>360257.72</v>
      </c>
      <c r="AH25" s="99">
        <v>350605.05</v>
      </c>
      <c r="AI25" s="99">
        <v>328773.59000000003</v>
      </c>
      <c r="AJ25" s="114">
        <f>+PCR!AJ31*TDR!$AM$25</f>
        <v>300887.34436879656</v>
      </c>
      <c r="AK25" s="118">
        <f>+PCR!AK31*TDR!$AM$25</f>
        <v>312481.64988431329</v>
      </c>
      <c r="AL25" s="119">
        <f>+PCR!AL31*TDR!$AM$25</f>
        <v>339286.73336040456</v>
      </c>
      <c r="AM25" s="109">
        <v>1.127E-3</v>
      </c>
      <c r="AN25" s="110"/>
    </row>
    <row r="26" spans="1:40" x14ac:dyDescent="0.25">
      <c r="A26" s="76" t="s">
        <v>7</v>
      </c>
      <c r="B26" s="98">
        <v>0</v>
      </c>
      <c r="C26" s="99">
        <v>0</v>
      </c>
      <c r="D26" s="99">
        <v>0</v>
      </c>
      <c r="E26" s="99">
        <v>0</v>
      </c>
      <c r="F26" s="99"/>
      <c r="G26" s="99">
        <v>4867.8</v>
      </c>
      <c r="H26" s="99">
        <v>9528.7800000000007</v>
      </c>
      <c r="I26" s="99">
        <v>9622.07</v>
      </c>
      <c r="J26" s="99">
        <v>10571.65</v>
      </c>
      <c r="K26" s="99">
        <v>9276.2800000000007</v>
      </c>
      <c r="L26" s="99">
        <v>8552.14</v>
      </c>
      <c r="M26" s="99">
        <v>8040.28</v>
      </c>
      <c r="N26" s="99">
        <v>7958.8</v>
      </c>
      <c r="O26" s="99">
        <v>202699.47</v>
      </c>
      <c r="P26" s="99">
        <v>167678.56</v>
      </c>
      <c r="Q26" s="99">
        <v>185826.61</v>
      </c>
      <c r="R26" s="99">
        <v>189002.31</v>
      </c>
      <c r="S26" s="99">
        <v>225674.13</v>
      </c>
      <c r="T26" s="99">
        <v>213450.91</v>
      </c>
      <c r="U26" s="99">
        <v>236566.37</v>
      </c>
      <c r="V26" s="99">
        <v>225419.26</v>
      </c>
      <c r="W26" s="99">
        <v>214922.7</v>
      </c>
      <c r="X26" s="99">
        <v>204773.48</v>
      </c>
      <c r="Y26" s="99">
        <v>187770.83</v>
      </c>
      <c r="Z26" s="99">
        <v>190411.74</v>
      </c>
      <c r="AA26" s="99">
        <v>104692.59</v>
      </c>
      <c r="AB26" s="99">
        <v>18094.560000000001</v>
      </c>
      <c r="AC26" s="99">
        <v>17212.91</v>
      </c>
      <c r="AD26" s="99">
        <v>19682.41</v>
      </c>
      <c r="AE26" s="99">
        <v>21781.17</v>
      </c>
      <c r="AF26" s="99">
        <v>13233.54</v>
      </c>
      <c r="AG26" s="99">
        <v>22431.52</v>
      </c>
      <c r="AH26" s="99">
        <v>21067.32</v>
      </c>
      <c r="AI26" s="99">
        <v>20801.22</v>
      </c>
      <c r="AJ26" s="114">
        <f>+PCR!AJ32*TDR!$AM$26</f>
        <v>19700.273132198454</v>
      </c>
      <c r="AK26" s="118">
        <f>+PCR!AK32*TDR!$AM$26</f>
        <v>19012.308197094375</v>
      </c>
      <c r="AL26" s="119">
        <f>+PCR!AL32*TDR!$AM$26</f>
        <v>19865.963033664517</v>
      </c>
      <c r="AM26" s="109">
        <v>1.3999999999999999E-4</v>
      </c>
      <c r="AN26" s="110"/>
    </row>
    <row r="27" spans="1:40" x14ac:dyDescent="0.25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1"/>
      <c r="AK27" s="112"/>
      <c r="AL27" s="106"/>
      <c r="AN27" s="4"/>
    </row>
    <row r="28" spans="1:40" s="183" customFormat="1" x14ac:dyDescent="0.25">
      <c r="A28" s="50" t="s">
        <v>117</v>
      </c>
      <c r="B28" s="240"/>
      <c r="C28" s="232"/>
      <c r="D28" s="107"/>
      <c r="E28" s="103"/>
      <c r="F28" s="103"/>
      <c r="G28" s="103"/>
      <c r="H28" s="103"/>
      <c r="I28" s="103"/>
      <c r="J28" s="103"/>
      <c r="K28" s="112"/>
      <c r="L28" s="112"/>
      <c r="M28" s="112"/>
      <c r="N28" s="112"/>
      <c r="AJ28" s="111"/>
      <c r="AK28" s="112"/>
      <c r="AL28" s="106"/>
    </row>
    <row r="29" spans="1:40" s="183" customFormat="1" x14ac:dyDescent="0.25">
      <c r="A29" s="183" t="s">
        <v>0</v>
      </c>
      <c r="B29" s="114">
        <v>0</v>
      </c>
      <c r="C29" s="118">
        <v>0</v>
      </c>
      <c r="D29" s="118">
        <v>0</v>
      </c>
      <c r="E29" s="118">
        <v>0</v>
      </c>
      <c r="F29" s="118">
        <f>+(F22-F36)+(F36*F22/SUM(F22:F26))</f>
        <v>12454.76</v>
      </c>
      <c r="G29" s="118">
        <f>+(G22-G36)+(G36*G22/SUM(G22:G26))</f>
        <v>191642.45</v>
      </c>
      <c r="H29" s="118">
        <f t="shared" ref="H29:P29" si="27">+(H22-H36)+(H36*H22/SUM(H22:H26))</f>
        <v>257925.06</v>
      </c>
      <c r="I29" s="118">
        <f t="shared" si="27"/>
        <v>258848.42</v>
      </c>
      <c r="J29" s="118">
        <f t="shared" si="27"/>
        <v>234125.18</v>
      </c>
      <c r="K29" s="118">
        <f t="shared" si="27"/>
        <v>166948.49</v>
      </c>
      <c r="L29" s="118">
        <f t="shared" si="27"/>
        <v>136842.14000000001</v>
      </c>
      <c r="M29" s="118">
        <f t="shared" si="27"/>
        <v>210493.55</v>
      </c>
      <c r="N29" s="118">
        <f t="shared" si="27"/>
        <v>406285.42</v>
      </c>
      <c r="O29" s="118">
        <f t="shared" si="27"/>
        <v>1369889.78</v>
      </c>
      <c r="P29" s="118">
        <f t="shared" si="27"/>
        <v>1103029.06</v>
      </c>
      <c r="Q29" s="118">
        <f>+(Q22-Q36)+(Q36*PCR!Q28/SUM(PCR!Q28:Q32))</f>
        <v>983976.8055998187</v>
      </c>
      <c r="R29" s="118">
        <f>+(R22-R36)+(R36*PCR!R28/SUM(PCR!R28:R32))</f>
        <v>936126.67058040295</v>
      </c>
      <c r="S29" s="118">
        <f>+(S22-S36)+(S36*PCR!S28/SUM(PCR!S28:S32))</f>
        <v>1254886.244789884</v>
      </c>
      <c r="T29" s="118">
        <f>+(T22-T36)+(T36*PCR!T28/SUM(PCR!T28:T32))</f>
        <v>1666724.2213379955</v>
      </c>
      <c r="U29" s="118">
        <f>+(U22-U36)+(U36*PCR!U28/SUM(PCR!U28:U32))</f>
        <v>1687867.967739454</v>
      </c>
      <c r="V29" s="118">
        <f>+(V22-V36)+(V36*PCR!V28/SUM(PCR!V28:V32))</f>
        <v>1336984.8118306769</v>
      </c>
      <c r="W29" s="115">
        <f>+(W22-W36)+(W36*PCR!W28/SUM(PCR!W28:W32))</f>
        <v>1174985.3507627479</v>
      </c>
      <c r="X29" s="115">
        <f>+(X22-X36)+(X36*PCR!X28/SUM(PCR!X28:X32))</f>
        <v>1029531.6444714632</v>
      </c>
      <c r="Y29" s="115">
        <f>+(Y22-Y36)+(Y36*PCR!Y28/SUM(PCR!Y28:Y32))</f>
        <v>1326453.2350570641</v>
      </c>
      <c r="Z29" s="115">
        <f>+(Z22-Z36)+(Z36*PCR!Z28/SUM(PCR!Z28:Z32))</f>
        <v>2030661.7411402338</v>
      </c>
      <c r="AA29" s="115">
        <f>+(AA22-AA36)+(AA36*PCR!AA28/SUM(PCR!AA28:AA32))</f>
        <v>1388250.351917315</v>
      </c>
      <c r="AB29" s="115">
        <f>+(AB22-AB36)+(AB36*PCR!AB28/SUM(PCR!AB28:AB32))</f>
        <v>1120654.6531242458</v>
      </c>
      <c r="AC29" s="115">
        <f>+(AC22-AC36)+(AC36*PCR!AC28/SUM(PCR!AC28:AC32))</f>
        <v>1082451.6725849968</v>
      </c>
      <c r="AD29" s="115">
        <f>+(AD22-AD36)+(AD36*PCR!AD28/SUM(PCR!AD28:AD32))</f>
        <v>880251.85351460415</v>
      </c>
      <c r="AE29" s="115">
        <f>+(AE22-AE36)+(AE36*PCR!AE28/SUM(PCR!AE28:AE32))</f>
        <v>1301284.1891339927</v>
      </c>
      <c r="AF29" s="115">
        <f>+(AF22-AF36)+(AF36*PCR!AF28/SUM(PCR!AF28:AF32))</f>
        <v>1524704.8572049867</v>
      </c>
      <c r="AG29" s="115">
        <f>+(AG22-AG36)+(AG36*PCR!AG28/SUM(PCR!AG28:AG32))</f>
        <v>1366723.6950669868</v>
      </c>
      <c r="AH29" s="115">
        <f>+(AH22-AH36)+(AH36*PCR!AH28/SUM(PCR!AH28:AH32))</f>
        <v>1314605.108458352</v>
      </c>
      <c r="AI29" s="115">
        <f>+(AI22-AI36)+(AI36*PCR!AI28/SUM(PCR!AI28:AI32))</f>
        <v>1020432.9529194708</v>
      </c>
      <c r="AJ29" s="114">
        <f>+(AJ22-AJ36)+(AJ36*PCR!AJ28/SUM(PCR!AJ28:AJ32))</f>
        <v>914994.1697712657</v>
      </c>
      <c r="AK29" s="118">
        <f>+(AK22-AK36)+(AK36*PCR!AK28/SUM(PCR!AK28:AK32))</f>
        <v>1248001.7341034722</v>
      </c>
      <c r="AL29" s="119">
        <f>+(AL22-AL36)+(AL36*PCR!AL28/SUM(PCR!AL28:AL32))</f>
        <v>1592043.9964439026</v>
      </c>
    </row>
    <row r="30" spans="1:40" s="183" customFormat="1" x14ac:dyDescent="0.25">
      <c r="A30" s="183" t="s">
        <v>4</v>
      </c>
      <c r="B30" s="114">
        <v>0</v>
      </c>
      <c r="C30" s="118">
        <v>0</v>
      </c>
      <c r="D30" s="118">
        <v>0</v>
      </c>
      <c r="E30" s="118">
        <v>0</v>
      </c>
      <c r="F30" s="141">
        <f>+F23+(F36*F23/SUM(F22:F26))</f>
        <v>856.28</v>
      </c>
      <c r="G30" s="118">
        <f t="shared" ref="G30:P30" si="28">+G23+(G36*G23/SUM(G22:G26))</f>
        <v>12419.27</v>
      </c>
      <c r="H30" s="118">
        <f t="shared" si="28"/>
        <v>14760.05</v>
      </c>
      <c r="I30" s="118">
        <f t="shared" si="28"/>
        <v>14736.25</v>
      </c>
      <c r="J30" s="118">
        <f t="shared" si="28"/>
        <v>14174.52</v>
      </c>
      <c r="K30" s="118">
        <f t="shared" si="28"/>
        <v>12053.27</v>
      </c>
      <c r="L30" s="118">
        <f t="shared" si="28"/>
        <v>10707.26</v>
      </c>
      <c r="M30" s="118">
        <f t="shared" si="28"/>
        <v>12431.58</v>
      </c>
      <c r="N30" s="118">
        <f t="shared" si="28"/>
        <v>27338.89</v>
      </c>
      <c r="O30" s="118">
        <f t="shared" si="28"/>
        <v>144726.28</v>
      </c>
      <c r="P30" s="118">
        <f t="shared" si="28"/>
        <v>128485.97</v>
      </c>
      <c r="Q30" s="118">
        <f>+Q23+(Q36*PCR!Q29/SUM(PCR!Q28:Q32))</f>
        <v>117754.86766427531</v>
      </c>
      <c r="R30" s="118">
        <f>+R23+(R36*PCR!R29/SUM(PCR!R28:R32))</f>
        <v>117111.78358657917</v>
      </c>
      <c r="S30" s="118">
        <f>+S23+(S36*PCR!S29/SUM(PCR!S28:S32))</f>
        <v>139211.1271761941</v>
      </c>
      <c r="T30" s="118">
        <f>+T23+(T36*PCR!T29/SUM(PCR!T28:T32))</f>
        <v>160900.46992761682</v>
      </c>
      <c r="U30" s="118">
        <f>+U23+(U36*PCR!U29/SUM(PCR!U28:U32))</f>
        <v>162415.72720926077</v>
      </c>
      <c r="V30" s="118">
        <f>+V23+(V36*PCR!V29/SUM(PCR!V28:V32))</f>
        <v>145481.1603029698</v>
      </c>
      <c r="W30" s="115">
        <f>+W23+(W36*PCR!W29/SUM(PCR!W28:W32))</f>
        <v>137867.15538119225</v>
      </c>
      <c r="X30" s="115">
        <f>+X23+(X36*PCR!X29/SUM(PCR!X28:X32))</f>
        <v>122671.59779667509</v>
      </c>
      <c r="Y30" s="115">
        <f>+Y23+(Y36*PCR!Y29/SUM(PCR!Y28:Y32))</f>
        <v>134648.09810155624</v>
      </c>
      <c r="Z30" s="115">
        <f>+Z23+(Z36*PCR!Z29/SUM(PCR!Z28:Z32))</f>
        <v>193970.45230344273</v>
      </c>
      <c r="AA30" s="115">
        <f>+AA23+(AA36*PCR!AA29/SUM(PCR!AA28:AA32))</f>
        <v>337014.48620173347</v>
      </c>
      <c r="AB30" s="115">
        <f>+AB23+(AB36*PCR!AB29/SUM(PCR!AB28:AB32))</f>
        <v>295708.57620644657</v>
      </c>
      <c r="AC30" s="115">
        <f>+AC23+(AC36*PCR!AC29/SUM(PCR!AC28:AC32))</f>
        <v>291406.59328999976</v>
      </c>
      <c r="AD30" s="115">
        <f>+AD23+(AD36*PCR!AD29/SUM(PCR!AD28:AD32))</f>
        <v>264923.25566753082</v>
      </c>
      <c r="AE30" s="115">
        <f>+AE23+(AE36*PCR!AE29/SUM(PCR!AE28:AE32))</f>
        <v>333657.21503767214</v>
      </c>
      <c r="AF30" s="115">
        <f>+AF23+(AF36*PCR!AF29/SUM(PCR!AF28:AF32))</f>
        <v>367915.86365673423</v>
      </c>
      <c r="AG30" s="115">
        <f>+AG23+(AG36*PCR!AG29/SUM(PCR!AG28:AG32))</f>
        <v>344001.06732957577</v>
      </c>
      <c r="AH30" s="115">
        <f>+AH23+(AH36*PCR!AH29/SUM(PCR!AH28:AH32))</f>
        <v>338126.29031171976</v>
      </c>
      <c r="AI30" s="115">
        <f>+AI23+(AI36*PCR!AI29/SUM(PCR!AI28:AI32))</f>
        <v>297845.76900715684</v>
      </c>
      <c r="AJ30" s="114">
        <f>+AJ23+(AJ36*PCR!AJ29/SUM(PCR!AJ28:AJ32))</f>
        <v>266477.61708625866</v>
      </c>
      <c r="AK30" s="118">
        <f>+AK23+(AK36*PCR!AK29/SUM(PCR!AK28:AK32))</f>
        <v>310330.55748254154</v>
      </c>
      <c r="AL30" s="119">
        <f>+AL23+(AL36*PCR!AL29/SUM(PCR!AL28:AL32))</f>
        <v>367952.33721605997</v>
      </c>
    </row>
    <row r="31" spans="1:40" s="183" customFormat="1" x14ac:dyDescent="0.25">
      <c r="A31" s="183" t="s">
        <v>5</v>
      </c>
      <c r="B31" s="114">
        <v>0</v>
      </c>
      <c r="C31" s="118">
        <v>0</v>
      </c>
      <c r="D31" s="118">
        <v>0</v>
      </c>
      <c r="E31" s="118">
        <v>0</v>
      </c>
      <c r="F31" s="118">
        <f t="shared" ref="F31:P31" si="29">+F24+(F36*F24/SUM(F22:F26))</f>
        <v>2460.2199999999998</v>
      </c>
      <c r="G31" s="118">
        <f t="shared" si="29"/>
        <v>40611.43</v>
      </c>
      <c r="H31" s="118">
        <f t="shared" si="29"/>
        <v>46133.34</v>
      </c>
      <c r="I31" s="118">
        <f t="shared" si="29"/>
        <v>46227.56</v>
      </c>
      <c r="J31" s="118">
        <f t="shared" si="29"/>
        <v>46423.360000000001</v>
      </c>
      <c r="K31" s="118">
        <f t="shared" si="29"/>
        <v>40852.160000000003</v>
      </c>
      <c r="L31" s="118">
        <f t="shared" si="29"/>
        <v>37249.85</v>
      </c>
      <c r="M31" s="118">
        <f t="shared" si="29"/>
        <v>38727.83</v>
      </c>
      <c r="N31" s="118">
        <f t="shared" si="29"/>
        <v>63808.639999999999</v>
      </c>
      <c r="O31" s="118">
        <f t="shared" si="29"/>
        <v>334912.75</v>
      </c>
      <c r="P31" s="118">
        <f t="shared" si="29"/>
        <v>311859.65000000002</v>
      </c>
      <c r="Q31" s="118">
        <f>+Q24+(Q36*PCR!Q30/SUM(PCR!Q28:Q32))</f>
        <v>297067.25661237026</v>
      </c>
      <c r="R31" s="118">
        <f>+R24+(R36*PCR!R30/SUM(PCR!R28:R32))</f>
        <v>306858.76704664429</v>
      </c>
      <c r="S31" s="118">
        <f>+S24+(S36*PCR!S30/SUM(PCR!S28:S32))</f>
        <v>347930.82125503593</v>
      </c>
      <c r="T31" s="118">
        <f>+T24+(T36*PCR!T30/SUM(PCR!T28:T32))</f>
        <v>377801.41744412482</v>
      </c>
      <c r="U31" s="118">
        <f>+U24+(U36*PCR!U30/SUM(PCR!U28:U32))</f>
        <v>384838.10767902108</v>
      </c>
      <c r="V31" s="118">
        <f>+V24+(V36*PCR!V30/SUM(PCR!V28:V32))</f>
        <v>363327.24534638016</v>
      </c>
      <c r="W31" s="115">
        <f>+W24+(W36*PCR!W30/SUM(PCR!W28:W32))</f>
        <v>349151.70540680212</v>
      </c>
      <c r="X31" s="115">
        <f>+X24+(X36*PCR!X30/SUM(PCR!X28:X32))</f>
        <v>312029.63241835893</v>
      </c>
      <c r="Y31" s="115">
        <f>+Y24+(Y36*PCR!Y30/SUM(PCR!Y28:Y32))</f>
        <v>324930.27431740938</v>
      </c>
      <c r="Z31" s="115">
        <f>+Z24+(Z36*PCR!Z30/SUM(PCR!Z28:Z32))</f>
        <v>389339.8693849984</v>
      </c>
      <c r="AA31" s="115">
        <f>+AA24+(AA36*PCR!AA30/SUM(PCR!AA28:AA32))</f>
        <v>556625.85708732984</v>
      </c>
      <c r="AB31" s="115">
        <f>+AB24+(AB36*PCR!AB30/SUM(PCR!AB28:AB32))</f>
        <v>519727.84944586566</v>
      </c>
      <c r="AC31" s="115">
        <f>+AC24+(AC36*PCR!AC30/SUM(PCR!AC28:AC32))</f>
        <v>524323.57207482436</v>
      </c>
      <c r="AD31" s="115">
        <f>+AD24+(AD36*PCR!AD30/SUM(PCR!AD28:AD32))</f>
        <v>522730.47478252684</v>
      </c>
      <c r="AE31" s="115">
        <f>+AE24+(AE36*PCR!AE30/SUM(PCR!AE28:AE32))</f>
        <v>623624.8655420111</v>
      </c>
      <c r="AF31" s="115">
        <f>+AF24+(AF36*PCR!AF30/SUM(PCR!AF28:AF32))</f>
        <v>661725.50586693978</v>
      </c>
      <c r="AG31" s="115">
        <f>+AG24+(AG36*PCR!AG30/SUM(PCR!AG28:AG32))</f>
        <v>626757.48216571088</v>
      </c>
      <c r="AH31" s="115">
        <f>+AH24+(AH36*PCR!AH30/SUM(PCR!AH28:AH32))</f>
        <v>638007.84216665139</v>
      </c>
      <c r="AI31" s="115">
        <f>+AI24+(AI36*PCR!AI30/SUM(PCR!AI28:AI32))</f>
        <v>579490.47761485481</v>
      </c>
      <c r="AJ31" s="114">
        <f>+AJ24+(AJ36*PCR!AJ30/SUM(PCR!AJ28:AJ32))</f>
        <v>514995.78522926534</v>
      </c>
      <c r="AK31" s="118">
        <f>+AK24+(AK36*PCR!AK30/SUM(PCR!AK28:AK32))</f>
        <v>553055.23331241566</v>
      </c>
      <c r="AL31" s="119">
        <f>+AL24+(AL36*PCR!AL30/SUM(PCR!AL28:AL32))</f>
        <v>609553.26727752527</v>
      </c>
    </row>
    <row r="32" spans="1:40" s="183" customFormat="1" x14ac:dyDescent="0.25">
      <c r="A32" s="183" t="s">
        <v>6</v>
      </c>
      <c r="B32" s="114">
        <v>0</v>
      </c>
      <c r="C32" s="118">
        <v>0</v>
      </c>
      <c r="D32" s="118">
        <v>0</v>
      </c>
      <c r="E32" s="118">
        <v>0</v>
      </c>
      <c r="F32" s="118">
        <f t="shared" ref="F32:P32" si="30">+F25+(F36*F25/SUM(F22:F26))</f>
        <v>1621.85</v>
      </c>
      <c r="G32" s="118">
        <f t="shared" si="30"/>
        <v>15413.06</v>
      </c>
      <c r="H32" s="118">
        <f t="shared" si="30"/>
        <v>19333.560000000001</v>
      </c>
      <c r="I32" s="118">
        <f t="shared" si="30"/>
        <v>18858.009999999998</v>
      </c>
      <c r="J32" s="118">
        <f t="shared" si="30"/>
        <v>20468.599999999999</v>
      </c>
      <c r="K32" s="118">
        <f t="shared" si="30"/>
        <v>17365.72</v>
      </c>
      <c r="L32" s="118">
        <f t="shared" si="30"/>
        <v>16669.060000000001</v>
      </c>
      <c r="M32" s="118">
        <f t="shared" si="30"/>
        <v>16712.28</v>
      </c>
      <c r="N32" s="118">
        <f t="shared" si="30"/>
        <v>31958.9</v>
      </c>
      <c r="O32" s="118">
        <f t="shared" si="30"/>
        <v>328456.90999999997</v>
      </c>
      <c r="P32" s="118">
        <f t="shared" si="30"/>
        <v>267175.5</v>
      </c>
      <c r="Q32" s="118">
        <f>+Q25+(Q36*PCR!Q31/SUM(PCR!Q28:Q32))</f>
        <v>283136.40886630391</v>
      </c>
      <c r="R32" s="118">
        <f>+R25+(R36*PCR!R31/SUM(PCR!R28:R32))</f>
        <v>287460.81327816768</v>
      </c>
      <c r="S32" s="118">
        <f>+S25+(S36*PCR!S31/SUM(PCR!S28:S32))</f>
        <v>330409.77575572423</v>
      </c>
      <c r="T32" s="118">
        <f>+T25+(T36*PCR!T31/SUM(PCR!T28:T32))</f>
        <v>323201.37525993661</v>
      </c>
      <c r="U32" s="118">
        <f>+U25+(U36*PCR!U31/SUM(PCR!U28:U32))</f>
        <v>340944.20704658219</v>
      </c>
      <c r="V32" s="118">
        <f>+V25+(V36*PCR!V31/SUM(PCR!V28:V32))</f>
        <v>328289.08781066153</v>
      </c>
      <c r="W32" s="115">
        <f>+W25+(W36*PCR!W31/SUM(PCR!W28:W32))</f>
        <v>321452.90171375725</v>
      </c>
      <c r="X32" s="115">
        <f>+X25+(X36*PCR!X31/SUM(PCR!X28:X32))</f>
        <v>288778.65587559086</v>
      </c>
      <c r="Y32" s="115">
        <f>+Y25+(Y36*PCR!Y31/SUM(PCR!Y28:Y32))</f>
        <v>301751.31193612184</v>
      </c>
      <c r="Z32" s="115">
        <f>+Z25+(Z36*PCR!Z31/SUM(PCR!Z28:Z32))</f>
        <v>332299.53125242464</v>
      </c>
      <c r="AA32" s="115">
        <f>+AA25+(AA36*PCR!AA31/SUM(PCR!AA28:AA32))</f>
        <v>302428.95514228137</v>
      </c>
      <c r="AB32" s="115">
        <f>+AB25+(AB36*PCR!AB31/SUM(PCR!AB28:AB32))</f>
        <v>301943.60981245001</v>
      </c>
      <c r="AC32" s="115">
        <f>+AC25+(AC36*PCR!AC31/SUM(PCR!AC28:AC32))</f>
        <v>278699.7057611302</v>
      </c>
      <c r="AD32" s="115">
        <f>+AD25+(AD36*PCR!AD31/SUM(PCR!AD28:AD32))</f>
        <v>322370.88601313852</v>
      </c>
      <c r="AE32" s="115">
        <f>+AE25+(AE36*PCR!AE31/SUM(PCR!AE28:AE32))</f>
        <v>349751.02773569047</v>
      </c>
      <c r="AF32" s="115">
        <f>+AF25+(AF36*PCR!AF31/SUM(PCR!AF28:AF32))</f>
        <v>361975.97928185289</v>
      </c>
      <c r="AG32" s="115">
        <f>+AG25+(AG36*PCR!AG31/SUM(PCR!AG28:AG32))</f>
        <v>356032.65352996916</v>
      </c>
      <c r="AH32" s="115">
        <f>+AH25+(AH36*PCR!AH31/SUM(PCR!AH28:AH32))</f>
        <v>346604.60421828728</v>
      </c>
      <c r="AI32" s="115">
        <f>+AI25+(AI36*PCR!AI31/SUM(PCR!AI28:AI32))</f>
        <v>324956.79952393915</v>
      </c>
      <c r="AJ32" s="114">
        <f>+AJ25+(AJ36*PCR!AJ31/SUM(PCR!AJ28:AJ32))</f>
        <v>297090.54778852483</v>
      </c>
      <c r="AK32" s="118">
        <f>+AK25+(AK36*PCR!AK31/SUM(PCR!AK28:AK32))</f>
        <v>307971.35949339526</v>
      </c>
      <c r="AL32" s="119">
        <f>+AL25+(AL36*PCR!AL31/SUM(PCR!AL28:AL32))</f>
        <v>334031.1749006504</v>
      </c>
    </row>
    <row r="33" spans="1:40" s="183" customFormat="1" x14ac:dyDescent="0.25">
      <c r="A33" s="183" t="s">
        <v>7</v>
      </c>
      <c r="B33" s="114">
        <v>0</v>
      </c>
      <c r="C33" s="118">
        <v>0</v>
      </c>
      <c r="D33" s="118">
        <v>0</v>
      </c>
      <c r="E33" s="118">
        <v>0</v>
      </c>
      <c r="F33" s="118">
        <f t="shared" ref="F33:P33" si="31">+F26+(F36*F26/SUM(F22:F26))</f>
        <v>0</v>
      </c>
      <c r="G33" s="118">
        <f t="shared" si="31"/>
        <v>4867.8</v>
      </c>
      <c r="H33" s="118">
        <f t="shared" si="31"/>
        <v>9528.7800000000007</v>
      </c>
      <c r="I33" s="118">
        <f t="shared" si="31"/>
        <v>9622.07</v>
      </c>
      <c r="J33" s="118">
        <f t="shared" si="31"/>
        <v>10571.65</v>
      </c>
      <c r="K33" s="118">
        <f t="shared" si="31"/>
        <v>9276.2800000000007</v>
      </c>
      <c r="L33" s="118">
        <f t="shared" si="31"/>
        <v>8552.14</v>
      </c>
      <c r="M33" s="118">
        <f t="shared" si="31"/>
        <v>8040.28</v>
      </c>
      <c r="N33" s="118">
        <f t="shared" si="31"/>
        <v>7958.8</v>
      </c>
      <c r="O33" s="118">
        <f t="shared" si="31"/>
        <v>202699.47</v>
      </c>
      <c r="P33" s="118">
        <f t="shared" si="31"/>
        <v>167678.56</v>
      </c>
      <c r="Q33" s="118">
        <f>+Q26+(Q36*PCR!Q32/SUM(PCR!Q28:Q32))</f>
        <v>183651.06125723169</v>
      </c>
      <c r="R33" s="118">
        <f>+R26+(R36*PCR!R32/SUM(PCR!R28:R32))</f>
        <v>187110.90550820582</v>
      </c>
      <c r="S33" s="118">
        <f>+S26+(S36*PCR!S32/SUM(PCR!S28:S32))</f>
        <v>223442.58102316182</v>
      </c>
      <c r="T33" s="118">
        <f>+T26+(T36*PCR!T32/SUM(PCR!T28:T32))</f>
        <v>211112.22603032622</v>
      </c>
      <c r="U33" s="118">
        <f>+U26+(U36*PCR!U32/SUM(PCR!U28:U32))</f>
        <v>233963.66032568182</v>
      </c>
      <c r="V33" s="118">
        <f>+V26+(V36*PCR!V32/SUM(PCR!V28:V32))</f>
        <v>223064.28470931173</v>
      </c>
      <c r="W33" s="115">
        <f>+W26+(W36*PCR!W32/SUM(PCR!W28:W32))</f>
        <v>212741.63673550039</v>
      </c>
      <c r="X33" s="115">
        <f>+X26+(X36*PCR!X32/SUM(PCR!X28:X32))</f>
        <v>202298.65943791193</v>
      </c>
      <c r="Y33" s="115">
        <f>+Y26+(Y36*PCR!Y32/SUM(PCR!Y28:Y32))</f>
        <v>185145.40058784836</v>
      </c>
      <c r="Z33" s="115">
        <f>+Z26+(Z36*PCR!Z32/SUM(PCR!Z28:Z32))</f>
        <v>187242.02591890033</v>
      </c>
      <c r="AA33" s="115">
        <f>+AA26+(AA36*PCR!AA32/SUM(PCR!AA28:AA32))</f>
        <v>102199.66965133997</v>
      </c>
      <c r="AB33" s="115">
        <f>+AB26+(AB36*PCR!AB32/SUM(PCR!AB28:AB32))</f>
        <v>15774.991410991883</v>
      </c>
      <c r="AC33" s="115">
        <f>+AC26+(AC36*PCR!AC32/SUM(PCR!AC28:AC32))</f>
        <v>14999.076289049191</v>
      </c>
      <c r="AD33" s="115">
        <f>+AD26+(AD36*PCR!AD32/SUM(PCR!AD28:AD32))</f>
        <v>17802.440022199695</v>
      </c>
      <c r="AE33" s="115">
        <f>+AE26+(AE36*PCR!AE32/SUM(PCR!AE28:AE32))</f>
        <v>19775.612550633668</v>
      </c>
      <c r="AF33" s="115">
        <f>+AF26+(AF36*PCR!AF32/SUM(PCR!AF28:AF32))</f>
        <v>11062.273989486501</v>
      </c>
      <c r="AG33" s="115">
        <f>+AG26+(AG36*PCR!AG32/SUM(PCR!AG28:AG32))</f>
        <v>20313.771907757455</v>
      </c>
      <c r="AH33" s="115">
        <f>+AH26+(AH36*PCR!AH32/SUM(PCR!AH28:AH32))</f>
        <v>19132.25484498954</v>
      </c>
      <c r="AI33" s="115">
        <f>+AI26+(AI36*PCR!AI32/SUM(PCR!AI28:AI32))</f>
        <v>18842.570934578442</v>
      </c>
      <c r="AJ33" s="114">
        <f>+AJ26+(AJ36*PCR!AJ32/SUM(PCR!AJ28:AJ32))</f>
        <v>17699.114409434365</v>
      </c>
      <c r="AK33" s="118">
        <f>+AK26+(AK36*PCR!AK32/SUM(PCR!AK28:AK32))</f>
        <v>16803.231921516897</v>
      </c>
      <c r="AL33" s="119">
        <f>+AL26+(AL36*PCR!AL32/SUM(PCR!AL28:AL32))</f>
        <v>17388.783425603437</v>
      </c>
    </row>
    <row r="34" spans="1:40" s="50" customFormat="1" x14ac:dyDescent="0.25">
      <c r="B34" s="241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102"/>
      <c r="AK34" s="103"/>
      <c r="AL34" s="106"/>
    </row>
    <row r="35" spans="1:40" s="183" customFormat="1" x14ac:dyDescent="0.25">
      <c r="A35" s="50" t="s">
        <v>124</v>
      </c>
      <c r="B35" s="240"/>
      <c r="C35" s="232"/>
      <c r="D35" s="107" t="s">
        <v>89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2"/>
      <c r="AK35" s="103"/>
      <c r="AL35" s="106"/>
    </row>
    <row r="36" spans="1:40" s="183" customFormat="1" x14ac:dyDescent="0.25">
      <c r="A36" s="50" t="str">
        <f>A22</f>
        <v>RES</v>
      </c>
      <c r="B36" s="98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-32811.980000000003</v>
      </c>
      <c r="R36" s="99">
        <v>-27741.819999999996</v>
      </c>
      <c r="S36" s="99">
        <v>-33591.72</v>
      </c>
      <c r="T36" s="99">
        <v>-43701.210000000006</v>
      </c>
      <c r="U36" s="99">
        <v>-44913.150000000016</v>
      </c>
      <c r="V36" s="99">
        <v>-37075.26</v>
      </c>
      <c r="W36" s="108">
        <v>-33337.619999999995</v>
      </c>
      <c r="X36" s="108">
        <v>-34636.379999999997</v>
      </c>
      <c r="Y36" s="108">
        <v>-46816.780000000006</v>
      </c>
      <c r="Z36" s="108">
        <v>-74379.199999999997</v>
      </c>
      <c r="AA36" s="108">
        <v>-53026.439999999981</v>
      </c>
      <c r="AB36" s="108">
        <v>-42925.730000000018</v>
      </c>
      <c r="AC36" s="108">
        <v>-42106.7</v>
      </c>
      <c r="AD36" s="108">
        <v>-28791.749999999996</v>
      </c>
      <c r="AE36" s="108">
        <v>-35930.130000000005</v>
      </c>
      <c r="AF36" s="108">
        <v>-41963.429999999993</v>
      </c>
      <c r="AG36" s="108">
        <v>-36995.590000000011</v>
      </c>
      <c r="AH36" s="108">
        <v>-35204.390000000014</v>
      </c>
      <c r="AI36" s="108">
        <v>-30748.660000000003</v>
      </c>
      <c r="AJ36" s="114">
        <f>-(PCR!AJ28*TDR!$AM$22*PPC!$B$14)</f>
        <v>-29898.29676409113</v>
      </c>
      <c r="AK36" s="118">
        <f>-(PCR!AK28*TDR!$AM$22*PPC!$B$14)</f>
        <v>-40859.252338169834</v>
      </c>
      <c r="AL36" s="119">
        <f>-(PCR!AL28*TDR!$AM$22*PPC!$B$14)</f>
        <v>-52182.393827043874</v>
      </c>
    </row>
    <row r="37" spans="1:40" s="183" customFormat="1" x14ac:dyDescent="0.25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1"/>
      <c r="AK37" s="112"/>
      <c r="AL37" s="106"/>
      <c r="AN37" s="4"/>
    </row>
    <row r="38" spans="1:40" x14ac:dyDescent="0.25">
      <c r="B38" s="111"/>
      <c r="C38" s="112"/>
      <c r="D38" s="107" t="s">
        <v>71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1"/>
      <c r="AK38" s="112"/>
      <c r="AL38" s="116"/>
      <c r="AM38" s="4"/>
    </row>
    <row r="39" spans="1:40" ht="15.75" thickBot="1" x14ac:dyDescent="0.3">
      <c r="A39" s="120" t="s">
        <v>91</v>
      </c>
      <c r="B39" s="121">
        <v>0</v>
      </c>
      <c r="C39" s="122">
        <v>0</v>
      </c>
      <c r="D39" s="122">
        <v>0</v>
      </c>
      <c r="E39" s="122">
        <v>0.83</v>
      </c>
      <c r="F39" s="122">
        <v>-4.12</v>
      </c>
      <c r="G39" s="122">
        <v>-72.86</v>
      </c>
      <c r="H39" s="122">
        <v>-100.31</v>
      </c>
      <c r="I39" s="122">
        <v>-72.75</v>
      </c>
      <c r="J39" s="122">
        <v>200.51</v>
      </c>
      <c r="K39" s="122">
        <v>172.02</v>
      </c>
      <c r="L39" s="122">
        <v>217.02</v>
      </c>
      <c r="M39" s="122">
        <v>395.25</v>
      </c>
      <c r="N39" s="122">
        <v>349.23</v>
      </c>
      <c r="O39" s="122">
        <v>9085.07</v>
      </c>
      <c r="P39" s="122">
        <v>10214.99</v>
      </c>
      <c r="Q39" s="122">
        <v>8736.59</v>
      </c>
      <c r="R39" s="122">
        <v>7362.86</v>
      </c>
      <c r="S39" s="122">
        <v>7923.4</v>
      </c>
      <c r="T39" s="122">
        <v>6924.77</v>
      </c>
      <c r="U39" s="122">
        <v>6462.66</v>
      </c>
      <c r="V39" s="122">
        <v>5489.98</v>
      </c>
      <c r="W39" s="122">
        <v>3758.58</v>
      </c>
      <c r="X39" s="122">
        <v>2383.46</v>
      </c>
      <c r="Y39" s="122">
        <v>1195.4000000000001</v>
      </c>
      <c r="Z39" s="122">
        <v>-1558.24</v>
      </c>
      <c r="AA39" s="122">
        <v>-4135.4799999999996</v>
      </c>
      <c r="AB39" s="122">
        <v>-6601.54</v>
      </c>
      <c r="AC39" s="122">
        <v>-9814.07</v>
      </c>
      <c r="AD39" s="122">
        <v>-10424.57</v>
      </c>
      <c r="AE39" s="122">
        <v>-8592.41</v>
      </c>
      <c r="AF39" s="122">
        <v>-4589.53</v>
      </c>
      <c r="AG39" s="122">
        <v>-680.13</v>
      </c>
      <c r="AH39" s="122">
        <v>1145.49</v>
      </c>
      <c r="AI39" s="122">
        <v>131.71</v>
      </c>
      <c r="AJ39" s="100">
        <v>-914.94590678598775</v>
      </c>
      <c r="AK39" s="101">
        <v>-1949.0576371918601</v>
      </c>
      <c r="AL39" s="158">
        <v>-3541.8161462395337</v>
      </c>
    </row>
    <row r="40" spans="1:40" x14ac:dyDescent="0.25">
      <c r="B40" s="185"/>
      <c r="C40" s="124"/>
      <c r="D40" s="124"/>
      <c r="E40" s="124"/>
      <c r="F40" s="124"/>
      <c r="G40" s="218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85"/>
      <c r="AK40" s="124"/>
      <c r="AL40" s="125"/>
    </row>
    <row r="41" spans="1:40" x14ac:dyDescent="0.25">
      <c r="A41" s="76" t="s">
        <v>72</v>
      </c>
      <c r="B41" s="126"/>
      <c r="C41" s="51"/>
      <c r="D41" s="51"/>
      <c r="E41" s="51"/>
      <c r="F41" s="51"/>
      <c r="G41" s="219"/>
      <c r="H41" s="51"/>
      <c r="I41" s="51"/>
      <c r="J41" s="51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102"/>
      <c r="AK41" s="103"/>
      <c r="AL41" s="106"/>
    </row>
    <row r="42" spans="1:40" x14ac:dyDescent="0.25">
      <c r="A42" s="76" t="s">
        <v>0</v>
      </c>
      <c r="B42" s="114">
        <f>B15-B29</f>
        <v>0</v>
      </c>
      <c r="C42" s="118">
        <f t="shared" ref="C42:AL46" si="32">C15-C29</f>
        <v>0</v>
      </c>
      <c r="D42" s="118">
        <f t="shared" si="32"/>
        <v>0</v>
      </c>
      <c r="E42" s="118">
        <f t="shared" si="32"/>
        <v>1328.78</v>
      </c>
      <c r="F42" s="118">
        <f t="shared" si="32"/>
        <v>-2928.2299999999996</v>
      </c>
      <c r="G42" s="118">
        <f t="shared" si="32"/>
        <v>-71289.570000000007</v>
      </c>
      <c r="H42" s="118">
        <f t="shared" si="32"/>
        <v>-1844.4099999999744</v>
      </c>
      <c r="I42" s="118">
        <f t="shared" si="32"/>
        <v>114544.92435846673</v>
      </c>
      <c r="J42" s="118">
        <f t="shared" si="32"/>
        <v>437611.03363575385</v>
      </c>
      <c r="K42" s="118">
        <f t="shared" si="32"/>
        <v>-46108.639999999985</v>
      </c>
      <c r="L42" s="118">
        <f t="shared" si="32"/>
        <v>48251.358816492691</v>
      </c>
      <c r="M42" s="118">
        <f t="shared" si="32"/>
        <v>92791.644528529549</v>
      </c>
      <c r="N42" s="118">
        <f t="shared" si="32"/>
        <v>-76541.62899647688</v>
      </c>
      <c r="O42" s="118">
        <f t="shared" si="32"/>
        <v>-1050300.6538526569</v>
      </c>
      <c r="P42" s="118">
        <f t="shared" si="32"/>
        <v>-795612.54377562623</v>
      </c>
      <c r="Q42" s="118">
        <f t="shared" si="32"/>
        <v>-781966.80801192264</v>
      </c>
      <c r="R42" s="118">
        <f t="shared" si="32"/>
        <v>-734608.66210439603</v>
      </c>
      <c r="S42" s="118">
        <f t="shared" si="32"/>
        <v>-370689.72777560423</v>
      </c>
      <c r="T42" s="118">
        <f t="shared" si="32"/>
        <v>-384119.88133799564</v>
      </c>
      <c r="U42" s="118">
        <f t="shared" si="32"/>
        <v>-275107.38358755549</v>
      </c>
      <c r="V42" s="118">
        <f t="shared" si="32"/>
        <v>-424940.93852856522</v>
      </c>
      <c r="W42" s="118">
        <f t="shared" si="32"/>
        <v>-895008.88456685981</v>
      </c>
      <c r="X42" s="118">
        <f t="shared" ref="X42:AH42" si="33">X15-X29</f>
        <v>-652093.16687273735</v>
      </c>
      <c r="Y42" s="118">
        <f t="shared" si="33"/>
        <v>-761185.28928755154</v>
      </c>
      <c r="Z42" s="118">
        <f t="shared" si="33"/>
        <v>-1423446.7136634206</v>
      </c>
      <c r="AA42" s="118">
        <f t="shared" si="33"/>
        <v>-872933.81364122406</v>
      </c>
      <c r="AB42" s="118">
        <f t="shared" si="33"/>
        <v>-647504.14396264404</v>
      </c>
      <c r="AC42" s="118">
        <f t="shared" si="33"/>
        <v>-811719.89299649675</v>
      </c>
      <c r="AD42" s="118">
        <f t="shared" si="33"/>
        <v>-388655.70517212211</v>
      </c>
      <c r="AE42" s="118">
        <f t="shared" si="33"/>
        <v>723672.47680510976</v>
      </c>
      <c r="AF42" s="118">
        <f t="shared" si="33"/>
        <v>1229078.5787427053</v>
      </c>
      <c r="AG42" s="118">
        <f t="shared" si="33"/>
        <v>1288463.5757057199</v>
      </c>
      <c r="AH42" s="118">
        <f t="shared" si="33"/>
        <v>271065.67566829198</v>
      </c>
      <c r="AI42" s="118">
        <f t="shared" ref="AI42" si="34">AI15-AI29</f>
        <v>-464314.22299920814</v>
      </c>
      <c r="AJ42" s="114">
        <f>AJ15-AJ29</f>
        <v>-434303.84854033665</v>
      </c>
      <c r="AK42" s="118">
        <f t="shared" si="32"/>
        <v>-558143.4251829671</v>
      </c>
      <c r="AL42" s="119">
        <f t="shared" si="32"/>
        <v>-906412.78384357353</v>
      </c>
    </row>
    <row r="43" spans="1:40" x14ac:dyDescent="0.25">
      <c r="A43" s="76" t="s">
        <v>4</v>
      </c>
      <c r="B43" s="114">
        <f t="shared" ref="B43:Q46" si="35">B16-B30</f>
        <v>0</v>
      </c>
      <c r="C43" s="118">
        <f t="shared" si="35"/>
        <v>0</v>
      </c>
      <c r="D43" s="118">
        <f t="shared" si="35"/>
        <v>0</v>
      </c>
      <c r="E43" s="118">
        <f t="shared" si="35"/>
        <v>0</v>
      </c>
      <c r="F43" s="118">
        <f t="shared" si="35"/>
        <v>-856.28</v>
      </c>
      <c r="G43" s="118">
        <f t="shared" si="35"/>
        <v>-8251.3300000000017</v>
      </c>
      <c r="H43" s="118">
        <f t="shared" si="35"/>
        <v>-1402.1099999999969</v>
      </c>
      <c r="I43" s="118">
        <f t="shared" si="35"/>
        <v>-65.264761224685572</v>
      </c>
      <c r="J43" s="118">
        <f t="shared" si="35"/>
        <v>8427.9456749210331</v>
      </c>
      <c r="K43" s="118">
        <f t="shared" si="35"/>
        <v>11617.59</v>
      </c>
      <c r="L43" s="118">
        <f t="shared" si="35"/>
        <v>17046.048601536655</v>
      </c>
      <c r="M43" s="118">
        <f t="shared" si="35"/>
        <v>24826.995758638252</v>
      </c>
      <c r="N43" s="118">
        <f t="shared" si="35"/>
        <v>20240.432188278435</v>
      </c>
      <c r="O43" s="118">
        <f t="shared" si="35"/>
        <v>-101815.23827073371</v>
      </c>
      <c r="P43" s="118">
        <f t="shared" si="35"/>
        <v>-75662.968837742344</v>
      </c>
      <c r="Q43" s="118">
        <f t="shared" si="35"/>
        <v>-91804.560030101668</v>
      </c>
      <c r="R43" s="118">
        <f t="shared" si="32"/>
        <v>-68128.224455245159</v>
      </c>
      <c r="S43" s="118">
        <f t="shared" si="32"/>
        <v>-48589.637835607791</v>
      </c>
      <c r="T43" s="118">
        <f t="shared" si="32"/>
        <v>-21968.569927616802</v>
      </c>
      <c r="U43" s="118">
        <f t="shared" si="32"/>
        <v>-28715.458669831074</v>
      </c>
      <c r="V43" s="118">
        <f t="shared" si="32"/>
        <v>6276.6530995404464</v>
      </c>
      <c r="W43" s="118">
        <f t="shared" si="32"/>
        <v>-21029.362806484423</v>
      </c>
      <c r="X43" s="118">
        <f t="shared" ref="X43:AH43" si="36">X16-X30</f>
        <v>-34538.080526789403</v>
      </c>
      <c r="Y43" s="118">
        <f t="shared" si="36"/>
        <v>-7659.090907654303</v>
      </c>
      <c r="Z43" s="118">
        <f t="shared" si="36"/>
        <v>-42593.533596648835</v>
      </c>
      <c r="AA43" s="118">
        <f t="shared" si="36"/>
        <v>-206001.8335522181</v>
      </c>
      <c r="AB43" s="118">
        <f t="shared" si="36"/>
        <v>-133723.8395783462</v>
      </c>
      <c r="AC43" s="118">
        <f t="shared" si="36"/>
        <v>-104521.60706289703</v>
      </c>
      <c r="AD43" s="118">
        <f t="shared" si="36"/>
        <v>-4214.1796664728899</v>
      </c>
      <c r="AE43" s="118">
        <f t="shared" si="36"/>
        <v>60618.685361135169</v>
      </c>
      <c r="AF43" s="118">
        <f t="shared" si="36"/>
        <v>149648.72067955992</v>
      </c>
      <c r="AG43" s="118">
        <f t="shared" si="36"/>
        <v>112641.30665656802</v>
      </c>
      <c r="AH43" s="118">
        <f t="shared" si="36"/>
        <v>157250.8063429466</v>
      </c>
      <c r="AI43" s="118">
        <f t="shared" ref="AI43" si="37">AI16-AI30</f>
        <v>50394.117705575947</v>
      </c>
      <c r="AJ43" s="114">
        <f t="shared" si="32"/>
        <v>42100.804778680671</v>
      </c>
      <c r="AK43" s="118">
        <f t="shared" si="32"/>
        <v>53926.72452067741</v>
      </c>
      <c r="AL43" s="119">
        <f t="shared" si="32"/>
        <v>55805.788088593457</v>
      </c>
    </row>
    <row r="44" spans="1:40" x14ac:dyDescent="0.25">
      <c r="A44" s="76" t="s">
        <v>5</v>
      </c>
      <c r="B44" s="114">
        <f t="shared" si="35"/>
        <v>0</v>
      </c>
      <c r="C44" s="118">
        <f t="shared" si="32"/>
        <v>0</v>
      </c>
      <c r="D44" s="118">
        <f t="shared" si="32"/>
        <v>0</v>
      </c>
      <c r="E44" s="118">
        <f t="shared" si="32"/>
        <v>0</v>
      </c>
      <c r="F44" s="118">
        <f t="shared" si="32"/>
        <v>-2460.2199999999998</v>
      </c>
      <c r="G44" s="118">
        <f t="shared" si="32"/>
        <v>-33758.050000000003</v>
      </c>
      <c r="H44" s="118">
        <f t="shared" si="32"/>
        <v>-21639.839999999997</v>
      </c>
      <c r="I44" s="118">
        <f t="shared" si="32"/>
        <v>-12324.613120248869</v>
      </c>
      <c r="J44" s="118">
        <f t="shared" si="32"/>
        <v>10707.581306139036</v>
      </c>
      <c r="K44" s="118">
        <f t="shared" si="32"/>
        <v>7716.2699999999968</v>
      </c>
      <c r="L44" s="118">
        <f t="shared" si="32"/>
        <v>19152.98271623841</v>
      </c>
      <c r="M44" s="118">
        <f t="shared" si="32"/>
        <v>37688.57344597984</v>
      </c>
      <c r="N44" s="118">
        <f t="shared" si="32"/>
        <v>34655.832713338357</v>
      </c>
      <c r="O44" s="118">
        <f t="shared" si="32"/>
        <v>-242092.50256055058</v>
      </c>
      <c r="P44" s="118">
        <f t="shared" si="32"/>
        <v>-195981.13140874798</v>
      </c>
      <c r="Q44" s="118">
        <f t="shared" si="32"/>
        <v>-232888.91236901932</v>
      </c>
      <c r="R44" s="118">
        <f t="shared" si="32"/>
        <v>-203991.54845207804</v>
      </c>
      <c r="S44" s="118">
        <f t="shared" si="32"/>
        <v>-122904.71343148759</v>
      </c>
      <c r="T44" s="118">
        <f t="shared" si="32"/>
        <v>-45595.367444124771</v>
      </c>
      <c r="U44" s="118">
        <f t="shared" si="32"/>
        <v>-58272.669394945318</v>
      </c>
      <c r="V44" s="118">
        <f t="shared" si="32"/>
        <v>-6175.1120859243674</v>
      </c>
      <c r="W44" s="118">
        <f t="shared" si="32"/>
        <v>-115986.35542651551</v>
      </c>
      <c r="X44" s="118">
        <f t="shared" ref="X44:AH44" si="38">X17-X31</f>
        <v>-69294.433327207837</v>
      </c>
      <c r="Y44" s="118">
        <f t="shared" si="38"/>
        <v>-54669.383200100274</v>
      </c>
      <c r="Z44" s="118">
        <f t="shared" si="38"/>
        <v>-70407.882028048742</v>
      </c>
      <c r="AA44" s="118">
        <f t="shared" si="38"/>
        <v>-278199.91199827904</v>
      </c>
      <c r="AB44" s="118">
        <f t="shared" si="38"/>
        <v>-194553.80264377588</v>
      </c>
      <c r="AC44" s="118">
        <f t="shared" si="38"/>
        <v>-181165.27958706097</v>
      </c>
      <c r="AD44" s="118">
        <f t="shared" si="38"/>
        <v>-65612.444639366528</v>
      </c>
      <c r="AE44" s="118">
        <f t="shared" si="38"/>
        <v>263200.71750933642</v>
      </c>
      <c r="AF44" s="118">
        <f t="shared" si="38"/>
        <v>535792.77625822683</v>
      </c>
      <c r="AG44" s="118">
        <f t="shared" si="38"/>
        <v>403517.90316562622</v>
      </c>
      <c r="AH44" s="118">
        <f t="shared" si="38"/>
        <v>395778.97101029358</v>
      </c>
      <c r="AI44" s="118">
        <f t="shared" ref="AI44" si="39">AI17-AI31</f>
        <v>-14353.052894642577</v>
      </c>
      <c r="AJ44" s="114">
        <f t="shared" si="32"/>
        <v>-21512.251661230752</v>
      </c>
      <c r="AK44" s="118">
        <f t="shared" si="32"/>
        <v>42399.702894046088</v>
      </c>
      <c r="AL44" s="119">
        <f t="shared" si="32"/>
        <v>88322.923307027319</v>
      </c>
    </row>
    <row r="45" spans="1:40" x14ac:dyDescent="0.25">
      <c r="A45" s="76" t="s">
        <v>6</v>
      </c>
      <c r="B45" s="114">
        <f t="shared" si="35"/>
        <v>0</v>
      </c>
      <c r="C45" s="118">
        <f t="shared" si="32"/>
        <v>0</v>
      </c>
      <c r="D45" s="118">
        <f t="shared" si="32"/>
        <v>0</v>
      </c>
      <c r="E45" s="118">
        <f t="shared" si="32"/>
        <v>0</v>
      </c>
      <c r="F45" s="118">
        <f t="shared" si="32"/>
        <v>-1621.85</v>
      </c>
      <c r="G45" s="118">
        <f t="shared" si="32"/>
        <v>-14886.83</v>
      </c>
      <c r="H45" s="118">
        <f t="shared" si="32"/>
        <v>-17626.32</v>
      </c>
      <c r="I45" s="118">
        <f t="shared" si="32"/>
        <v>-16627.989274539053</v>
      </c>
      <c r="J45" s="118">
        <f t="shared" si="32"/>
        <v>-15673.941858251583</v>
      </c>
      <c r="K45" s="118">
        <f t="shared" si="32"/>
        <v>-12991.86</v>
      </c>
      <c r="L45" s="118">
        <f t="shared" si="32"/>
        <v>-9215.8170176639032</v>
      </c>
      <c r="M45" s="118">
        <f t="shared" si="32"/>
        <v>1372.297784318449</v>
      </c>
      <c r="N45" s="118">
        <f t="shared" si="32"/>
        <v>-3995.0892387392923</v>
      </c>
      <c r="O45" s="118">
        <f t="shared" si="32"/>
        <v>-304000.85004735005</v>
      </c>
      <c r="P45" s="118">
        <f t="shared" si="32"/>
        <v>-237560.18932731223</v>
      </c>
      <c r="Q45" s="118">
        <f t="shared" si="32"/>
        <v>-270969.97217664868</v>
      </c>
      <c r="R45" s="118">
        <f t="shared" si="32"/>
        <v>-259352.7289176824</v>
      </c>
      <c r="S45" s="118">
        <f t="shared" si="32"/>
        <v>-202261.62434077309</v>
      </c>
      <c r="T45" s="118">
        <f t="shared" si="32"/>
        <v>-147511.63525993662</v>
      </c>
      <c r="U45" s="118">
        <f t="shared" si="32"/>
        <v>-122541.67894562634</v>
      </c>
      <c r="V45" s="118">
        <f t="shared" si="32"/>
        <v>-123221.18931087491</v>
      </c>
      <c r="W45" s="118">
        <f t="shared" si="32"/>
        <v>-220265.81874101982</v>
      </c>
      <c r="X45" s="118">
        <f t="shared" ref="X45:AH45" si="40">X18-X32</f>
        <v>-191005.21786957013</v>
      </c>
      <c r="Y45" s="118">
        <f t="shared" si="40"/>
        <v>-188005.20883714195</v>
      </c>
      <c r="Z45" s="118">
        <f t="shared" si="40"/>
        <v>-200503.50323993355</v>
      </c>
      <c r="AA45" s="118">
        <f t="shared" si="40"/>
        <v>-186338.57353980344</v>
      </c>
      <c r="AB45" s="118">
        <f t="shared" si="40"/>
        <v>-169875.44483674748</v>
      </c>
      <c r="AC45" s="118">
        <f t="shared" si="40"/>
        <v>-145378.61898659961</v>
      </c>
      <c r="AD45" s="118">
        <f t="shared" si="40"/>
        <v>-142266.06809872741</v>
      </c>
      <c r="AE45" s="118">
        <f t="shared" si="40"/>
        <v>73240.586517746502</v>
      </c>
      <c r="AF45" s="118">
        <f t="shared" si="40"/>
        <v>181633.88145182672</v>
      </c>
      <c r="AG45" s="118">
        <f t="shared" si="40"/>
        <v>130230.35779464053</v>
      </c>
      <c r="AH45" s="118">
        <f t="shared" si="40"/>
        <v>67502.841347931884</v>
      </c>
      <c r="AI45" s="118">
        <f t="shared" ref="AI45" si="41">AI18-AI32</f>
        <v>-117748.44529398013</v>
      </c>
      <c r="AJ45" s="114">
        <f t="shared" si="32"/>
        <v>-112468.2925180406</v>
      </c>
      <c r="AK45" s="118">
        <f t="shared" si="32"/>
        <v>-74391.289896516711</v>
      </c>
      <c r="AL45" s="119">
        <f t="shared" si="32"/>
        <v>-58663.215391625068</v>
      </c>
    </row>
    <row r="46" spans="1:40" x14ac:dyDescent="0.25">
      <c r="A46" s="76" t="s">
        <v>7</v>
      </c>
      <c r="B46" s="114">
        <f t="shared" si="35"/>
        <v>0</v>
      </c>
      <c r="C46" s="118">
        <f t="shared" si="32"/>
        <v>0</v>
      </c>
      <c r="D46" s="118">
        <f t="shared" si="32"/>
        <v>0</v>
      </c>
      <c r="E46" s="118">
        <f t="shared" si="32"/>
        <v>0</v>
      </c>
      <c r="F46" s="118">
        <f t="shared" si="32"/>
        <v>0</v>
      </c>
      <c r="G46" s="118">
        <f t="shared" si="32"/>
        <v>-4867.8</v>
      </c>
      <c r="H46" s="118">
        <f t="shared" si="32"/>
        <v>-9168.5600000000013</v>
      </c>
      <c r="I46" s="118">
        <f t="shared" si="32"/>
        <v>-8265.5672024542127</v>
      </c>
      <c r="J46" s="118">
        <f t="shared" si="32"/>
        <v>-8316.2787585622791</v>
      </c>
      <c r="K46" s="118">
        <f t="shared" si="32"/>
        <v>-7378.56</v>
      </c>
      <c r="L46" s="118">
        <f t="shared" si="32"/>
        <v>-6146.6731166039754</v>
      </c>
      <c r="M46" s="118">
        <f t="shared" si="32"/>
        <v>-4777.3815174660513</v>
      </c>
      <c r="N46" s="118">
        <f t="shared" si="32"/>
        <v>-2049.3166664006667</v>
      </c>
      <c r="O46" s="118">
        <f t="shared" si="32"/>
        <v>-196274.45526870835</v>
      </c>
      <c r="P46" s="118">
        <f t="shared" si="32"/>
        <v>-158572.54665057128</v>
      </c>
      <c r="Q46" s="118">
        <f t="shared" si="32"/>
        <v>-175260.29741230787</v>
      </c>
      <c r="R46" s="118">
        <f t="shared" si="32"/>
        <v>-176113.52607059845</v>
      </c>
      <c r="S46" s="118">
        <f t="shared" si="32"/>
        <v>-202586.48661652688</v>
      </c>
      <c r="T46" s="118">
        <f t="shared" si="32"/>
        <v>-181774.18603032624</v>
      </c>
      <c r="U46" s="118">
        <f t="shared" si="32"/>
        <v>-206040.28940204179</v>
      </c>
      <c r="V46" s="118">
        <f t="shared" si="32"/>
        <v>-196080.56317417626</v>
      </c>
      <c r="W46" s="118">
        <f t="shared" si="32"/>
        <v>-193270.44845911989</v>
      </c>
      <c r="X46" s="118">
        <f t="shared" ref="X46:AH46" si="42">X19-X33</f>
        <v>-183327.18140369625</v>
      </c>
      <c r="Y46" s="118">
        <f t="shared" si="42"/>
        <v>-164307.36776755113</v>
      </c>
      <c r="Z46" s="118">
        <f t="shared" si="42"/>
        <v>-163134.57747194907</v>
      </c>
      <c r="AA46" s="118">
        <f t="shared" si="42"/>
        <v>-80306.607268475083</v>
      </c>
      <c r="AB46" s="118">
        <f t="shared" si="42"/>
        <v>8305.2410215153686</v>
      </c>
      <c r="AC46" s="118">
        <f t="shared" si="42"/>
        <v>10698.258633053718</v>
      </c>
      <c r="AD46" s="118">
        <f t="shared" si="42"/>
        <v>16900.587576688344</v>
      </c>
      <c r="AE46" s="118">
        <f t="shared" si="42"/>
        <v>55743.863806674082</v>
      </c>
      <c r="AF46" s="118">
        <f t="shared" si="42"/>
        <v>89211.152867682249</v>
      </c>
      <c r="AG46" s="118">
        <f t="shared" si="42"/>
        <v>65185.736677447916</v>
      </c>
      <c r="AH46" s="118">
        <f t="shared" si="42"/>
        <v>50265.565630534838</v>
      </c>
      <c r="AI46" s="118">
        <f t="shared" ref="AI46" si="43">AI19-AI33</f>
        <v>18978.573482252643</v>
      </c>
      <c r="AJ46" s="114">
        <f t="shared" si="32"/>
        <v>14949.643656177879</v>
      </c>
      <c r="AK46" s="118">
        <f t="shared" si="32"/>
        <v>32147.441351416193</v>
      </c>
      <c r="AL46" s="119">
        <f t="shared" si="32"/>
        <v>45123.048575837878</v>
      </c>
    </row>
    <row r="47" spans="1:40" x14ac:dyDescent="0.25">
      <c r="B47" s="102"/>
      <c r="C47" s="103"/>
      <c r="D47" s="103"/>
      <c r="E47" s="103"/>
      <c r="F47" s="105"/>
      <c r="G47" s="105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2"/>
      <c r="AK47" s="103"/>
      <c r="AL47" s="106"/>
    </row>
    <row r="48" spans="1:40" x14ac:dyDescent="0.25">
      <c r="A48" s="76" t="s">
        <v>73</v>
      </c>
      <c r="B48" s="102"/>
      <c r="C48" s="103"/>
      <c r="D48" s="103"/>
      <c r="E48" s="103"/>
      <c r="F48" s="105"/>
      <c r="G48" s="105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2"/>
      <c r="AK48" s="103"/>
      <c r="AL48" s="106"/>
    </row>
    <row r="49" spans="1:38" x14ac:dyDescent="0.25">
      <c r="A49" s="76" t="s">
        <v>0</v>
      </c>
      <c r="B49" s="114">
        <f>B42</f>
        <v>0</v>
      </c>
      <c r="C49" s="118">
        <f>B49+C42+B56</f>
        <v>0</v>
      </c>
      <c r="D49" s="118">
        <f t="shared" ref="D49:J49" si="44">C49+D42+C56</f>
        <v>0</v>
      </c>
      <c r="E49" s="118">
        <f t="shared" si="44"/>
        <v>1328.78</v>
      </c>
      <c r="F49" s="118">
        <f>E49+F42+E56</f>
        <v>-1598.6244190201496</v>
      </c>
      <c r="G49" s="118">
        <f t="shared" si="44"/>
        <v>-72889.201277973625</v>
      </c>
      <c r="H49" s="118">
        <f t="shared" si="44"/>
        <v>-74771.654703242617</v>
      </c>
      <c r="I49" s="118">
        <f t="shared" si="44"/>
        <v>39734.074166899532</v>
      </c>
      <c r="J49" s="118">
        <f t="shared" si="44"/>
        <v>477370.42390444461</v>
      </c>
      <c r="K49" s="118">
        <f>J49+K42+J56</f>
        <v>431562.31245481368</v>
      </c>
      <c r="L49" s="118">
        <f t="shared" ref="L49:T53" si="45">K49+L42+K56</f>
        <v>480087.05520718865</v>
      </c>
      <c r="M49" s="118">
        <f t="shared" si="45"/>
        <v>573184.413171386</v>
      </c>
      <c r="N49" s="118">
        <f t="shared" si="45"/>
        <v>497102.38445415173</v>
      </c>
      <c r="O49" s="118">
        <f>N49+O42+N56+N66</f>
        <v>7059079.5573898349</v>
      </c>
      <c r="P49" s="118">
        <f t="shared" si="45"/>
        <v>6268761.3232822511</v>
      </c>
      <c r="Q49" s="118">
        <f t="shared" si="45"/>
        <v>5492802.0782051403</v>
      </c>
      <c r="R49" s="118">
        <f t="shared" si="45"/>
        <v>4763457.3514256906</v>
      </c>
      <c r="S49" s="118">
        <f t="shared" si="45"/>
        <v>4397332.6036118688</v>
      </c>
      <c r="T49" s="118">
        <f t="shared" si="45"/>
        <v>4018379.5880831173</v>
      </c>
      <c r="U49" s="118">
        <f t="shared" ref="U49:W49" si="46">T49+U42+T56</f>
        <v>3747933.0225202898</v>
      </c>
      <c r="V49" s="118">
        <f t="shared" si="46"/>
        <v>3327573.8571530953</v>
      </c>
      <c r="W49" s="118">
        <f t="shared" si="46"/>
        <v>2436581.0103825205</v>
      </c>
      <c r="X49" s="118">
        <f t="shared" ref="X49:X53" si="47">W49+X42+W56</f>
        <v>1787433.7308658608</v>
      </c>
      <c r="Y49" s="118">
        <f t="shared" ref="Y49:Y53" si="48">X49+Y42+X56</f>
        <v>1028397.6353625404</v>
      </c>
      <c r="Z49" s="118">
        <f t="shared" ref="Z49:Z53" si="49">Y49+Z42+Y56</f>
        <v>-393529.15715869819</v>
      </c>
      <c r="AA49" s="118">
        <f t="shared" ref="AA49:AA53" si="50">Z49+AA42+Z56</f>
        <v>-1267025.5161389071</v>
      </c>
      <c r="AB49" s="118">
        <f t="shared" ref="AB49:AB53" si="51">AA49+AB42+AA56</f>
        <v>-1916459.3040635744</v>
      </c>
      <c r="AC49" s="118">
        <f t="shared" ref="AC49:AC53" si="52">AB49+AC42+AB56</f>
        <v>-2731459.4503281913</v>
      </c>
      <c r="AD49" s="118">
        <f t="shared" ref="AD49:AD53" si="53">AC49+AD42+AC56</f>
        <v>-3125375.9372967808</v>
      </c>
      <c r="AE49" s="118">
        <f t="shared" ref="AE49:AE53" si="54">AD49+AE42+AD56</f>
        <v>-2407430.1779783783</v>
      </c>
      <c r="AF49" s="118">
        <f t="shared" ref="AF49:AF53" si="55">AE49+AF42+AE56</f>
        <v>-1182924.8358556251</v>
      </c>
      <c r="AG49" s="118">
        <f t="shared" ref="AG49:AG53" si="56">AF49+AG42+AF56</f>
        <v>103224.96943005276</v>
      </c>
      <c r="AH49" s="118">
        <f t="shared" ref="AH49:AI53" si="57">AG49+AH42+AG56</f>
        <v>374490.6818418958</v>
      </c>
      <c r="AI49" s="118">
        <f t="shared" si="57"/>
        <v>-89096.729017842459</v>
      </c>
      <c r="AJ49" s="114">
        <f>AI49+AJ42+AI56</f>
        <v>-523583.03377496736</v>
      </c>
      <c r="AK49" s="118">
        <f t="shared" ref="AK49:AL53" si="58">AJ49+AK42+AJ56</f>
        <v>-1082798.6754194163</v>
      </c>
      <c r="AL49" s="119">
        <f>AK49+AL42+AK56</f>
        <v>-1991428.862214122</v>
      </c>
    </row>
    <row r="50" spans="1:38" x14ac:dyDescent="0.25">
      <c r="A50" s="76" t="s">
        <v>4</v>
      </c>
      <c r="B50" s="114">
        <f>B43</f>
        <v>0</v>
      </c>
      <c r="C50" s="118">
        <f t="shared" ref="C50:K53" si="59">B50+C43+B57</f>
        <v>0</v>
      </c>
      <c r="D50" s="118">
        <f t="shared" si="59"/>
        <v>0</v>
      </c>
      <c r="E50" s="118">
        <f t="shared" si="59"/>
        <v>0</v>
      </c>
      <c r="F50" s="118">
        <f t="shared" si="59"/>
        <v>-856.28</v>
      </c>
      <c r="G50" s="118">
        <f t="shared" si="59"/>
        <v>-9108.1493094052694</v>
      </c>
      <c r="H50" s="118">
        <f t="shared" si="59"/>
        <v>-10515.013171315071</v>
      </c>
      <c r="I50" s="118">
        <f t="shared" si="59"/>
        <v>-10585.789928731692</v>
      </c>
      <c r="J50" s="118">
        <f t="shared" si="59"/>
        <v>-2164.588866362868</v>
      </c>
      <c r="K50" s="118">
        <f t="shared" si="59"/>
        <v>9451.6384167163123</v>
      </c>
      <c r="L50" s="118">
        <f t="shared" si="45"/>
        <v>26503.674394898997</v>
      </c>
      <c r="M50" s="118">
        <f t="shared" si="45"/>
        <v>51347.547362095989</v>
      </c>
      <c r="N50" s="118">
        <f t="shared" si="45"/>
        <v>71629.151896592753</v>
      </c>
      <c r="O50" s="118">
        <f t="shared" ref="O50:O53" si="60">N50+O43+N57+N67</f>
        <v>638255.6354897815</v>
      </c>
      <c r="P50" s="118">
        <f t="shared" si="45"/>
        <v>563071.35837865644</v>
      </c>
      <c r="Q50" s="118">
        <f t="shared" si="45"/>
        <v>471806.4084003343</v>
      </c>
      <c r="R50" s="118">
        <f t="shared" si="45"/>
        <v>404130.33175313944</v>
      </c>
      <c r="S50" s="118">
        <f t="shared" si="45"/>
        <v>355927.98548546172</v>
      </c>
      <c r="T50" s="118">
        <f t="shared" si="45"/>
        <v>334377.63094079035</v>
      </c>
      <c r="U50" s="118">
        <f t="shared" ref="U50:W50" si="61">T50+U43+T57</f>
        <v>306050.0085256467</v>
      </c>
      <c r="V50" s="118">
        <f t="shared" si="61"/>
        <v>312700.80163960956</v>
      </c>
      <c r="W50" s="118">
        <f t="shared" si="61"/>
        <v>292048.83638828801</v>
      </c>
      <c r="X50" s="118">
        <f t="shared" si="47"/>
        <v>257863.85020591295</v>
      </c>
      <c r="Y50" s="118">
        <f t="shared" si="48"/>
        <v>250514.8124065056</v>
      </c>
      <c r="Z50" s="118">
        <f t="shared" si="49"/>
        <v>208291.52738561531</v>
      </c>
      <c r="AA50" s="118">
        <f t="shared" si="50"/>
        <v>2587.4441417271241</v>
      </c>
      <c r="AB50" s="118">
        <f t="shared" si="51"/>
        <v>-131132.45483250215</v>
      </c>
      <c r="AC50" s="118">
        <f t="shared" si="52"/>
        <v>-235878.51104629369</v>
      </c>
      <c r="AD50" s="118">
        <f t="shared" si="53"/>
        <v>-240546.99193878003</v>
      </c>
      <c r="AE50" s="118">
        <f t="shared" si="54"/>
        <v>-180369.06784692823</v>
      </c>
      <c r="AF50" s="118">
        <f t="shared" si="55"/>
        <v>-31062.982411260153</v>
      </c>
      <c r="AG50" s="118">
        <f t="shared" si="56"/>
        <v>81517.565854171829</v>
      </c>
      <c r="AH50" s="118">
        <f t="shared" si="57"/>
        <v>238926.34277832284</v>
      </c>
      <c r="AI50" s="118">
        <f t="shared" si="57"/>
        <v>289784.1691281735</v>
      </c>
      <c r="AJ50" s="114">
        <f t="shared" ref="AJ50:AJ53" si="62">AI50+AJ43+AI57</f>
        <v>332478.40672719566</v>
      </c>
      <c r="AK50" s="118">
        <f t="shared" si="58"/>
        <v>387085.99521363201</v>
      </c>
      <c r="AL50" s="119">
        <f t="shared" si="58"/>
        <v>443684.47509952204</v>
      </c>
    </row>
    <row r="51" spans="1:38" x14ac:dyDescent="0.25">
      <c r="A51" s="76" t="s">
        <v>5</v>
      </c>
      <c r="B51" s="114">
        <f>B44</f>
        <v>0</v>
      </c>
      <c r="C51" s="118">
        <f t="shared" si="59"/>
        <v>0</v>
      </c>
      <c r="D51" s="118">
        <f t="shared" si="59"/>
        <v>0</v>
      </c>
      <c r="E51" s="118">
        <f t="shared" si="59"/>
        <v>0</v>
      </c>
      <c r="F51" s="118">
        <f t="shared" si="59"/>
        <v>-2460.2199999999998</v>
      </c>
      <c r="G51" s="118">
        <f t="shared" si="59"/>
        <v>-36219.819516262236</v>
      </c>
      <c r="H51" s="118">
        <f t="shared" si="59"/>
        <v>-57878.563907761454</v>
      </c>
      <c r="I51" s="118">
        <f t="shared" si="59"/>
        <v>-70233.517115907176</v>
      </c>
      <c r="J51" s="118">
        <f t="shared" si="59"/>
        <v>-59570.684275807507</v>
      </c>
      <c r="K51" s="118">
        <f t="shared" si="59"/>
        <v>-51891.917000093345</v>
      </c>
      <c r="L51" s="118">
        <f t="shared" si="45"/>
        <v>-32771.806515976568</v>
      </c>
      <c r="M51" s="118">
        <f t="shared" si="45"/>
        <v>4895.89825326148</v>
      </c>
      <c r="N51" s="118">
        <f t="shared" si="45"/>
        <v>39555.656677335573</v>
      </c>
      <c r="O51" s="118">
        <f t="shared" si="60"/>
        <v>703373.82085929299</v>
      </c>
      <c r="P51" s="118">
        <f t="shared" si="45"/>
        <v>507920.21981618949</v>
      </c>
      <c r="Q51" s="118">
        <f t="shared" si="45"/>
        <v>275518.06432449399</v>
      </c>
      <c r="R51" s="118">
        <f t="shared" si="45"/>
        <v>71790.554017393588</v>
      </c>
      <c r="S51" s="118">
        <f t="shared" si="45"/>
        <v>-51045.360133160662</v>
      </c>
      <c r="T51" s="118">
        <f t="shared" si="45"/>
        <v>-96700.705875441898</v>
      </c>
      <c r="U51" s="118">
        <f t="shared" ref="U51:W51" si="63">T51+U44+T58</f>
        <v>-155085.5360016145</v>
      </c>
      <c r="V51" s="118">
        <f t="shared" si="63"/>
        <v>-161450.23705359013</v>
      </c>
      <c r="W51" s="118">
        <f t="shared" si="63"/>
        <v>-277631.44623303815</v>
      </c>
      <c r="X51" s="118">
        <f t="shared" si="47"/>
        <v>-347261.54291952791</v>
      </c>
      <c r="Y51" s="118">
        <f t="shared" si="48"/>
        <v>-402348.47018666536</v>
      </c>
      <c r="Z51" s="118">
        <f t="shared" si="49"/>
        <v>-473351.00347151689</v>
      </c>
      <c r="AA51" s="118">
        <f t="shared" si="50"/>
        <v>-752227.56520683004</v>
      </c>
      <c r="AB51" s="118">
        <f t="shared" si="51"/>
        <v>-947926.98911930155</v>
      </c>
      <c r="AC51" s="118">
        <f t="shared" si="52"/>
        <v>-1130714.7610793572</v>
      </c>
      <c r="AD51" s="118">
        <f t="shared" si="53"/>
        <v>-1198504.9585795135</v>
      </c>
      <c r="AE51" s="118">
        <f t="shared" si="54"/>
        <v>-937500.29666217696</v>
      </c>
      <c r="AF51" s="118">
        <f t="shared" si="55"/>
        <v>-403488.42799874971</v>
      </c>
      <c r="AG51" s="118">
        <f t="shared" si="56"/>
        <v>-759.73777483798847</v>
      </c>
      <c r="AH51" s="118">
        <f t="shared" si="57"/>
        <v>395017.76096114761</v>
      </c>
      <c r="AI51" s="118">
        <f t="shared" si="57"/>
        <v>381431.35919534136</v>
      </c>
      <c r="AJ51" s="114">
        <f t="shared" si="62"/>
        <v>360700.2195180225</v>
      </c>
      <c r="AK51" s="118">
        <f t="shared" si="58"/>
        <v>403838.58025252394</v>
      </c>
      <c r="AL51" s="119">
        <f t="shared" si="58"/>
        <v>492988.50204039633</v>
      </c>
    </row>
    <row r="52" spans="1:38" x14ac:dyDescent="0.25">
      <c r="A52" s="76" t="s">
        <v>6</v>
      </c>
      <c r="B52" s="114">
        <f>B45</f>
        <v>0</v>
      </c>
      <c r="C52" s="118">
        <f t="shared" si="59"/>
        <v>0</v>
      </c>
      <c r="D52" s="118">
        <f t="shared" si="59"/>
        <v>0</v>
      </c>
      <c r="E52" s="118">
        <f t="shared" si="59"/>
        <v>0</v>
      </c>
      <c r="F52" s="118">
        <f t="shared" si="59"/>
        <v>-1621.85</v>
      </c>
      <c r="G52" s="118">
        <f t="shared" si="59"/>
        <v>-16509.701487082417</v>
      </c>
      <c r="H52" s="118">
        <f t="shared" si="59"/>
        <v>-34144.638478128072</v>
      </c>
      <c r="I52" s="118">
        <f t="shared" si="59"/>
        <v>-50790.526457518958</v>
      </c>
      <c r="J52" s="118">
        <f t="shared" si="59"/>
        <v>-66496.828907146817</v>
      </c>
      <c r="K52" s="118">
        <f t="shared" si="59"/>
        <v>-79530.551985785307</v>
      </c>
      <c r="L52" s="118">
        <f t="shared" si="45"/>
        <v>-88796.749619868409</v>
      </c>
      <c r="M52" s="118">
        <f t="shared" si="45"/>
        <v>-87480.996495748521</v>
      </c>
      <c r="N52" s="118">
        <f t="shared" si="45"/>
        <v>-91546.231205114644</v>
      </c>
      <c r="O52" s="118">
        <f t="shared" si="60"/>
        <v>2081846.2590741315</v>
      </c>
      <c r="P52" s="118">
        <f t="shared" si="45"/>
        <v>1845847.454441125</v>
      </c>
      <c r="Q52" s="118">
        <f t="shared" si="45"/>
        <v>1576646.4194083158</v>
      </c>
      <c r="R52" s="118">
        <f t="shared" si="45"/>
        <v>1318804.643309233</v>
      </c>
      <c r="S52" s="118">
        <f t="shared" si="45"/>
        <v>1117806.8734182979</v>
      </c>
      <c r="T52" s="118">
        <f t="shared" si="45"/>
        <v>971608.66123462783</v>
      </c>
      <c r="U52" s="118">
        <f t="shared" ref="U52:W52" si="64">T52+U45+T59</f>
        <v>850193.92688495095</v>
      </c>
      <c r="V52" s="118">
        <f t="shared" si="64"/>
        <v>728012.0826458144</v>
      </c>
      <c r="W52" s="118">
        <f t="shared" si="64"/>
        <v>508624.89926063287</v>
      </c>
      <c r="X52" s="118">
        <f t="shared" si="47"/>
        <v>318234.6216098913</v>
      </c>
      <c r="Y52" s="118">
        <f t="shared" si="48"/>
        <v>130612.05513810283</v>
      </c>
      <c r="Z52" s="118">
        <f t="shared" si="49"/>
        <v>-69698.409906095971</v>
      </c>
      <c r="AA52" s="118">
        <f t="shared" si="50"/>
        <v>-256136.61650971207</v>
      </c>
      <c r="AB52" s="118">
        <f t="shared" si="51"/>
        <v>-426402.1501561997</v>
      </c>
      <c r="AC52" s="118">
        <f t="shared" si="52"/>
        <v>-572510.60830171988</v>
      </c>
      <c r="AD52" s="118">
        <f t="shared" si="53"/>
        <v>-715879.32992366771</v>
      </c>
      <c r="AE52" s="118">
        <f t="shared" si="54"/>
        <v>-643950.46998195408</v>
      </c>
      <c r="AF52" s="118">
        <f t="shared" si="55"/>
        <v>-463539.85884454614</v>
      </c>
      <c r="AG52" s="118">
        <f t="shared" si="56"/>
        <v>-334216.17303902586</v>
      </c>
      <c r="AH52" s="118">
        <f t="shared" si="57"/>
        <v>-267360.99974336807</v>
      </c>
      <c r="AI52" s="118">
        <f t="shared" si="57"/>
        <v>-385628.33971125179</v>
      </c>
      <c r="AJ52" s="114">
        <f t="shared" si="62"/>
        <v>-498886.33897527144</v>
      </c>
      <c r="AK52" s="118">
        <f t="shared" si="58"/>
        <v>-574299.27035088837</v>
      </c>
      <c r="AL52" s="119">
        <f t="shared" si="58"/>
        <v>-634138.56115322246</v>
      </c>
    </row>
    <row r="53" spans="1:38" x14ac:dyDescent="0.25">
      <c r="A53" s="76" t="s">
        <v>7</v>
      </c>
      <c r="B53" s="114">
        <f>B46</f>
        <v>0</v>
      </c>
      <c r="C53" s="118">
        <f t="shared" si="59"/>
        <v>0</v>
      </c>
      <c r="D53" s="118">
        <f t="shared" si="59"/>
        <v>0</v>
      </c>
      <c r="E53" s="118">
        <f t="shared" si="59"/>
        <v>0</v>
      </c>
      <c r="F53" s="118">
        <f t="shared" si="59"/>
        <v>0</v>
      </c>
      <c r="G53" s="118">
        <f t="shared" si="59"/>
        <v>-4867.8</v>
      </c>
      <c r="H53" s="118">
        <f t="shared" si="59"/>
        <v>-14038.900675193001</v>
      </c>
      <c r="I53" s="118">
        <f t="shared" si="59"/>
        <v>-22311.827104478401</v>
      </c>
      <c r="J53" s="118">
        <f t="shared" si="59"/>
        <v>-30642.321583375648</v>
      </c>
      <c r="K53" s="118">
        <f t="shared" si="59"/>
        <v>-38040.172456928456</v>
      </c>
      <c r="L53" s="118">
        <f t="shared" si="45"/>
        <v>-44210.943071779584</v>
      </c>
      <c r="M53" s="118">
        <f t="shared" si="45"/>
        <v>-49016.477565156951</v>
      </c>
      <c r="N53" s="118">
        <f t="shared" si="45"/>
        <v>-51105.097440540201</v>
      </c>
      <c r="O53" s="118">
        <f t="shared" si="60"/>
        <v>1630868.1184676711</v>
      </c>
      <c r="P53" s="118">
        <f t="shared" si="45"/>
        <v>1473518.7229059506</v>
      </c>
      <c r="Q53" s="118">
        <f t="shared" si="45"/>
        <v>1299670.5476030943</v>
      </c>
      <c r="R53" s="118">
        <f t="shared" si="45"/>
        <v>1124802.5391406154</v>
      </c>
      <c r="S53" s="118">
        <f t="shared" si="45"/>
        <v>923293.98829076497</v>
      </c>
      <c r="T53" s="118">
        <f t="shared" si="45"/>
        <v>742604.6726966803</v>
      </c>
      <c r="U53" s="118">
        <f t="shared" ref="U53:W53" si="65">T53+U46+T60</f>
        <v>537425.71188938257</v>
      </c>
      <c r="V53" s="118">
        <f t="shared" si="65"/>
        <v>342002.14089947683</v>
      </c>
      <c r="W53" s="118">
        <f t="shared" si="65"/>
        <v>149144.45368420138</v>
      </c>
      <c r="X53" s="118">
        <f t="shared" si="47"/>
        <v>-34002.408346379329</v>
      </c>
      <c r="Y53" s="118">
        <f t="shared" si="48"/>
        <v>-198350.66029520385</v>
      </c>
      <c r="Z53" s="118">
        <f t="shared" si="49"/>
        <v>-361778.39029082848</v>
      </c>
      <c r="AA53" s="118">
        <f t="shared" si="50"/>
        <v>-442602.15554747637</v>
      </c>
      <c r="AB53" s="118">
        <f t="shared" si="51"/>
        <v>-434970.98506846535</v>
      </c>
      <c r="AC53" s="118">
        <f t="shared" si="52"/>
        <v>-425017.23219782615</v>
      </c>
      <c r="AD53" s="118">
        <f t="shared" si="53"/>
        <v>-408935.22639362671</v>
      </c>
      <c r="AE53" s="118">
        <f t="shared" si="54"/>
        <v>-353940.66652955109</v>
      </c>
      <c r="AF53" s="118">
        <f t="shared" si="55"/>
        <v>-265401.8714449812</v>
      </c>
      <c r="AG53" s="118">
        <f t="shared" si="56"/>
        <v>-200735.25397186464</v>
      </c>
      <c r="AH53" s="118">
        <f t="shared" si="57"/>
        <v>-150858.68750250302</v>
      </c>
      <c r="AI53" s="118">
        <f t="shared" si="57"/>
        <v>-132172.90081238639</v>
      </c>
      <c r="AJ53" s="114">
        <f t="shared" si="62"/>
        <v>-117493.92666012856</v>
      </c>
      <c r="AK53" s="118">
        <f t="shared" si="58"/>
        <v>-85587.094561042089</v>
      </c>
      <c r="AL53" s="119">
        <f t="shared" si="58"/>
        <v>-40639.315017542991</v>
      </c>
    </row>
    <row r="54" spans="1:38" x14ac:dyDescent="0.25">
      <c r="B54" s="102"/>
      <c r="C54" s="103"/>
      <c r="D54" s="103"/>
      <c r="E54" s="103"/>
      <c r="F54" s="105"/>
      <c r="G54" s="105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2"/>
      <c r="AK54" s="103"/>
      <c r="AL54" s="106"/>
    </row>
    <row r="55" spans="1:38" x14ac:dyDescent="0.25">
      <c r="A55" s="76" t="s">
        <v>68</v>
      </c>
      <c r="B55" s="127">
        <f>PCR!B67</f>
        <v>0</v>
      </c>
      <c r="C55" s="128">
        <f>PCR!C67</f>
        <v>0</v>
      </c>
      <c r="D55" s="128">
        <f>PCR!D67</f>
        <v>6.0997666666666656E-4</v>
      </c>
      <c r="E55" s="128">
        <f>PCR!E67</f>
        <v>6.2130750000000004E-4</v>
      </c>
      <c r="F55" s="128">
        <f>PCR!F67</f>
        <v>6.2982833333333329E-4</v>
      </c>
      <c r="G55" s="246">
        <f>PCR!G67</f>
        <v>5.2193500000000006E-4</v>
      </c>
      <c r="H55" s="128">
        <f>PCR!H67</f>
        <v>5.2420250000000004E-4</v>
      </c>
      <c r="I55" s="128">
        <f>PCR!I67</f>
        <v>6.3713833333333325E-4</v>
      </c>
      <c r="J55" s="128">
        <f>PCR!J67</f>
        <v>6.2954999999999999E-4</v>
      </c>
      <c r="K55" s="129">
        <f>PCR!K67</f>
        <v>6.3347499999999999E-4</v>
      </c>
      <c r="L55" s="129">
        <f>PCR!L67</f>
        <v>6.3678749999999994E-4</v>
      </c>
      <c r="M55" s="129">
        <f>PCR!M67</f>
        <v>8.0183666666666664E-4</v>
      </c>
      <c r="N55" s="129">
        <f>PCR!N67</f>
        <v>7.5000000000000012E-4</v>
      </c>
      <c r="O55" s="129">
        <f>PCR!O67</f>
        <v>7.5000000000000012E-4</v>
      </c>
      <c r="P55" s="129">
        <f>PCR!P67</f>
        <v>9.5833333333333328E-4</v>
      </c>
      <c r="Q55" s="129">
        <f>PCR!Q67</f>
        <v>9.5833333333333328E-4</v>
      </c>
      <c r="R55" s="129">
        <f>PCR!R67</f>
        <v>9.5833333333333328E-4</v>
      </c>
      <c r="S55" s="129">
        <f>PCR!S67</f>
        <v>1.175E-3</v>
      </c>
      <c r="T55" s="129">
        <f>PCR!T67</f>
        <v>1.1598750000000001E-3</v>
      </c>
      <c r="U55" s="129">
        <f>PCR!U67</f>
        <v>1.22248E-3</v>
      </c>
      <c r="V55" s="129">
        <f>PCR!V67</f>
        <v>1.2068966666666666E-3</v>
      </c>
      <c r="W55" s="129">
        <f>PCR!W67</f>
        <v>1.2090250000000001E-3</v>
      </c>
      <c r="X55" s="129">
        <f>PCR!X67</f>
        <v>1.2023907500000001E-3</v>
      </c>
      <c r="Y55" s="129">
        <f>PCR!Y67</f>
        <v>1.4779508333333333E-3</v>
      </c>
      <c r="Z55" s="129">
        <f>PCR!Z67</f>
        <v>1.4294883333333334E-3</v>
      </c>
      <c r="AA55" s="129">
        <f>PCR!AA67</f>
        <v>1.5229716666666667E-3</v>
      </c>
      <c r="AB55" s="129">
        <f>PCR!AB67</f>
        <v>1.7116216666666665E-3</v>
      </c>
      <c r="AC55" s="129">
        <f>PCR!AC67</f>
        <v>1.9259966666666664E-3</v>
      </c>
      <c r="AD55" s="129">
        <f>PCR!AD67</f>
        <v>1.8323291666666665E-3</v>
      </c>
      <c r="AE55" s="129">
        <f>PCR!AE67</f>
        <v>1.8996341666666667E-3</v>
      </c>
      <c r="AF55" s="129">
        <f>PCR!AF67</f>
        <v>1.9559741666666667E-3</v>
      </c>
      <c r="AG55" s="129">
        <f>PCR!AG67</f>
        <v>1.9378716666666664E-3</v>
      </c>
      <c r="AH55" s="129">
        <f>PCR!AH67</f>
        <v>1.9408016666666668E-3</v>
      </c>
      <c r="AI55" s="129">
        <f>PCR!AI67</f>
        <v>2.0478441666666666E-3</v>
      </c>
      <c r="AJ55" s="215">
        <f>PCR!AJ67</f>
        <v>2.0478441666666666E-3</v>
      </c>
      <c r="AK55" s="216">
        <f>PCR!AK67</f>
        <v>2.0478441666666666E-3</v>
      </c>
      <c r="AL55" s="217">
        <f>PCR!AL67</f>
        <v>2.0478441666666666E-3</v>
      </c>
    </row>
    <row r="56" spans="1:38" x14ac:dyDescent="0.25">
      <c r="A56" s="76" t="s">
        <v>0</v>
      </c>
      <c r="B56" s="114">
        <f t="shared" ref="B56:K56" si="66">B49*B$55</f>
        <v>0</v>
      </c>
      <c r="C56" s="118">
        <f t="shared" si="66"/>
        <v>0</v>
      </c>
      <c r="D56" s="118">
        <f t="shared" si="66"/>
        <v>0</v>
      </c>
      <c r="E56" s="118">
        <f t="shared" si="66"/>
        <v>0.82558097985000001</v>
      </c>
      <c r="F56" s="118">
        <f t="shared" si="66"/>
        <v>-1.006858953457429</v>
      </c>
      <c r="G56" s="118">
        <f t="shared" si="66"/>
        <v>-38.043425269019167</v>
      </c>
      <c r="H56" s="118">
        <f t="shared" si="66"/>
        <v>-39.195488324576544</v>
      </c>
      <c r="I56" s="118">
        <f t="shared" si="66"/>
        <v>25.316101791241419</v>
      </c>
      <c r="J56" s="118">
        <f t="shared" si="66"/>
        <v>300.5285503690431</v>
      </c>
      <c r="K56" s="118">
        <f t="shared" si="66"/>
        <v>273.3839358823131</v>
      </c>
      <c r="L56" s="118">
        <f t="shared" ref="L56:T56" si="67">L49*L$55</f>
        <v>305.7134356677476</v>
      </c>
      <c r="M56" s="118">
        <f t="shared" si="67"/>
        <v>459.60027924263358</v>
      </c>
      <c r="N56" s="118">
        <f t="shared" si="67"/>
        <v>372.82678834061386</v>
      </c>
      <c r="O56" s="118">
        <f t="shared" si="67"/>
        <v>5294.3096680423769</v>
      </c>
      <c r="P56" s="118">
        <f t="shared" si="67"/>
        <v>6007.5629348121574</v>
      </c>
      <c r="Q56" s="118">
        <f t="shared" si="67"/>
        <v>5263.9353249465921</v>
      </c>
      <c r="R56" s="118">
        <f t="shared" si="67"/>
        <v>4564.9799617829531</v>
      </c>
      <c r="S56" s="118">
        <f t="shared" si="67"/>
        <v>5166.8658092439464</v>
      </c>
      <c r="T56" s="118">
        <f t="shared" si="67"/>
        <v>4660.818024727906</v>
      </c>
      <c r="U56" s="118">
        <f t="shared" ref="U56:W56" si="68">U49*U$55</f>
        <v>4581.7731613706037</v>
      </c>
      <c r="V56" s="118">
        <f t="shared" si="68"/>
        <v>4016.0377962852131</v>
      </c>
      <c r="W56" s="118">
        <f t="shared" si="68"/>
        <v>2945.887356077727</v>
      </c>
      <c r="X56" s="118">
        <f t="shared" ref="X56:AH56" si="69">X49*X$55</f>
        <v>2149.1937842311008</v>
      </c>
      <c r="Y56" s="118">
        <f t="shared" si="69"/>
        <v>1519.921142182096</v>
      </c>
      <c r="Z56" s="118">
        <f t="shared" si="69"/>
        <v>-562.54533898485886</v>
      </c>
      <c r="AA56" s="118">
        <f t="shared" si="69"/>
        <v>-1929.6439620232647</v>
      </c>
      <c r="AB56" s="118">
        <f t="shared" si="69"/>
        <v>-3280.2532681201351</v>
      </c>
      <c r="AC56" s="118">
        <f t="shared" si="69"/>
        <v>-5260.7817964672613</v>
      </c>
      <c r="AD56" s="118">
        <f t="shared" si="69"/>
        <v>-5726.7174867070617</v>
      </c>
      <c r="AE56" s="118">
        <f t="shared" si="69"/>
        <v>-4573.2366199521412</v>
      </c>
      <c r="AF56" s="118">
        <f t="shared" si="69"/>
        <v>-2313.7704200420098</v>
      </c>
      <c r="AG56" s="118">
        <f t="shared" si="69"/>
        <v>200.03674355103203</v>
      </c>
      <c r="AH56" s="118">
        <f t="shared" si="69"/>
        <v>726.81213946988782</v>
      </c>
      <c r="AI56" s="118">
        <f t="shared" ref="AI56" si="70">AI49*AI$55</f>
        <v>-182.45621678826942</v>
      </c>
      <c r="AJ56" s="114">
        <f>AJ49*AJ$55</f>
        <v>-1072.2164614817032</v>
      </c>
      <c r="AK56" s="118">
        <f t="shared" ref="AJ56:AL60" si="71">AK49*AK$55</f>
        <v>-2217.402951132045</v>
      </c>
      <c r="AL56" s="119">
        <f t="shared" si="71"/>
        <v>-4078.1359788168265</v>
      </c>
    </row>
    <row r="57" spans="1:38" x14ac:dyDescent="0.25">
      <c r="A57" s="76" t="s">
        <v>4</v>
      </c>
      <c r="B57" s="114">
        <f t="shared" ref="B57:K57" si="72">B50*B$55</f>
        <v>0</v>
      </c>
      <c r="C57" s="118">
        <f t="shared" si="72"/>
        <v>0</v>
      </c>
      <c r="D57" s="118">
        <f t="shared" si="72"/>
        <v>0</v>
      </c>
      <c r="E57" s="118">
        <f t="shared" si="72"/>
        <v>0</v>
      </c>
      <c r="F57" s="118">
        <f t="shared" si="72"/>
        <v>-0.5393094052666666</v>
      </c>
      <c r="G57" s="118">
        <f t="shared" si="72"/>
        <v>-4.7538619098044395</v>
      </c>
      <c r="H57" s="118">
        <f t="shared" si="72"/>
        <v>-5.511996191936289</v>
      </c>
      <c r="I57" s="118">
        <f t="shared" si="72"/>
        <v>-6.7446125522088947</v>
      </c>
      <c r="J57" s="118">
        <f t="shared" si="72"/>
        <v>-1.3627169208187435</v>
      </c>
      <c r="K57" s="118">
        <f t="shared" si="72"/>
        <v>5.9873766460293663</v>
      </c>
      <c r="L57" s="118">
        <f t="shared" ref="L57:T57" si="73">L50*L$55</f>
        <v>16.877208558741742</v>
      </c>
      <c r="M57" s="118">
        <f t="shared" si="73"/>
        <v>41.172346218331839</v>
      </c>
      <c r="N57" s="118">
        <f t="shared" si="73"/>
        <v>53.721863922444577</v>
      </c>
      <c r="O57" s="118">
        <f t="shared" si="73"/>
        <v>478.6917266173362</v>
      </c>
      <c r="P57" s="118">
        <f t="shared" si="73"/>
        <v>539.61005177954576</v>
      </c>
      <c r="Q57" s="118">
        <f t="shared" si="73"/>
        <v>452.14780805032035</v>
      </c>
      <c r="R57" s="118">
        <f t="shared" si="73"/>
        <v>387.29156793009196</v>
      </c>
      <c r="S57" s="118">
        <f t="shared" si="73"/>
        <v>418.21538294541756</v>
      </c>
      <c r="T57" s="118">
        <f t="shared" si="73"/>
        <v>387.83625468744924</v>
      </c>
      <c r="U57" s="118">
        <f t="shared" ref="U57:W57" si="74">U50*U$55</f>
        <v>374.14001442243256</v>
      </c>
      <c r="V57" s="118">
        <f t="shared" si="74"/>
        <v>377.3975551628393</v>
      </c>
      <c r="W57" s="118">
        <f t="shared" si="74"/>
        <v>353.09434441434991</v>
      </c>
      <c r="X57" s="118">
        <f t="shared" ref="X57:AH57" si="75">X50*X$55</f>
        <v>310.05310824697534</v>
      </c>
      <c r="Y57" s="118">
        <f t="shared" si="75"/>
        <v>370.24857575853861</v>
      </c>
      <c r="Z57" s="118">
        <f t="shared" si="75"/>
        <v>297.75030832991757</v>
      </c>
      <c r="AA57" s="118">
        <f t="shared" si="75"/>
        <v>3.940604116933061</v>
      </c>
      <c r="AB57" s="118">
        <f t="shared" si="75"/>
        <v>-224.4491508944987</v>
      </c>
      <c r="AC57" s="118">
        <f t="shared" si="75"/>
        <v>-454.30122601345812</v>
      </c>
      <c r="AD57" s="118">
        <f t="shared" si="75"/>
        <v>-440.76126928335816</v>
      </c>
      <c r="AE57" s="118">
        <f t="shared" si="75"/>
        <v>-342.63524389184295</v>
      </c>
      <c r="AF57" s="118">
        <f t="shared" si="75"/>
        <v>-60.758391136045901</v>
      </c>
      <c r="AG57" s="118">
        <f t="shared" si="75"/>
        <v>157.9705812044337</v>
      </c>
      <c r="AH57" s="118">
        <f t="shared" si="75"/>
        <v>463.70864427474027</v>
      </c>
      <c r="AI57" s="118">
        <f t="shared" ref="AI57" si="76">AI50*AI$55</f>
        <v>593.43282034147683</v>
      </c>
      <c r="AJ57" s="114">
        <f t="shared" si="71"/>
        <v>680.86396575891501</v>
      </c>
      <c r="AK57" s="118">
        <f t="shared" si="71"/>
        <v>792.69179729659754</v>
      </c>
      <c r="AL57" s="119">
        <f t="shared" si="71"/>
        <v>908.59666417311814</v>
      </c>
    </row>
    <row r="58" spans="1:38" x14ac:dyDescent="0.25">
      <c r="A58" s="76" t="s">
        <v>5</v>
      </c>
      <c r="B58" s="114">
        <f t="shared" ref="B58:K58" si="77">B51*B$55</f>
        <v>0</v>
      </c>
      <c r="C58" s="118">
        <f t="shared" si="77"/>
        <v>0</v>
      </c>
      <c r="D58" s="118">
        <f t="shared" si="77"/>
        <v>0</v>
      </c>
      <c r="E58" s="118">
        <f t="shared" si="77"/>
        <v>0</v>
      </c>
      <c r="F58" s="118">
        <f t="shared" si="77"/>
        <v>-1.5495162622333332</v>
      </c>
      <c r="G58" s="118">
        <f t="shared" si="77"/>
        <v>-18.904391499220331</v>
      </c>
      <c r="H58" s="118">
        <f t="shared" si="77"/>
        <v>-30.340087896858325</v>
      </c>
      <c r="I58" s="118">
        <f t="shared" si="77"/>
        <v>-44.74846603936723</v>
      </c>
      <c r="J58" s="118">
        <f t="shared" si="77"/>
        <v>-37.502724285834617</v>
      </c>
      <c r="K58" s="118">
        <f t="shared" si="77"/>
        <v>-32.872232121634134</v>
      </c>
      <c r="L58" s="118">
        <f t="shared" ref="L58:T58" si="78">L51*L$55</f>
        <v>-20.868676741792427</v>
      </c>
      <c r="M58" s="118">
        <f t="shared" si="78"/>
        <v>3.9257107357343406</v>
      </c>
      <c r="N58" s="118">
        <f t="shared" si="78"/>
        <v>29.666742508001686</v>
      </c>
      <c r="O58" s="118">
        <f t="shared" si="78"/>
        <v>527.53036564446984</v>
      </c>
      <c r="P58" s="118">
        <f t="shared" si="78"/>
        <v>486.75687732384824</v>
      </c>
      <c r="Q58" s="118">
        <f t="shared" si="78"/>
        <v>264.03814497764006</v>
      </c>
      <c r="R58" s="118">
        <f t="shared" si="78"/>
        <v>68.799280933335524</v>
      </c>
      <c r="S58" s="118">
        <f t="shared" si="78"/>
        <v>-59.978298156463779</v>
      </c>
      <c r="T58" s="118">
        <f t="shared" si="78"/>
        <v>-112.16073122727818</v>
      </c>
      <c r="U58" s="118">
        <f t="shared" ref="U58:W58" si="79">U51*U$55</f>
        <v>-189.58896605125369</v>
      </c>
      <c r="V58" s="118">
        <f t="shared" si="79"/>
        <v>-194.85375293252108</v>
      </c>
      <c r="W58" s="118">
        <f t="shared" si="79"/>
        <v>-335.66335928189898</v>
      </c>
      <c r="X58" s="118">
        <f t="shared" ref="X58:AH58" si="80">X51*X$55</f>
        <v>-417.54406703716836</v>
      </c>
      <c r="Y58" s="118">
        <f t="shared" si="80"/>
        <v>-594.6512568027739</v>
      </c>
      <c r="Z58" s="118">
        <f t="shared" si="80"/>
        <v>-676.64973703415956</v>
      </c>
      <c r="AA58" s="118">
        <f t="shared" si="80"/>
        <v>-1145.6212686956546</v>
      </c>
      <c r="AB58" s="118">
        <f t="shared" si="80"/>
        <v>-1622.4923729946941</v>
      </c>
      <c r="AC58" s="118">
        <f t="shared" si="80"/>
        <v>-2177.7528607896384</v>
      </c>
      <c r="AD58" s="118">
        <f t="shared" si="80"/>
        <v>-2196.0555919998678</v>
      </c>
      <c r="AE58" s="118">
        <f t="shared" si="80"/>
        <v>-1780.9075947996073</v>
      </c>
      <c r="AF58" s="118">
        <f t="shared" si="80"/>
        <v>-789.21294171449779</v>
      </c>
      <c r="AG58" s="118">
        <f t="shared" si="80"/>
        <v>-1.4722743079549172</v>
      </c>
      <c r="AH58" s="118">
        <f t="shared" si="80"/>
        <v>766.65112883633026</v>
      </c>
      <c r="AI58" s="118">
        <f t="shared" ref="AI58" si="81">AI51*AI$55</f>
        <v>781.11198391191783</v>
      </c>
      <c r="AJ58" s="114">
        <f t="shared" si="71"/>
        <v>738.6578404553685</v>
      </c>
      <c r="AK58" s="118">
        <f t="shared" si="71"/>
        <v>826.99848084507971</v>
      </c>
      <c r="AL58" s="119">
        <f t="shared" si="71"/>
        <v>1009.5636281371637</v>
      </c>
    </row>
    <row r="59" spans="1:38" x14ac:dyDescent="0.25">
      <c r="A59" s="76" t="s">
        <v>6</v>
      </c>
      <c r="B59" s="114">
        <f t="shared" ref="B59:K59" si="82">B52*B$55</f>
        <v>0</v>
      </c>
      <c r="C59" s="118">
        <f t="shared" si="82"/>
        <v>0</v>
      </c>
      <c r="D59" s="118">
        <f t="shared" si="82"/>
        <v>0</v>
      </c>
      <c r="E59" s="118">
        <f t="shared" si="82"/>
        <v>0</v>
      </c>
      <c r="F59" s="118">
        <f t="shared" si="82"/>
        <v>-1.0214870824166666</v>
      </c>
      <c r="G59" s="118">
        <f t="shared" si="82"/>
        <v>-8.6169910456603631</v>
      </c>
      <c r="H59" s="118">
        <f t="shared" si="82"/>
        <v>-17.898704851830932</v>
      </c>
      <c r="I59" s="118">
        <f t="shared" si="82"/>
        <v>-32.360591376266193</v>
      </c>
      <c r="J59" s="118">
        <f>J52*J$55</f>
        <v>-41.863078638494279</v>
      </c>
      <c r="K59" s="118">
        <f t="shared" si="82"/>
        <v>-50.380616419195348</v>
      </c>
      <c r="L59" s="118">
        <f t="shared" ref="L59:T59" si="83">L52*L$55</f>
        <v>-56.544660198561949</v>
      </c>
      <c r="M59" s="118">
        <f t="shared" si="83"/>
        <v>-70.145470626829336</v>
      </c>
      <c r="N59" s="118">
        <f t="shared" si="83"/>
        <v>-68.659673403835995</v>
      </c>
      <c r="O59" s="118">
        <f t="shared" si="83"/>
        <v>1561.3846943055989</v>
      </c>
      <c r="P59" s="118">
        <f t="shared" si="83"/>
        <v>1768.9371438394114</v>
      </c>
      <c r="Q59" s="118">
        <f t="shared" si="83"/>
        <v>1510.952818599636</v>
      </c>
      <c r="R59" s="118">
        <f t="shared" si="83"/>
        <v>1263.8544498380149</v>
      </c>
      <c r="S59" s="118">
        <f t="shared" si="83"/>
        <v>1313.4230762664999</v>
      </c>
      <c r="T59" s="118">
        <f t="shared" si="83"/>
        <v>1126.944595949514</v>
      </c>
      <c r="U59" s="118">
        <f t="shared" ref="U59:W59" si="84">U52*U$55</f>
        <v>1039.3450717383148</v>
      </c>
      <c r="V59" s="118">
        <f t="shared" si="84"/>
        <v>878.63535583829116</v>
      </c>
      <c r="W59" s="118">
        <f t="shared" si="84"/>
        <v>614.94021882858669</v>
      </c>
      <c r="X59" s="118">
        <f t="shared" ref="X59:AH59" si="85">X52*X$55</f>
        <v>382.6423653534834</v>
      </c>
      <c r="Y59" s="118">
        <f t="shared" si="85"/>
        <v>193.03819573473837</v>
      </c>
      <c r="Z59" s="118">
        <f t="shared" si="85"/>
        <v>-99.633063812648629</v>
      </c>
      <c r="AA59" s="118">
        <f t="shared" si="85"/>
        <v>-390.08880974015705</v>
      </c>
      <c r="AB59" s="118">
        <f t="shared" si="85"/>
        <v>-729.83915892060475</v>
      </c>
      <c r="AC59" s="118">
        <f t="shared" si="85"/>
        <v>-1102.653523220418</v>
      </c>
      <c r="AD59" s="118">
        <f t="shared" si="85"/>
        <v>-1311.7265760329258</v>
      </c>
      <c r="AE59" s="118">
        <f t="shared" si="85"/>
        <v>-1223.2703144187776</v>
      </c>
      <c r="AF59" s="118">
        <f t="shared" si="85"/>
        <v>-906.67198912024537</v>
      </c>
      <c r="AG59" s="118">
        <f t="shared" si="85"/>
        <v>-647.66805227409202</v>
      </c>
      <c r="AH59" s="118">
        <f t="shared" si="85"/>
        <v>-518.89467390359505</v>
      </c>
      <c r="AI59" s="118">
        <f t="shared" ref="AI59" si="86">AI52*AI$55</f>
        <v>-789.7067459790386</v>
      </c>
      <c r="AJ59" s="114">
        <f t="shared" si="71"/>
        <v>-1021.6414791001989</v>
      </c>
      <c r="AK59" s="118">
        <f t="shared" si="71"/>
        <v>-1176.0754107089897</v>
      </c>
      <c r="AL59" s="119">
        <f t="shared" si="71"/>
        <v>-1298.6169533160198</v>
      </c>
    </row>
    <row r="60" spans="1:38" ht="15.75" thickBot="1" x14ac:dyDescent="0.3">
      <c r="A60" s="76" t="s">
        <v>7</v>
      </c>
      <c r="B60" s="114">
        <f t="shared" ref="B60:K60" si="87">B53*B$55</f>
        <v>0</v>
      </c>
      <c r="C60" s="118">
        <f t="shared" si="87"/>
        <v>0</v>
      </c>
      <c r="D60" s="118">
        <f t="shared" si="87"/>
        <v>0</v>
      </c>
      <c r="E60" s="118">
        <f t="shared" si="87"/>
        <v>0</v>
      </c>
      <c r="F60" s="118">
        <f t="shared" si="87"/>
        <v>0</v>
      </c>
      <c r="G60" s="118">
        <f t="shared" si="87"/>
        <v>-2.5406751930000002</v>
      </c>
      <c r="H60" s="118">
        <f t="shared" si="87"/>
        <v>-7.3592268311878595</v>
      </c>
      <c r="I60" s="118">
        <f t="shared" si="87"/>
        <v>-14.215720334968859</v>
      </c>
      <c r="J60" s="118">
        <f t="shared" si="87"/>
        <v>-19.290873552814137</v>
      </c>
      <c r="K60" s="118">
        <f t="shared" si="87"/>
        <v>-24.097498247152753</v>
      </c>
      <c r="L60" s="118">
        <f t="shared" ref="L60:T60" si="88">L53*L$55</f>
        <v>-28.152975911320841</v>
      </c>
      <c r="M60" s="118">
        <f t="shared" si="88"/>
        <v>-39.303208982586895</v>
      </c>
      <c r="N60" s="118">
        <f t="shared" si="88"/>
        <v>-38.328823080405158</v>
      </c>
      <c r="O60" s="118">
        <f t="shared" si="88"/>
        <v>1223.1510888507535</v>
      </c>
      <c r="P60" s="118">
        <f t="shared" si="88"/>
        <v>1412.1221094515358</v>
      </c>
      <c r="Q60" s="118">
        <f t="shared" si="88"/>
        <v>1245.5176081196319</v>
      </c>
      <c r="R60" s="118">
        <f t="shared" si="88"/>
        <v>1077.9357666764231</v>
      </c>
      <c r="S60" s="118">
        <f t="shared" si="88"/>
        <v>1084.8704362416488</v>
      </c>
      <c r="T60" s="118">
        <f t="shared" si="88"/>
        <v>861.32859474406212</v>
      </c>
      <c r="U60" s="118">
        <f t="shared" ref="U60:W60" si="89">U53*U$55</f>
        <v>656.99218427053233</v>
      </c>
      <c r="V60" s="118">
        <f t="shared" si="89"/>
        <v>412.76124384444222</v>
      </c>
      <c r="W60" s="118">
        <f t="shared" si="89"/>
        <v>180.31937311554159</v>
      </c>
      <c r="X60" s="118">
        <f t="shared" ref="X60:AH60" si="90">X53*X$55</f>
        <v>-40.884181273409304</v>
      </c>
      <c r="Y60" s="118">
        <f t="shared" si="90"/>
        <v>-293.15252367551346</v>
      </c>
      <c r="Z60" s="118">
        <f t="shared" si="90"/>
        <v>-517.15798817285258</v>
      </c>
      <c r="AA60" s="118">
        <f t="shared" si="90"/>
        <v>-674.07054250439933</v>
      </c>
      <c r="AB60" s="118">
        <f t="shared" si="90"/>
        <v>-744.50576241452836</v>
      </c>
      <c r="AC60" s="118">
        <f t="shared" si="90"/>
        <v>-818.5817724889057</v>
      </c>
      <c r="AD60" s="118">
        <f t="shared" si="90"/>
        <v>-749.30394259847867</v>
      </c>
      <c r="AE60" s="118">
        <f t="shared" si="90"/>
        <v>-672.35778311230831</v>
      </c>
      <c r="AF60" s="118">
        <f t="shared" si="90"/>
        <v>-519.11920433137084</v>
      </c>
      <c r="AG60" s="118">
        <f t="shared" si="90"/>
        <v>-388.99916117321391</v>
      </c>
      <c r="AH60" s="118">
        <f t="shared" si="90"/>
        <v>-292.78679213600373</v>
      </c>
      <c r="AI60" s="118">
        <f t="shared" ref="AI60" si="91">AI53*AI$55</f>
        <v>-270.66950392005737</v>
      </c>
      <c r="AJ60" s="114">
        <f t="shared" si="71"/>
        <v>-240.60925232970541</v>
      </c>
      <c r="AK60" s="118">
        <f t="shared" si="71"/>
        <v>-175.26903233877843</v>
      </c>
      <c r="AL60" s="119">
        <f t="shared" si="71"/>
        <v>-83.222984196004475</v>
      </c>
    </row>
    <row r="61" spans="1:38" ht="16.5" thickTop="1" thickBot="1" x14ac:dyDescent="0.3">
      <c r="A61" s="130" t="s">
        <v>74</v>
      </c>
      <c r="B61" s="131">
        <f>SUM(B56:B60)+SUM(B49:B53)-B64</f>
        <v>0</v>
      </c>
      <c r="C61" s="132">
        <f>SUM(C56:C60)+SUM(C49:C53)-C64</f>
        <v>0</v>
      </c>
      <c r="D61" s="132">
        <f t="shared" ref="D61:J61" si="92">SUM(D56:D60)+SUM(D49:D53)-D64</f>
        <v>0</v>
      </c>
      <c r="E61" s="132">
        <f t="shared" si="92"/>
        <v>0</v>
      </c>
      <c r="F61" s="132">
        <f>SUM(F56:F60)+SUM(F49:F53)-F64</f>
        <v>0</v>
      </c>
      <c r="G61" s="135">
        <f>SUM(G56:G60)+SUM(G49:G53)-G64</f>
        <v>0</v>
      </c>
      <c r="H61" s="132">
        <f t="shared" si="92"/>
        <v>0</v>
      </c>
      <c r="I61" s="132">
        <f t="shared" si="92"/>
        <v>0</v>
      </c>
      <c r="J61" s="132">
        <f t="shared" si="92"/>
        <v>0</v>
      </c>
      <c r="K61" s="132">
        <f>SUM(K56:K60)+SUM(K49:K53)-K64</f>
        <v>0</v>
      </c>
      <c r="L61" s="132">
        <f t="shared" ref="L61:T61" si="93">SUM(L56:L60)+SUM(L49:L53)-L64</f>
        <v>0</v>
      </c>
      <c r="M61" s="132">
        <f t="shared" si="93"/>
        <v>0</v>
      </c>
      <c r="N61" s="132">
        <f t="shared" si="93"/>
        <v>0</v>
      </c>
      <c r="O61" s="135">
        <f>SUM(O56:O60)+SUM(O49:O53)-O64</f>
        <v>0</v>
      </c>
      <c r="P61" s="135">
        <f t="shared" si="93"/>
        <v>0</v>
      </c>
      <c r="Q61" s="135">
        <f t="shared" si="93"/>
        <v>0</v>
      </c>
      <c r="R61" s="135">
        <f t="shared" si="93"/>
        <v>0</v>
      </c>
      <c r="S61" s="135">
        <f t="shared" si="93"/>
        <v>0</v>
      </c>
      <c r="T61" s="135">
        <f t="shared" si="93"/>
        <v>0</v>
      </c>
      <c r="U61" s="135">
        <f t="shared" ref="U61" si="94">SUM(U56:U60)+SUM(U49:U53)-U64</f>
        <v>0</v>
      </c>
      <c r="V61" s="135">
        <f t="shared" ref="V61" si="95">SUM(V56:V60)+SUM(V49:V53)-V64</f>
        <v>0</v>
      </c>
      <c r="W61" s="135">
        <f t="shared" ref="W61:AH61" si="96">SUM(W56:W60)+SUM(W49:W53)-W64</f>
        <v>0</v>
      </c>
      <c r="X61" s="135">
        <f t="shared" si="96"/>
        <v>0</v>
      </c>
      <c r="Y61" s="135">
        <f t="shared" si="96"/>
        <v>0</v>
      </c>
      <c r="Z61" s="135">
        <f t="shared" si="96"/>
        <v>0</v>
      </c>
      <c r="AA61" s="135">
        <f t="shared" si="96"/>
        <v>0</v>
      </c>
      <c r="AB61" s="135">
        <f t="shared" si="96"/>
        <v>0</v>
      </c>
      <c r="AC61" s="135">
        <f t="shared" si="96"/>
        <v>0</v>
      </c>
      <c r="AD61" s="135">
        <f t="shared" si="96"/>
        <v>0</v>
      </c>
      <c r="AE61" s="135">
        <f t="shared" si="96"/>
        <v>0</v>
      </c>
      <c r="AF61" s="135">
        <f t="shared" si="96"/>
        <v>0</v>
      </c>
      <c r="AG61" s="135">
        <f t="shared" si="96"/>
        <v>-8.7311491370201111E-10</v>
      </c>
      <c r="AH61" s="135">
        <f t="shared" si="96"/>
        <v>-1.5133991837501526E-9</v>
      </c>
      <c r="AI61" s="135">
        <f t="shared" ref="AI61" si="97">SUM(AI56:AI60)+SUM(AI49:AI53)-AI64</f>
        <v>-1.178705133497715E-9</v>
      </c>
      <c r="AJ61" s="131">
        <f>SUM(AJ56:AJ60)+SUM(AJ49:AJ53)-AJ64</f>
        <v>-9.8953023552894592E-10</v>
      </c>
      <c r="AK61" s="132">
        <f>SUM(AK56:AK60)+SUM(AK49:AK53)-AK64</f>
        <v>0</v>
      </c>
      <c r="AL61" s="133">
        <f>SUM(AL56:AL60)+SUM(AL49:AL53)-AL64</f>
        <v>0</v>
      </c>
    </row>
    <row r="62" spans="1:38" ht="16.5" thickTop="1" thickBot="1" x14ac:dyDescent="0.3">
      <c r="A62" s="130" t="s">
        <v>75</v>
      </c>
      <c r="B62" s="134">
        <f>SUM(B56:B60)-B39</f>
        <v>0</v>
      </c>
      <c r="C62" s="135">
        <f t="shared" ref="C62:I62" si="98">SUM(C56:C60)-C39</f>
        <v>0</v>
      </c>
      <c r="D62" s="135">
        <f t="shared" si="98"/>
        <v>0</v>
      </c>
      <c r="E62" s="135">
        <f t="shared" si="98"/>
        <v>-4.4190201499999526E-3</v>
      </c>
      <c r="F62" s="135">
        <f t="shared" si="98"/>
        <v>2.8282966259043363E-3</v>
      </c>
      <c r="G62" s="135">
        <f>SUM(G56:G60)-G39</f>
        <v>6.5508329569752277E-4</v>
      </c>
      <c r="H62" s="135">
        <f t="shared" si="98"/>
        <v>4.4959036100635785E-3</v>
      </c>
      <c r="I62" s="135">
        <f t="shared" si="98"/>
        <v>-3.2885115697638412E-3</v>
      </c>
      <c r="J62" s="135">
        <f>SUM(J56:J60)-J39</f>
        <v>-8.430289186662776E-4</v>
      </c>
      <c r="K62" s="135">
        <f>SUM(K56:K60)-K39</f>
        <v>9.6574036021479515E-4</v>
      </c>
      <c r="L62" s="135">
        <f>SUM(L56:L60)-L39</f>
        <v>4.3313748141429187E-3</v>
      </c>
      <c r="M62" s="135">
        <f t="shared" ref="M62:T62" si="99">SUM(M56:M60)-M39</f>
        <v>-3.4341271651783245E-4</v>
      </c>
      <c r="N62" s="135">
        <f t="shared" si="99"/>
        <v>-3.1017131810813225E-3</v>
      </c>
      <c r="O62" s="135">
        <f>SUM(O56:O60)-O39</f>
        <v>-2.4565394651290262E-3</v>
      </c>
      <c r="P62" s="135">
        <f t="shared" si="99"/>
        <v>-8.8279349984077271E-4</v>
      </c>
      <c r="Q62" s="135">
        <f t="shared" si="99"/>
        <v>1.7046938210114604E-3</v>
      </c>
      <c r="R62" s="135">
        <f t="shared" si="99"/>
        <v>1.0271608198308968E-3</v>
      </c>
      <c r="S62" s="135">
        <f t="shared" si="99"/>
        <v>-3.5934589504904579E-3</v>
      </c>
      <c r="T62" s="135">
        <f t="shared" si="99"/>
        <v>-3.2611183469271054E-3</v>
      </c>
      <c r="U62" s="135">
        <f t="shared" ref="U62:W62" si="100">SUM(U56:U60)-U39</f>
        <v>1.4657506299045053E-3</v>
      </c>
      <c r="V62" s="135">
        <f t="shared" si="100"/>
        <v>-1.8018017353824689E-3</v>
      </c>
      <c r="W62" s="135">
        <f t="shared" si="100"/>
        <v>-2.0668456936618895E-3</v>
      </c>
      <c r="X62" s="135">
        <f>SUM(X56:X60)-X39</f>
        <v>1.0095209813698602E-3</v>
      </c>
      <c r="Y62" s="135">
        <f t="shared" ref="Y62:AH62" si="101">SUM(Y56:Y60)-Y39</f>
        <v>4.1331970855935651E-3</v>
      </c>
      <c r="Z62" s="135">
        <f t="shared" si="101"/>
        <v>4.1803253977832355E-3</v>
      </c>
      <c r="AA62" s="135">
        <f t="shared" si="101"/>
        <v>-3.9788465428500785E-3</v>
      </c>
      <c r="AB62" s="135">
        <f t="shared" si="101"/>
        <v>2.8665553872997407E-4</v>
      </c>
      <c r="AC62" s="135">
        <f t="shared" si="101"/>
        <v>-1.1789796826633392E-3</v>
      </c>
      <c r="AD62" s="135">
        <f t="shared" si="101"/>
        <v>5.1333783067093464E-3</v>
      </c>
      <c r="AE62" s="135">
        <f t="shared" si="101"/>
        <v>2.4438253240077756E-3</v>
      </c>
      <c r="AF62" s="135">
        <f t="shared" si="101"/>
        <v>-2.9463441705956939E-3</v>
      </c>
      <c r="AG62" s="135">
        <f t="shared" si="101"/>
        <v>-2.1629997951322366E-3</v>
      </c>
      <c r="AH62" s="135">
        <f t="shared" si="101"/>
        <v>4.4654135945165763E-4</v>
      </c>
      <c r="AI62" s="135">
        <f t="shared" ref="AI62" si="102">SUM(AI56:AI60)-AI39</f>
        <v>2.3375660293538658E-3</v>
      </c>
      <c r="AJ62" s="131">
        <f>SUM(AJ56:AJ60)-AJ39</f>
        <v>5.2008866373398632E-4</v>
      </c>
      <c r="AK62" s="132">
        <f>SUM(AK56:AK60)-AK39</f>
        <v>5.2115372409389238E-4</v>
      </c>
      <c r="AL62" s="133">
        <f>SUM(AL56:AL60)-AL39</f>
        <v>5.2222096473997226E-4</v>
      </c>
    </row>
    <row r="63" spans="1:38" ht="15.75" thickTop="1" x14ac:dyDescent="0.25">
      <c r="B63" s="102"/>
      <c r="C63" s="103"/>
      <c r="D63" s="103"/>
      <c r="E63" s="103"/>
      <c r="F63" s="103"/>
      <c r="G63" s="105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2"/>
      <c r="AK63" s="103"/>
      <c r="AL63" s="106"/>
    </row>
    <row r="64" spans="1:38" x14ac:dyDescent="0.25">
      <c r="A64" s="76" t="s">
        <v>76</v>
      </c>
      <c r="B64" s="114">
        <f>(B15-SUM(B22:B26))+SUM(B56:B60)</f>
        <v>0</v>
      </c>
      <c r="C64" s="118">
        <f t="shared" ref="C64:AL64" si="103">(SUM(C15:C19)-SUM(C22:C26))+SUM(C56:C60)+B64</f>
        <v>0</v>
      </c>
      <c r="D64" s="118">
        <f t="shared" si="103"/>
        <v>0</v>
      </c>
      <c r="E64" s="118">
        <f>(SUM(E15:E19)-SUM(E22:E26))+SUM(E56:E60)+D64</f>
        <v>1329.6055809798499</v>
      </c>
      <c r="F64" s="118">
        <f t="shared" si="103"/>
        <v>-6541.091590723524</v>
      </c>
      <c r="G64" s="118">
        <f>(SUM(G15:G19)-SUM(G22:G26))+SUM(G56:G60)+F64</f>
        <v>-139667.53093564021</v>
      </c>
      <c r="H64" s="118">
        <f t="shared" si="103"/>
        <v>-191449.07643973659</v>
      </c>
      <c r="I64" s="118">
        <f t="shared" si="103"/>
        <v>-114260.33972824828</v>
      </c>
      <c r="J64" s="118">
        <f t="shared" si="103"/>
        <v>318696.50942872278</v>
      </c>
      <c r="K64" s="115">
        <f t="shared" si="103"/>
        <v>271723.33039446315</v>
      </c>
      <c r="L64" s="115">
        <f t="shared" ref="L64" si="104">(SUM(L15:L19)-SUM(L22:L26))+SUM(L56:L60)+K64</f>
        <v>341028.25472583779</v>
      </c>
      <c r="M64" s="115">
        <f t="shared" ref="M64" si="105">(SUM(M15:M19)-SUM(M22:M26))+SUM(M56:M60)+L64</f>
        <v>493325.63438242511</v>
      </c>
      <c r="N64" s="115">
        <f t="shared" ref="N64" si="106">(SUM(N15:N19)-SUM(N22:N26))+SUM(N56:N60)+M64</f>
        <v>465985.09128071187</v>
      </c>
      <c r="O64" s="115">
        <f>(SUM(O15:O19)-SUM(O22:O26))+SUM(O56:O60)+N64+N65</f>
        <v>12122508.458824173</v>
      </c>
      <c r="P64" s="115">
        <f t="shared" ref="P64" si="107">(SUM(P15:P19)-SUM(P22:P26))+SUM(P56:P60)+O64</f>
        <v>10669334.067941379</v>
      </c>
      <c r="Q64" s="115">
        <f t="shared" ref="Q64" si="108">(SUM(Q15:Q19)-SUM(Q22:Q26))+SUM(Q56:Q60)+P64</f>
        <v>9125180.1096460726</v>
      </c>
      <c r="R64" s="115">
        <f t="shared" ref="R64" si="109">(SUM(R15:R19)-SUM(R22:R26))+SUM(R56:R60)+Q64</f>
        <v>7690348.2806732329</v>
      </c>
      <c r="S64" s="115">
        <f t="shared" ref="S64" si="110">(SUM(S15:S19)-SUM(S22:S26))+SUM(S56:S60)+R64</f>
        <v>6751239.487079774</v>
      </c>
      <c r="T64" s="115">
        <f t="shared" ref="T64" si="111">(SUM(T15:T19)-SUM(T22:T26))+SUM(T56:T60)+S64</f>
        <v>5977194.6138186557</v>
      </c>
      <c r="U64" s="115">
        <f t="shared" ref="U64" si="112">(SUM(U15:U19)-SUM(U22:U26))+SUM(U56:U60)+T64</f>
        <v>5292979.7952844063</v>
      </c>
      <c r="V64" s="115">
        <f t="shared" ref="V64" si="113">(SUM(V15:V19)-SUM(V22:V26))+SUM(V56:V60)+U64</f>
        <v>4554328.6234826045</v>
      </c>
      <c r="W64" s="115">
        <f t="shared" ref="W64" si="114">(SUM(W15:W19)-SUM(W22:W26))+SUM(W56:W60)+V64</f>
        <v>3112526.3314157594</v>
      </c>
      <c r="X64" s="115">
        <f t="shared" ref="X64" si="115">(SUM(X15:X19)-SUM(X22:X26))+SUM(X56:X60)+W64</f>
        <v>1984651.7124252794</v>
      </c>
      <c r="Y64" s="115">
        <f t="shared" ref="Y64" si="116">(SUM(Y15:Y19)-SUM(Y22:Y26))+SUM(Y56:Y60)+X64</f>
        <v>810020.77655847743</v>
      </c>
      <c r="Z64" s="115">
        <f t="shared" ref="Z64" si="117">(SUM(Z15:Z19)-SUM(Z22:Z26))+SUM(Z56:Z60)+Y64</f>
        <v>-1091623.669261198</v>
      </c>
      <c r="AA64" s="115">
        <f t="shared" ref="AA64" si="118">(SUM(AA15:AA19)-SUM(AA22:AA26))+SUM(AA56:AA60)+Z64</f>
        <v>-2719539.8932400444</v>
      </c>
      <c r="AB64" s="115">
        <f t="shared" ref="AB64" si="119">(SUM(AB15:AB19)-SUM(AB22:AB26))+SUM(AB56:AB60)+AA64</f>
        <v>-3863493.4229533877</v>
      </c>
      <c r="AC64" s="115">
        <f t="shared" ref="AC64" si="120">(SUM(AC15:AC19)-SUM(AC22:AC26))+SUM(AC56:AC60)+AB64</f>
        <v>-5105394.6341323685</v>
      </c>
      <c r="AD64" s="115">
        <f t="shared" ref="AD64" si="121">(SUM(AD15:AD19)-SUM(AD22:AD26))+SUM(AD56:AD60)+AC64</f>
        <v>-5699667.008998991</v>
      </c>
      <c r="AE64" s="115">
        <f t="shared" ref="AE64" si="122">(SUM(AE15:AE19)-SUM(AE22:AE26))+SUM(AE56:AE60)+AD64</f>
        <v>-4531783.0865551634</v>
      </c>
      <c r="AF64" s="115">
        <f t="shared" ref="AF64" si="123">(SUM(AF15:AF19)-SUM(AF22:AF26))+SUM(AF56:AF60)+AE64</f>
        <v>-2351007.5095015061</v>
      </c>
      <c r="AG64" s="115">
        <f t="shared" ref="AG64" si="124">(SUM(AG15:AG19)-SUM(AG22:AG26))+SUM(AG56:AG60)+AF64</f>
        <v>-351648.76166450279</v>
      </c>
      <c r="AH64" s="115">
        <f t="shared" ref="AH64:AI64" si="125">(SUM(AH15:AH19)-SUM(AH22:AH26))+SUM(AH56:AH60)+AG64</f>
        <v>591360.58878203796</v>
      </c>
      <c r="AI64" s="115">
        <f t="shared" si="125"/>
        <v>64449.271119601442</v>
      </c>
      <c r="AJ64" s="114">
        <f>(SUM(AJ15:AJ19)-SUM(AJ22:AJ26))+SUM(AJ56:AJ60)+AI64</f>
        <v>-447699.61855184555</v>
      </c>
      <c r="AK64" s="118">
        <f t="shared" si="103"/>
        <v>-953709.52198122838</v>
      </c>
      <c r="AL64" s="119">
        <f t="shared" si="103"/>
        <v>-1733075.5768689867</v>
      </c>
    </row>
    <row r="65" spans="1:38" x14ac:dyDescent="0.25">
      <c r="A65" s="183" t="s">
        <v>120</v>
      </c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242">
        <v>13541922</v>
      </c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2"/>
      <c r="AK65" s="103"/>
      <c r="AL65" s="106"/>
    </row>
    <row r="66" spans="1:38" x14ac:dyDescent="0.25">
      <c r="A66" s="229" t="s">
        <v>0</v>
      </c>
      <c r="B66" s="102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223">
        <v>7611905</v>
      </c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2"/>
      <c r="AK66" s="103"/>
      <c r="AL66" s="106"/>
    </row>
    <row r="67" spans="1:38" x14ac:dyDescent="0.25">
      <c r="A67" s="229" t="s">
        <v>4</v>
      </c>
      <c r="B67" s="102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223">
        <v>668388</v>
      </c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2"/>
      <c r="AK67" s="103"/>
      <c r="AL67" s="106"/>
    </row>
    <row r="68" spans="1:38" x14ac:dyDescent="0.25">
      <c r="A68" s="229" t="s">
        <v>5</v>
      </c>
      <c r="B68" s="102"/>
      <c r="C68" s="103"/>
      <c r="D68" s="103"/>
      <c r="E68" s="244"/>
      <c r="F68" s="244"/>
      <c r="G68" s="244"/>
      <c r="H68" s="244"/>
      <c r="I68" s="244"/>
      <c r="J68" s="244"/>
      <c r="K68" s="244"/>
      <c r="L68" s="244"/>
      <c r="M68" s="244"/>
      <c r="N68" s="223">
        <v>905881</v>
      </c>
      <c r="O68" s="103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102"/>
      <c r="AK68" s="103"/>
      <c r="AL68" s="106"/>
    </row>
    <row r="69" spans="1:38" x14ac:dyDescent="0.25">
      <c r="A69" s="229" t="s">
        <v>6</v>
      </c>
      <c r="B69" s="102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223">
        <v>2477462</v>
      </c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2"/>
      <c r="AK69" s="103"/>
      <c r="AL69" s="106"/>
    </row>
    <row r="70" spans="1:38" ht="15.75" thickBot="1" x14ac:dyDescent="0.3">
      <c r="A70" s="229" t="s">
        <v>7</v>
      </c>
      <c r="B70" s="137"/>
      <c r="C70" s="138"/>
      <c r="D70" s="138"/>
      <c r="E70" s="245"/>
      <c r="F70" s="245"/>
      <c r="G70" s="245"/>
      <c r="H70" s="245"/>
      <c r="I70" s="245"/>
      <c r="J70" s="245"/>
      <c r="K70" s="245"/>
      <c r="L70" s="245"/>
      <c r="M70" s="245"/>
      <c r="N70" s="243">
        <v>1878286</v>
      </c>
      <c r="O70" s="138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  <c r="AH70" s="245"/>
      <c r="AI70" s="245"/>
      <c r="AJ70" s="137"/>
      <c r="AK70" s="138"/>
      <c r="AL70" s="139"/>
    </row>
    <row r="71" spans="1:38" x14ac:dyDescent="0.25">
      <c r="B71" s="56"/>
      <c r="C71" s="56"/>
      <c r="D71" s="56"/>
      <c r="E71" s="56"/>
      <c r="F71" s="56"/>
      <c r="G71" s="56"/>
      <c r="H71" s="56"/>
    </row>
    <row r="75" spans="1:38" x14ac:dyDescent="0.25">
      <c r="C75" s="56"/>
      <c r="D75" s="56"/>
      <c r="E75" s="56"/>
      <c r="F75" s="56"/>
      <c r="G75" s="56"/>
      <c r="H75" s="56"/>
    </row>
  </sheetData>
  <mergeCells count="1">
    <mergeCell ref="AJ13:AL1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4"/>
  <sheetViews>
    <sheetView workbookViewId="0"/>
  </sheetViews>
  <sheetFormatPr defaultColWidth="9.140625" defaultRowHeight="15" x14ac:dyDescent="0.25"/>
  <cols>
    <col min="1" max="1" width="13.85546875" style="76" customWidth="1"/>
    <col min="2" max="2" width="25" style="76" customWidth="1"/>
    <col min="3" max="3" width="17.28515625" style="76" customWidth="1"/>
    <col min="4" max="4" width="17.28515625" style="183" customWidth="1"/>
    <col min="5" max="5" width="14.7109375" style="76" customWidth="1"/>
    <col min="6" max="6" width="14.42578125" style="76" bestFit="1" customWidth="1"/>
    <col min="7" max="7" width="14" style="76" customWidth="1"/>
    <col min="8" max="8" width="12.5703125" style="76" bestFit="1" customWidth="1"/>
    <col min="9" max="9" width="13.28515625" style="76" bestFit="1" customWidth="1"/>
    <col min="10" max="10" width="14" style="76" customWidth="1"/>
    <col min="11" max="11" width="9.140625" style="76" customWidth="1"/>
    <col min="12" max="16384" width="9.140625" style="76"/>
  </cols>
  <sheetData>
    <row r="1" spans="1:19" x14ac:dyDescent="0.25">
      <c r="A1" s="8" t="s">
        <v>161</v>
      </c>
      <c r="E1" s="50"/>
    </row>
    <row r="2" spans="1:19" ht="15.75" thickBot="1" x14ac:dyDescent="0.3">
      <c r="B2" s="155" t="s">
        <v>96</v>
      </c>
      <c r="C2" s="155"/>
      <c r="D2" s="238"/>
      <c r="L2" s="50"/>
      <c r="M2" s="50"/>
      <c r="N2" s="50"/>
    </row>
    <row r="3" spans="1:19" ht="15.75" thickBot="1" x14ac:dyDescent="0.3">
      <c r="E3" s="276" t="s">
        <v>8</v>
      </c>
      <c r="F3" s="277"/>
      <c r="G3" s="277"/>
      <c r="H3" s="278"/>
      <c r="L3" s="50"/>
    </row>
    <row r="4" spans="1:19" ht="15.75" thickBot="1" x14ac:dyDescent="0.3">
      <c r="A4" s="186" t="s">
        <v>97</v>
      </c>
      <c r="B4" s="161">
        <v>9141434.9200000018</v>
      </c>
      <c r="C4" s="76" t="s">
        <v>9</v>
      </c>
      <c r="E4" s="185"/>
      <c r="F4" s="193" t="s">
        <v>0</v>
      </c>
      <c r="G4" s="193" t="s">
        <v>1</v>
      </c>
      <c r="H4" s="194" t="s">
        <v>2</v>
      </c>
      <c r="I4" s="165" t="s">
        <v>9</v>
      </c>
      <c r="L4" s="58" t="s">
        <v>27</v>
      </c>
    </row>
    <row r="5" spans="1:19" ht="16.5" thickTop="1" thickBot="1" x14ac:dyDescent="0.3">
      <c r="A5" s="60"/>
      <c r="B5" s="50"/>
      <c r="C5" s="4"/>
      <c r="D5" s="4"/>
      <c r="E5" s="187" t="s">
        <v>104</v>
      </c>
      <c r="F5" s="164">
        <v>609232</v>
      </c>
      <c r="G5" s="164">
        <v>528092</v>
      </c>
      <c r="H5" s="170">
        <v>15591</v>
      </c>
      <c r="I5" s="162">
        <f>SUM(F5:H5)</f>
        <v>1152915</v>
      </c>
      <c r="L5" s="58" t="s">
        <v>165</v>
      </c>
      <c r="M5" s="50"/>
      <c r="N5" s="50"/>
    </row>
    <row r="6" spans="1:19" ht="15.75" thickTop="1" x14ac:dyDescent="0.25">
      <c r="A6" s="60"/>
      <c r="B6" s="161">
        <f>+B4*12/23</f>
        <v>4769444.3060869575</v>
      </c>
      <c r="C6" s="76" t="s">
        <v>162</v>
      </c>
      <c r="E6" s="187"/>
      <c r="F6" s="189">
        <f>F5/I5</f>
        <v>0.52842750766535262</v>
      </c>
      <c r="G6" s="189">
        <f>+G5/I5</f>
        <v>0.45804937918233346</v>
      </c>
      <c r="H6" s="190">
        <f>+H5/I5</f>
        <v>1.3523113152313916E-2</v>
      </c>
      <c r="L6" s="3" t="s">
        <v>103</v>
      </c>
    </row>
    <row r="7" spans="1:19" x14ac:dyDescent="0.25">
      <c r="A7" s="60"/>
      <c r="B7" s="161">
        <f>+B4*11/23</f>
        <v>4371990.6139130443</v>
      </c>
      <c r="C7" s="76" t="s">
        <v>163</v>
      </c>
      <c r="E7" s="187"/>
      <c r="F7" s="205"/>
      <c r="G7" s="205"/>
      <c r="H7" s="206"/>
      <c r="K7" s="3"/>
      <c r="L7" s="3" t="s">
        <v>115</v>
      </c>
    </row>
    <row r="8" spans="1:19" x14ac:dyDescent="0.25">
      <c r="A8" s="60"/>
      <c r="B8" s="52"/>
      <c r="C8" s="183"/>
      <c r="E8" s="187" t="s">
        <v>114</v>
      </c>
      <c r="F8" s="209"/>
      <c r="G8" s="211">
        <v>0.11899999999999999</v>
      </c>
      <c r="H8" s="210"/>
      <c r="I8" s="183"/>
      <c r="J8" s="183"/>
      <c r="L8" s="58" t="s">
        <v>164</v>
      </c>
      <c r="M8" s="50"/>
      <c r="N8" s="50"/>
      <c r="O8" s="50"/>
      <c r="P8" s="50"/>
      <c r="Q8" s="50"/>
      <c r="R8" s="50"/>
      <c r="S8" s="50"/>
    </row>
    <row r="9" spans="1:19" x14ac:dyDescent="0.25">
      <c r="A9" s="60"/>
      <c r="B9" s="4"/>
      <c r="C9" s="183"/>
      <c r="E9" s="187" t="s">
        <v>5</v>
      </c>
      <c r="F9" s="209"/>
      <c r="G9" s="211">
        <v>0.503</v>
      </c>
      <c r="H9" s="210"/>
      <c r="I9" s="183"/>
      <c r="J9" s="183"/>
    </row>
    <row r="10" spans="1:19" x14ac:dyDescent="0.25">
      <c r="B10" s="239" t="s">
        <v>142</v>
      </c>
      <c r="C10" s="156" t="s">
        <v>98</v>
      </c>
      <c r="E10" s="187" t="s">
        <v>6</v>
      </c>
      <c r="F10" s="209"/>
      <c r="G10" s="211">
        <v>0.224</v>
      </c>
      <c r="H10" s="210"/>
      <c r="I10" s="183"/>
      <c r="J10" s="183"/>
    </row>
    <row r="11" spans="1:19" x14ac:dyDescent="0.25">
      <c r="A11" s="60" t="s">
        <v>0</v>
      </c>
      <c r="B11" s="40">
        <f>+PPC!B4</f>
        <v>12908193916.666666</v>
      </c>
      <c r="C11" s="42">
        <f>SUM(F20:H20)</f>
        <v>2554855.1630722377</v>
      </c>
      <c r="E11" s="187" t="s">
        <v>7</v>
      </c>
      <c r="F11" s="209"/>
      <c r="G11" s="211">
        <v>0.154</v>
      </c>
      <c r="H11" s="210"/>
      <c r="I11" s="183"/>
      <c r="J11" s="183"/>
    </row>
    <row r="12" spans="1:19" x14ac:dyDescent="0.25">
      <c r="A12" s="77" t="s">
        <v>4</v>
      </c>
      <c r="B12" s="40">
        <f>+PPC!B5</f>
        <v>3321740257.2261481</v>
      </c>
      <c r="C12" s="42">
        <f>SUM(F21:H21)</f>
        <v>263536.10801875166</v>
      </c>
      <c r="E12" s="187"/>
      <c r="F12" s="207"/>
      <c r="G12" s="207"/>
      <c r="H12" s="208"/>
      <c r="I12" s="183"/>
      <c r="J12" s="183"/>
    </row>
    <row r="13" spans="1:19" x14ac:dyDescent="0.25">
      <c r="A13" s="77" t="s">
        <v>5</v>
      </c>
      <c r="B13" s="40">
        <f>+PPC!B6</f>
        <v>7694288799.8094788</v>
      </c>
      <c r="C13" s="42">
        <f>SUM(F22:H22)</f>
        <v>1113938.3389364041</v>
      </c>
      <c r="D13" s="4"/>
      <c r="E13" s="187" t="s">
        <v>4</v>
      </c>
      <c r="F13" s="189"/>
      <c r="G13" s="212">
        <f>+$G$5*G8</f>
        <v>62842.947999999997</v>
      </c>
      <c r="H13" s="190"/>
    </row>
    <row r="14" spans="1:19" x14ac:dyDescent="0.25">
      <c r="A14" s="77" t="s">
        <v>6</v>
      </c>
      <c r="B14" s="40">
        <f>+PPC!B7</f>
        <v>3425587360.2288609</v>
      </c>
      <c r="C14" s="42">
        <f>SUM(F23:H23)</f>
        <v>496067.96803529724</v>
      </c>
      <c r="E14" s="187" t="s">
        <v>5</v>
      </c>
      <c r="F14" s="189"/>
      <c r="G14" s="212">
        <f>+$G$5*G9</f>
        <v>265630.27600000001</v>
      </c>
      <c r="H14" s="190"/>
    </row>
    <row r="15" spans="1:19" x14ac:dyDescent="0.25">
      <c r="A15" s="77" t="s">
        <v>7</v>
      </c>
      <c r="B15" s="40">
        <f>+PPC!B8</f>
        <v>1718528567.2285078</v>
      </c>
      <c r="C15" s="42">
        <f>SUM(F24:H24)</f>
        <v>341046.72802426689</v>
      </c>
      <c r="E15" s="187" t="s">
        <v>6</v>
      </c>
      <c r="F15" s="189"/>
      <c r="G15" s="212">
        <f>+$G$5*G10</f>
        <v>118292.60800000001</v>
      </c>
      <c r="H15" s="190"/>
    </row>
    <row r="16" spans="1:19" ht="15.75" thickBot="1" x14ac:dyDescent="0.3">
      <c r="A16" s="77" t="s">
        <v>9</v>
      </c>
      <c r="B16" s="41">
        <f>SUM(B11:B15)</f>
        <v>29068338901.15966</v>
      </c>
      <c r="C16" s="117">
        <f>SUM(C11:C15)</f>
        <v>4769444.3060869575</v>
      </c>
      <c r="E16" s="187" t="s">
        <v>7</v>
      </c>
      <c r="F16" s="189"/>
      <c r="G16" s="212">
        <f>+$G$5*G11</f>
        <v>81326.168000000005</v>
      </c>
      <c r="H16" s="190"/>
    </row>
    <row r="17" spans="2:9" ht="16.5" thickTop="1" thickBot="1" x14ac:dyDescent="0.3">
      <c r="C17" s="21">
        <f>B6-C16</f>
        <v>0</v>
      </c>
      <c r="E17" s="195"/>
      <c r="F17" s="201"/>
      <c r="G17" s="200">
        <f>SUM(G13:G16)</f>
        <v>528092</v>
      </c>
      <c r="H17" s="202"/>
    </row>
    <row r="18" spans="2:9" ht="16.5" thickTop="1" thickBot="1" x14ac:dyDescent="0.3">
      <c r="B18" s="183"/>
      <c r="C18" s="183"/>
      <c r="E18" s="195"/>
      <c r="F18" s="167"/>
      <c r="G18" s="169"/>
      <c r="H18" s="171"/>
      <c r="I18" s="183"/>
    </row>
    <row r="19" spans="2:9" ht="16.5" thickTop="1" thickBot="1" x14ac:dyDescent="0.3">
      <c r="E19" s="198" t="s">
        <v>105</v>
      </c>
      <c r="F19" s="172">
        <f>+$B$6*F6</f>
        <v>2520305.5676142382</v>
      </c>
      <c r="G19" s="172">
        <f>+$B$6*G6</f>
        <v>2184641.003447846</v>
      </c>
      <c r="H19" s="166">
        <f>+$B$6*H6</f>
        <v>64497.735024873255</v>
      </c>
    </row>
    <row r="20" spans="2:9" x14ac:dyDescent="0.25">
      <c r="E20" s="187" t="s">
        <v>0</v>
      </c>
      <c r="F20" s="196">
        <f>F19</f>
        <v>2520305.5676142382</v>
      </c>
      <c r="G20" s="196">
        <v>0</v>
      </c>
      <c r="H20" s="197">
        <f>+((F5/($I$5-$H$5))*$H$19)</f>
        <v>34549.59545799929</v>
      </c>
    </row>
    <row r="21" spans="2:9" x14ac:dyDescent="0.25">
      <c r="E21" s="187" t="s">
        <v>4</v>
      </c>
      <c r="F21" s="191">
        <v>0</v>
      </c>
      <c r="G21" s="191">
        <f>+G13/$G$5*$G$19</f>
        <v>259972.27941029368</v>
      </c>
      <c r="H21" s="197">
        <f>+((G13/($I$5-$H$5))*$H$19)</f>
        <v>3563.8286084580018</v>
      </c>
    </row>
    <row r="22" spans="2:9" x14ac:dyDescent="0.25">
      <c r="E22" s="187" t="s">
        <v>5</v>
      </c>
      <c r="F22" s="191">
        <v>0</v>
      </c>
      <c r="G22" s="191">
        <f>+G14/$G$5*$G$19</f>
        <v>1098874.4247342665</v>
      </c>
      <c r="H22" s="197">
        <f>+((G14/($I$5-$H$5))*$H$19)</f>
        <v>15063.914202137606</v>
      </c>
    </row>
    <row r="23" spans="2:9" x14ac:dyDescent="0.25">
      <c r="E23" s="187" t="s">
        <v>6</v>
      </c>
      <c r="F23" s="191">
        <v>0</v>
      </c>
      <c r="G23" s="191">
        <f>+G15/$G$5*$G$19</f>
        <v>489359.5847723175</v>
      </c>
      <c r="H23" s="197">
        <f>+((G15/($I$5-$H$5))*$H$19)</f>
        <v>6708.3832629797689</v>
      </c>
    </row>
    <row r="24" spans="2:9" ht="15.75" thickBot="1" x14ac:dyDescent="0.3">
      <c r="E24" s="188" t="s">
        <v>7</v>
      </c>
      <c r="F24" s="192">
        <v>0</v>
      </c>
      <c r="G24" s="192">
        <f>+G16/$G$5*$G$19</f>
        <v>336434.71453096828</v>
      </c>
      <c r="H24" s="168">
        <f>+((G16/($I$5-$H$5))*$H$19)</f>
        <v>4612.0134932985911</v>
      </c>
    </row>
  </sheetData>
  <mergeCells count="1">
    <mergeCell ref="E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AG66"/>
  <sheetViews>
    <sheetView zoomScaleNormal="100" workbookViewId="0">
      <pane xSplit="1" ySplit="14" topLeftCell="B15" activePane="bottomRight" state="frozen"/>
      <selection activeCell="K28" sqref="K28"/>
      <selection pane="topRight" activeCell="K28" sqref="K28"/>
      <selection pane="bottomLeft" activeCell="K28" sqref="K28"/>
      <selection pane="bottomRight" activeCell="B15" sqref="B15"/>
    </sheetView>
  </sheetViews>
  <sheetFormatPr defaultColWidth="9.140625" defaultRowHeight="15" x14ac:dyDescent="0.25"/>
  <cols>
    <col min="1" max="1" width="23.42578125" style="183" customWidth="1"/>
    <col min="2" max="2" width="18" style="183" customWidth="1"/>
    <col min="3" max="3" width="16.42578125" style="183" customWidth="1"/>
    <col min="4" max="4" width="15.140625" style="183" customWidth="1"/>
    <col min="5" max="5" width="16.140625" style="183" customWidth="1"/>
    <col min="6" max="6" width="15" style="183" bestFit="1" customWidth="1"/>
    <col min="7" max="7" width="16" style="183" customWidth="1"/>
    <col min="8" max="8" width="15" style="183" bestFit="1" customWidth="1"/>
    <col min="9" max="11" width="16" style="183" bestFit="1" customWidth="1"/>
    <col min="12" max="23" width="16" style="183" customWidth="1"/>
    <col min="24" max="24" width="16.42578125" style="183" customWidth="1"/>
    <col min="25" max="25" width="17.28515625" style="183" customWidth="1"/>
    <col min="26" max="26" width="16.85546875" style="183" customWidth="1"/>
    <col min="27" max="27" width="13.85546875" style="183" bestFit="1" customWidth="1"/>
    <col min="28" max="28" width="10.85546875" style="183" bestFit="1" customWidth="1"/>
    <col min="29" max="29" width="9.140625" style="183"/>
    <col min="30" max="30" width="12.7109375" style="183" bestFit="1" customWidth="1"/>
    <col min="31" max="16384" width="9.140625" style="183"/>
  </cols>
  <sheetData>
    <row r="2" spans="1:33" x14ac:dyDescent="0.25">
      <c r="B2" s="204" t="s">
        <v>130</v>
      </c>
      <c r="I2" s="3" t="s">
        <v>27</v>
      </c>
    </row>
    <row r="3" spans="1:33" x14ac:dyDescent="0.25">
      <c r="B3" s="224" t="s">
        <v>67</v>
      </c>
      <c r="C3" s="224" t="s">
        <v>122</v>
      </c>
      <c r="D3" s="224" t="s">
        <v>94</v>
      </c>
      <c r="E3" s="224" t="s">
        <v>68</v>
      </c>
      <c r="F3" s="224" t="s">
        <v>133</v>
      </c>
      <c r="H3" s="58" t="s">
        <v>126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33" x14ac:dyDescent="0.25">
      <c r="A4" s="183" t="s">
        <v>0</v>
      </c>
      <c r="B4" s="24">
        <f>SUM(B29:Z29)</f>
        <v>17184325.829729144</v>
      </c>
      <c r="C4" s="24">
        <f>SUM(B15:Z15)</f>
        <v>15130885.886023127</v>
      </c>
      <c r="D4" s="24">
        <f>C4-B4</f>
        <v>-2053439.943706017</v>
      </c>
      <c r="E4" s="24">
        <f>SUM(B55:Z55)</f>
        <v>-16332.191033171948</v>
      </c>
      <c r="F4" s="42">
        <f>D4+E4</f>
        <v>-2069772.1347391889</v>
      </c>
      <c r="H4" s="58" t="s">
        <v>127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33" x14ac:dyDescent="0.25">
      <c r="A5" s="183" t="s">
        <v>4</v>
      </c>
      <c r="B5" s="24">
        <f t="shared" ref="B5:B8" si="0">SUM(B30:Z30)</f>
        <v>1642069.9579838454</v>
      </c>
      <c r="C5" s="24">
        <f>SUM(B16:Z16)</f>
        <v>1560767.449722413</v>
      </c>
      <c r="D5" s="24">
        <f>C5-B5</f>
        <v>-81302.508261432406</v>
      </c>
      <c r="E5" s="24">
        <f>SUM(B56:Z56)</f>
        <v>393.35253866412398</v>
      </c>
      <c r="F5" s="42">
        <f>D5+E5</f>
        <v>-80909.155722768279</v>
      </c>
      <c r="H5" s="58" t="s">
        <v>128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33" x14ac:dyDescent="0.25">
      <c r="A6" s="183" t="s">
        <v>5</v>
      </c>
      <c r="B6" s="24">
        <f t="shared" si="0"/>
        <v>6853842.9470618889</v>
      </c>
      <c r="C6" s="24">
        <f>SUM(B17:Z17)</f>
        <v>6597193.50596953</v>
      </c>
      <c r="D6" s="24">
        <f>C6-B6</f>
        <v>-256649.4410923589</v>
      </c>
      <c r="E6" s="24">
        <f>SUM(B57:Z57)</f>
        <v>2569.2390485587739</v>
      </c>
      <c r="F6" s="42">
        <f>D6+E6</f>
        <v>-254080.20204380012</v>
      </c>
      <c r="H6" s="58" t="s">
        <v>129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33" x14ac:dyDescent="0.25">
      <c r="A7" s="183" t="s">
        <v>6</v>
      </c>
      <c r="B7" s="24">
        <f t="shared" si="0"/>
        <v>3111161.8029159056</v>
      </c>
      <c r="C7" s="24">
        <f>SUM(B18:Z18)</f>
        <v>2937915.1994774863</v>
      </c>
      <c r="D7" s="24">
        <f>C7-B7</f>
        <v>-173246.60343841929</v>
      </c>
      <c r="E7" s="24">
        <f>SUM(B58:Z58)</f>
        <v>-884.45800137407286</v>
      </c>
      <c r="F7" s="42">
        <f>D7+E7</f>
        <v>-174131.06143979335</v>
      </c>
      <c r="H7" s="58" t="s">
        <v>132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33" ht="15.75" thickBot="1" x14ac:dyDescent="0.3">
      <c r="A8" s="183" t="s">
        <v>7</v>
      </c>
      <c r="B8" s="24">
        <f t="shared" si="0"/>
        <v>2046021.4470574132</v>
      </c>
      <c r="C8" s="24">
        <f>SUM(B19:Z19)</f>
        <v>2019816.69964077</v>
      </c>
      <c r="D8" s="24">
        <f>C8-B8</f>
        <v>-26204.747416643193</v>
      </c>
      <c r="E8" s="24">
        <f>SUM(B59:Z59)</f>
        <v>2531.9734748643768</v>
      </c>
      <c r="F8" s="42">
        <f>D8+E8</f>
        <v>-23672.773941778818</v>
      </c>
      <c r="H8" s="58" t="s">
        <v>85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33" ht="16.5" thickTop="1" thickBot="1" x14ac:dyDescent="0.3">
      <c r="B9" s="91">
        <f t="shared" ref="B9:F9" si="1">SUM(B4:B8)</f>
        <v>30837421.984748196</v>
      </c>
      <c r="C9" s="91">
        <f t="shared" si="1"/>
        <v>28246578.740833323</v>
      </c>
      <c r="D9" s="91">
        <f>SUM(D4:D8)</f>
        <v>-2590843.2439148705</v>
      </c>
      <c r="E9" s="91">
        <f>SUM(E4:E8)</f>
        <v>-11722.083972458746</v>
      </c>
      <c r="F9" s="91">
        <f t="shared" si="1"/>
        <v>-2602565.3278873302</v>
      </c>
      <c r="H9" s="58" t="s">
        <v>109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33" ht="16.5" thickTop="1" thickBot="1" x14ac:dyDescent="0.3">
      <c r="D10" s="39" t="s">
        <v>26</v>
      </c>
      <c r="E10" s="21">
        <f>E9-SUM(B38:Z38)</f>
        <v>8.2143602048745379E-4</v>
      </c>
      <c r="H10" s="58" t="s">
        <v>131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33" ht="15.75" thickTop="1" x14ac:dyDescent="0.25">
      <c r="E11" s="4"/>
      <c r="G11" s="3"/>
    </row>
    <row r="12" spans="1:33" ht="15.75" thickBot="1" x14ac:dyDescent="0.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9"/>
      <c r="Y12" s="49"/>
    </row>
    <row r="13" spans="1:33" ht="15.75" thickBot="1" x14ac:dyDescent="0.3">
      <c r="B13" s="185"/>
      <c r="C13" s="124"/>
      <c r="D13" s="142" t="s">
        <v>134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283" t="s">
        <v>70</v>
      </c>
      <c r="Y13" s="284"/>
      <c r="Z13" s="285"/>
    </row>
    <row r="14" spans="1:33" x14ac:dyDescent="0.25">
      <c r="A14" s="183" t="s">
        <v>121</v>
      </c>
      <c r="B14" s="95">
        <v>42736</v>
      </c>
      <c r="C14" s="96">
        <f t="shared" ref="C14:K14" si="2">EDATE(B14,1)</f>
        <v>42767</v>
      </c>
      <c r="D14" s="96">
        <f t="shared" si="2"/>
        <v>42795</v>
      </c>
      <c r="E14" s="96">
        <f t="shared" si="2"/>
        <v>42826</v>
      </c>
      <c r="F14" s="96">
        <f t="shared" si="2"/>
        <v>42856</v>
      </c>
      <c r="G14" s="96">
        <f t="shared" si="2"/>
        <v>42887</v>
      </c>
      <c r="H14" s="96">
        <f t="shared" si="2"/>
        <v>42917</v>
      </c>
      <c r="I14" s="96">
        <f t="shared" si="2"/>
        <v>42948</v>
      </c>
      <c r="J14" s="96">
        <f t="shared" si="2"/>
        <v>42979</v>
      </c>
      <c r="K14" s="96">
        <f t="shared" si="2"/>
        <v>43009</v>
      </c>
      <c r="L14" s="96">
        <f t="shared" ref="L14" si="3">EDATE(K14,1)</f>
        <v>43040</v>
      </c>
      <c r="M14" s="96">
        <f t="shared" ref="M14" si="4">EDATE(L14,1)</f>
        <v>43070</v>
      </c>
      <c r="N14" s="96">
        <f t="shared" ref="N14" si="5">EDATE(M14,1)</f>
        <v>43101</v>
      </c>
      <c r="O14" s="96">
        <f t="shared" ref="O14" si="6">EDATE(N14,1)</f>
        <v>43132</v>
      </c>
      <c r="P14" s="96">
        <f t="shared" ref="P14" si="7">EDATE(O14,1)</f>
        <v>43160</v>
      </c>
      <c r="Q14" s="96">
        <f t="shared" ref="Q14" si="8">EDATE(P14,1)</f>
        <v>43191</v>
      </c>
      <c r="R14" s="96">
        <f t="shared" ref="R14" si="9">EDATE(Q14,1)</f>
        <v>43221</v>
      </c>
      <c r="S14" s="96">
        <f t="shared" ref="S14" si="10">EDATE(R14,1)</f>
        <v>43252</v>
      </c>
      <c r="T14" s="96">
        <f t="shared" ref="T14" si="11">EDATE(S14,1)</f>
        <v>43282</v>
      </c>
      <c r="U14" s="96">
        <f t="shared" ref="U14" si="12">EDATE(T14,1)</f>
        <v>43313</v>
      </c>
      <c r="V14" s="96">
        <f t="shared" ref="V14:W14" si="13">EDATE(U14,1)</f>
        <v>43344</v>
      </c>
      <c r="W14" s="96">
        <f t="shared" si="13"/>
        <v>43374</v>
      </c>
      <c r="X14" s="95">
        <f>EDATE(W14,1)</f>
        <v>43405</v>
      </c>
      <c r="Y14" s="96">
        <f>EDATE(X14,1)</f>
        <v>43435</v>
      </c>
      <c r="Z14" s="97">
        <f>EDATE(Y14,1)</f>
        <v>43466</v>
      </c>
      <c r="AA14" s="1"/>
      <c r="AB14" s="1"/>
      <c r="AC14" s="1"/>
      <c r="AD14" s="1"/>
      <c r="AE14" s="1"/>
      <c r="AF14" s="1"/>
      <c r="AG14" s="1"/>
    </row>
    <row r="15" spans="1:33" x14ac:dyDescent="0.25">
      <c r="A15" s="50" t="s">
        <v>0</v>
      </c>
      <c r="B15" s="98">
        <v>0</v>
      </c>
      <c r="C15" s="99">
        <v>657864.60374013626</v>
      </c>
      <c r="D15" s="99">
        <v>657864.60374013626</v>
      </c>
      <c r="E15" s="99">
        <v>657864.60374013626</v>
      </c>
      <c r="F15" s="99">
        <v>657864.60374013626</v>
      </c>
      <c r="G15" s="99">
        <v>657864.60374013626</v>
      </c>
      <c r="H15" s="99">
        <v>657864.60374013626</v>
      </c>
      <c r="I15" s="99">
        <v>657864.60374013626</v>
      </c>
      <c r="J15" s="99">
        <v>657864.60374013626</v>
      </c>
      <c r="K15" s="108">
        <v>657864.60374013626</v>
      </c>
      <c r="L15" s="108">
        <v>657864.60374013626</v>
      </c>
      <c r="M15" s="108">
        <v>657864.60374013626</v>
      </c>
      <c r="N15" s="108">
        <v>657864.60374013626</v>
      </c>
      <c r="O15" s="108">
        <v>657864.60374013602</v>
      </c>
      <c r="P15" s="108">
        <v>657864.60374013602</v>
      </c>
      <c r="Q15" s="108">
        <v>657864.60374013602</v>
      </c>
      <c r="R15" s="108">
        <v>657864.60374013602</v>
      </c>
      <c r="S15" s="108">
        <v>657864.60374013602</v>
      </c>
      <c r="T15" s="108">
        <v>657864.60374013602</v>
      </c>
      <c r="U15" s="108">
        <v>657864.60374013602</v>
      </c>
      <c r="V15" s="108">
        <v>657864.60374013602</v>
      </c>
      <c r="W15" s="108">
        <v>657864.60374013602</v>
      </c>
      <c r="X15" s="143">
        <v>657864.60374013626</v>
      </c>
      <c r="Y15" s="144">
        <v>657864.60374013626</v>
      </c>
      <c r="Z15" s="145">
        <v>0</v>
      </c>
      <c r="AA15" s="50"/>
    </row>
    <row r="16" spans="1:33" x14ac:dyDescent="0.25">
      <c r="A16" s="50" t="s">
        <v>4</v>
      </c>
      <c r="B16" s="98">
        <v>0</v>
      </c>
      <c r="C16" s="99">
        <v>67859.454335757124</v>
      </c>
      <c r="D16" s="99">
        <v>67859.454335757124</v>
      </c>
      <c r="E16" s="99">
        <v>67859.454335757124</v>
      </c>
      <c r="F16" s="99">
        <v>67859.454335757124</v>
      </c>
      <c r="G16" s="99">
        <v>67859.454335757124</v>
      </c>
      <c r="H16" s="99">
        <v>67859.454335757124</v>
      </c>
      <c r="I16" s="99">
        <v>67859.454335757124</v>
      </c>
      <c r="J16" s="99">
        <v>67859.454335757124</v>
      </c>
      <c r="K16" s="108">
        <v>67859.454335757124</v>
      </c>
      <c r="L16" s="108">
        <v>67859.454335757124</v>
      </c>
      <c r="M16" s="108">
        <v>67859.454335757124</v>
      </c>
      <c r="N16" s="108">
        <v>67859.454335757124</v>
      </c>
      <c r="O16" s="108">
        <v>67859.454335757095</v>
      </c>
      <c r="P16" s="108">
        <v>67859.454335757095</v>
      </c>
      <c r="Q16" s="108">
        <v>67859.454335757095</v>
      </c>
      <c r="R16" s="108">
        <v>67859.454335757095</v>
      </c>
      <c r="S16" s="108">
        <v>67859.454335757095</v>
      </c>
      <c r="T16" s="108">
        <v>67859.454335757095</v>
      </c>
      <c r="U16" s="108">
        <v>67859.454335757095</v>
      </c>
      <c r="V16" s="108">
        <v>67859.454335757095</v>
      </c>
      <c r="W16" s="108">
        <v>67859.454335757095</v>
      </c>
      <c r="X16" s="143">
        <v>67859.454335757124</v>
      </c>
      <c r="Y16" s="144">
        <v>67859.454335757124</v>
      </c>
      <c r="Z16" s="145">
        <v>0</v>
      </c>
      <c r="AA16" s="50"/>
    </row>
    <row r="17" spans="1:28" x14ac:dyDescent="0.25">
      <c r="A17" s="50" t="s">
        <v>5</v>
      </c>
      <c r="B17" s="98">
        <v>0</v>
      </c>
      <c r="C17" s="99">
        <v>286834.50025954482</v>
      </c>
      <c r="D17" s="99">
        <v>286834.50025954482</v>
      </c>
      <c r="E17" s="99">
        <v>286834.50025954482</v>
      </c>
      <c r="F17" s="99">
        <v>286834.50025954482</v>
      </c>
      <c r="G17" s="99">
        <v>286834.50025954482</v>
      </c>
      <c r="H17" s="99">
        <v>286834.50025954482</v>
      </c>
      <c r="I17" s="99">
        <v>286834.50025954482</v>
      </c>
      <c r="J17" s="99">
        <v>286834.50025954482</v>
      </c>
      <c r="K17" s="108">
        <v>286834.50025954482</v>
      </c>
      <c r="L17" s="108">
        <v>286834.50025954482</v>
      </c>
      <c r="M17" s="108">
        <v>286834.50025954482</v>
      </c>
      <c r="N17" s="108">
        <v>286834.50025954482</v>
      </c>
      <c r="O17" s="108">
        <v>286834.50025954499</v>
      </c>
      <c r="P17" s="108">
        <v>286834.50025954499</v>
      </c>
      <c r="Q17" s="108">
        <v>286834.50025954499</v>
      </c>
      <c r="R17" s="108">
        <v>286834.50025954499</v>
      </c>
      <c r="S17" s="108">
        <v>286834.50025954499</v>
      </c>
      <c r="T17" s="108">
        <v>286834.50025954499</v>
      </c>
      <c r="U17" s="108">
        <v>286834.50025954499</v>
      </c>
      <c r="V17" s="108">
        <v>286834.50025954499</v>
      </c>
      <c r="W17" s="108">
        <v>286834.50025954499</v>
      </c>
      <c r="X17" s="143">
        <v>286834.50025954482</v>
      </c>
      <c r="Y17" s="144">
        <v>286834.50025954482</v>
      </c>
      <c r="Z17" s="145">
        <v>0</v>
      </c>
      <c r="AA17" s="50"/>
    </row>
    <row r="18" spans="1:28" x14ac:dyDescent="0.25">
      <c r="A18" s="50" t="s">
        <v>6</v>
      </c>
      <c r="B18" s="98">
        <v>0</v>
      </c>
      <c r="C18" s="99">
        <v>127735.44345554283</v>
      </c>
      <c r="D18" s="99">
        <v>127735.44345554283</v>
      </c>
      <c r="E18" s="99">
        <v>127735.44345554283</v>
      </c>
      <c r="F18" s="99">
        <v>127735.44345554283</v>
      </c>
      <c r="G18" s="99">
        <v>127735.44345554283</v>
      </c>
      <c r="H18" s="99">
        <v>127735.44345554283</v>
      </c>
      <c r="I18" s="99">
        <v>127735.44345554283</v>
      </c>
      <c r="J18" s="99">
        <v>127735.44345554283</v>
      </c>
      <c r="K18" s="108">
        <v>127735.44345554283</v>
      </c>
      <c r="L18" s="108">
        <v>127735.44345554283</v>
      </c>
      <c r="M18" s="108">
        <v>127735.44345554283</v>
      </c>
      <c r="N18" s="108">
        <v>127735.44345554283</v>
      </c>
      <c r="O18" s="108">
        <v>127735.44345554301</v>
      </c>
      <c r="P18" s="108">
        <v>127735.44345554301</v>
      </c>
      <c r="Q18" s="108">
        <v>127735.44345554301</v>
      </c>
      <c r="R18" s="108">
        <v>127735.44345554301</v>
      </c>
      <c r="S18" s="108">
        <v>127735.44345554301</v>
      </c>
      <c r="T18" s="108">
        <v>127735.44345554301</v>
      </c>
      <c r="U18" s="108">
        <v>127735.44345554301</v>
      </c>
      <c r="V18" s="108">
        <v>127735.44345554301</v>
      </c>
      <c r="W18" s="108">
        <v>127735.44345554301</v>
      </c>
      <c r="X18" s="143">
        <v>127735.44345554283</v>
      </c>
      <c r="Y18" s="144">
        <v>127735.44345554283</v>
      </c>
      <c r="Z18" s="145">
        <v>0</v>
      </c>
      <c r="AA18" s="50"/>
    </row>
    <row r="19" spans="1:28" x14ac:dyDescent="0.25">
      <c r="A19" s="50" t="s">
        <v>7</v>
      </c>
      <c r="B19" s="98">
        <v>0</v>
      </c>
      <c r="C19" s="99">
        <v>87818.117375685673</v>
      </c>
      <c r="D19" s="99">
        <v>87818.117375685673</v>
      </c>
      <c r="E19" s="99">
        <v>87818.117375685673</v>
      </c>
      <c r="F19" s="99">
        <v>87818.117375685673</v>
      </c>
      <c r="G19" s="99">
        <v>87818.117375685673</v>
      </c>
      <c r="H19" s="99">
        <v>87818.117375685673</v>
      </c>
      <c r="I19" s="99">
        <v>87818.117375685673</v>
      </c>
      <c r="J19" s="99">
        <v>87818.117375685673</v>
      </c>
      <c r="K19" s="108">
        <v>87818.117375685673</v>
      </c>
      <c r="L19" s="108">
        <v>87818.117375685673</v>
      </c>
      <c r="M19" s="108">
        <v>87818.117375685673</v>
      </c>
      <c r="N19" s="108">
        <v>87818.117375685673</v>
      </c>
      <c r="O19" s="108">
        <v>87818.117375685702</v>
      </c>
      <c r="P19" s="108">
        <v>87818.117375685702</v>
      </c>
      <c r="Q19" s="108">
        <v>87818.117375685702</v>
      </c>
      <c r="R19" s="108">
        <v>87818.117375685702</v>
      </c>
      <c r="S19" s="108">
        <v>87818.117375685702</v>
      </c>
      <c r="T19" s="108">
        <v>87818.117375685702</v>
      </c>
      <c r="U19" s="108">
        <v>87818.117375685702</v>
      </c>
      <c r="V19" s="108">
        <v>87818.117375685702</v>
      </c>
      <c r="W19" s="108">
        <v>87818.117375685702</v>
      </c>
      <c r="X19" s="143">
        <v>87818.117375685673</v>
      </c>
      <c r="Y19" s="144">
        <v>87818.117375685673</v>
      </c>
      <c r="Z19" s="145">
        <v>0</v>
      </c>
      <c r="AA19" s="50"/>
    </row>
    <row r="20" spans="1:28" x14ac:dyDescent="0.25">
      <c r="B20" s="104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2"/>
      <c r="Y20" s="103"/>
      <c r="Z20" s="106"/>
    </row>
    <row r="21" spans="1:28" x14ac:dyDescent="0.25">
      <c r="A21" s="183" t="s">
        <v>123</v>
      </c>
      <c r="B21" s="104"/>
      <c r="C21" s="103"/>
      <c r="D21" s="107" t="s">
        <v>71</v>
      </c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2"/>
      <c r="Y21" s="103"/>
      <c r="Z21" s="106"/>
      <c r="AA21" s="120" t="s">
        <v>125</v>
      </c>
      <c r="AB21" s="50"/>
    </row>
    <row r="22" spans="1:28" x14ac:dyDescent="0.25">
      <c r="A22" s="50" t="s">
        <v>0</v>
      </c>
      <c r="B22" s="98">
        <v>79764.7</v>
      </c>
      <c r="C22" s="99">
        <v>701548.7</v>
      </c>
      <c r="D22" s="99">
        <v>523520.3</v>
      </c>
      <c r="E22" s="99">
        <v>479086.45</v>
      </c>
      <c r="F22" s="99">
        <v>456597.99</v>
      </c>
      <c r="G22" s="99">
        <v>613779.62</v>
      </c>
      <c r="H22" s="99">
        <v>816678.49</v>
      </c>
      <c r="I22" s="99">
        <v>826747.91</v>
      </c>
      <c r="J22" s="99">
        <v>653714.42000000004</v>
      </c>
      <c r="K22" s="108">
        <v>573928.04</v>
      </c>
      <c r="L22" s="108">
        <v>501139.81</v>
      </c>
      <c r="M22" s="108">
        <v>646254.06000000006</v>
      </c>
      <c r="N22" s="108">
        <v>1012054.75</v>
      </c>
      <c r="O22" s="108">
        <v>852056.75</v>
      </c>
      <c r="P22" s="108">
        <v>686898.76</v>
      </c>
      <c r="Q22" s="108">
        <v>663187.07999999996</v>
      </c>
      <c r="R22" s="108">
        <v>540160.18999999994</v>
      </c>
      <c r="S22" s="108">
        <v>802300.61</v>
      </c>
      <c r="T22" s="108">
        <v>940753.69</v>
      </c>
      <c r="U22" s="108">
        <v>843086.91</v>
      </c>
      <c r="V22" s="108">
        <v>810883.91</v>
      </c>
      <c r="W22" s="108">
        <v>627489.93999999994</v>
      </c>
      <c r="X22" s="114">
        <f>PCR!AJ28*$AA22+X36</f>
        <v>561775.50461946928</v>
      </c>
      <c r="Y22" s="118">
        <f>PCR!AK28*$AA22+Y36</f>
        <v>767726.9137356946</v>
      </c>
      <c r="Z22" s="119">
        <f>PCR!AL28*$AA22+Z36</f>
        <v>980483.63275487674</v>
      </c>
      <c r="AA22" s="109">
        <v>6.6600000000000003E-4</v>
      </c>
      <c r="AB22" s="50"/>
    </row>
    <row r="23" spans="1:28" x14ac:dyDescent="0.25">
      <c r="A23" s="50" t="s">
        <v>4</v>
      </c>
      <c r="B23" s="98">
        <v>6214.44</v>
      </c>
      <c r="C23" s="99">
        <v>66075.08</v>
      </c>
      <c r="D23" s="99">
        <v>58826.78</v>
      </c>
      <c r="E23" s="99">
        <v>55687.57</v>
      </c>
      <c r="F23" s="99">
        <v>54996.82</v>
      </c>
      <c r="G23" s="99">
        <v>65412.66</v>
      </c>
      <c r="H23" s="99">
        <v>75834.960000000006</v>
      </c>
      <c r="I23" s="99">
        <v>76572.27</v>
      </c>
      <c r="J23" s="99">
        <v>68505.55</v>
      </c>
      <c r="K23" s="108">
        <v>64830.76</v>
      </c>
      <c r="L23" s="108">
        <v>57985.36</v>
      </c>
      <c r="M23" s="108">
        <v>64005.11</v>
      </c>
      <c r="N23" s="108">
        <v>84879.19</v>
      </c>
      <c r="O23" s="108">
        <v>77122.679999999993</v>
      </c>
      <c r="P23" s="108">
        <v>67546.649999999994</v>
      </c>
      <c r="Q23" s="108">
        <v>66578.41</v>
      </c>
      <c r="R23" s="108">
        <v>60242.96</v>
      </c>
      <c r="S23" s="108">
        <v>75845.2</v>
      </c>
      <c r="T23" s="108">
        <v>83683.67</v>
      </c>
      <c r="U23" s="108">
        <v>78198.48</v>
      </c>
      <c r="V23" s="108">
        <v>76838.19</v>
      </c>
      <c r="W23" s="108">
        <v>67687.360000000001</v>
      </c>
      <c r="X23" s="114">
        <f>PCR!AJ29*$AA23</f>
        <v>60640.515242825262</v>
      </c>
      <c r="Y23" s="118">
        <f>PCR!AK29*$AA23</f>
        <v>70750.010673994708</v>
      </c>
      <c r="Z23" s="119">
        <f>PCR!AL29*$AA23</f>
        <v>83976.862035834929</v>
      </c>
      <c r="AA23" s="109">
        <v>2.5300000000000002E-4</v>
      </c>
      <c r="AB23" s="50"/>
    </row>
    <row r="24" spans="1:28" x14ac:dyDescent="0.25">
      <c r="A24" s="50" t="s">
        <v>5</v>
      </c>
      <c r="B24" s="98">
        <v>18961.650000000001</v>
      </c>
      <c r="C24" s="99">
        <v>263599.78999999998</v>
      </c>
      <c r="D24" s="99">
        <v>251036.43</v>
      </c>
      <c r="E24" s="99">
        <v>247059.47</v>
      </c>
      <c r="F24" s="99">
        <v>253494.93</v>
      </c>
      <c r="G24" s="99">
        <v>287679.5</v>
      </c>
      <c r="H24" s="99">
        <v>313335.03000000003</v>
      </c>
      <c r="I24" s="99">
        <v>319148.59000000003</v>
      </c>
      <c r="J24" s="99">
        <v>300860.21999999997</v>
      </c>
      <c r="K24" s="108">
        <v>288890.48</v>
      </c>
      <c r="L24" s="108">
        <v>259313.6</v>
      </c>
      <c r="M24" s="108">
        <v>270067.72000000102</v>
      </c>
      <c r="N24" s="108">
        <v>314015.46000000002</v>
      </c>
      <c r="O24" s="108">
        <v>289889.45</v>
      </c>
      <c r="P24" s="108">
        <v>269198.32</v>
      </c>
      <c r="Q24" s="108">
        <v>271636.62</v>
      </c>
      <c r="R24" s="108">
        <v>269294.95</v>
      </c>
      <c r="S24" s="108">
        <v>321088.55</v>
      </c>
      <c r="T24" s="108">
        <v>340955.29</v>
      </c>
      <c r="U24" s="108">
        <v>322673.56</v>
      </c>
      <c r="V24" s="108">
        <v>328264.57</v>
      </c>
      <c r="W24" s="108">
        <v>298350.84000000003</v>
      </c>
      <c r="X24" s="114">
        <f>PCR!AJ30*$AA24</f>
        <v>265438.05953369755</v>
      </c>
      <c r="Y24" s="118">
        <f>PCR!AK30*$AA24</f>
        <v>285716.66214753222</v>
      </c>
      <c r="Z24" s="119">
        <f>PCR!AL30*$AA24</f>
        <v>315330.59375993413</v>
      </c>
      <c r="AA24" s="109">
        <v>4.55E-4</v>
      </c>
      <c r="AB24" s="50"/>
    </row>
    <row r="25" spans="1:28" x14ac:dyDescent="0.25">
      <c r="A25" s="50" t="s">
        <v>6</v>
      </c>
      <c r="B25" s="98">
        <v>6315.65</v>
      </c>
      <c r="C25" s="99">
        <v>117157.27</v>
      </c>
      <c r="D25" s="99">
        <v>112623.26</v>
      </c>
      <c r="E25" s="99">
        <v>121190.81</v>
      </c>
      <c r="F25" s="99">
        <v>122767.19</v>
      </c>
      <c r="G25" s="99">
        <v>141087.34</v>
      </c>
      <c r="H25" s="99">
        <v>138203.29999999999</v>
      </c>
      <c r="I25" s="99">
        <v>145798.85999999999</v>
      </c>
      <c r="J25" s="99">
        <v>140284.91</v>
      </c>
      <c r="K25" s="108">
        <v>137309.56</v>
      </c>
      <c r="L25" s="108">
        <v>123619.34</v>
      </c>
      <c r="M25" s="108">
        <v>129546.52</v>
      </c>
      <c r="N25" s="108">
        <v>142491.32999999999</v>
      </c>
      <c r="O25" s="108">
        <v>124482.94</v>
      </c>
      <c r="P25" s="108">
        <v>123384.68</v>
      </c>
      <c r="Q25" s="108">
        <v>113885.62</v>
      </c>
      <c r="R25" s="108">
        <v>131177.68</v>
      </c>
      <c r="S25" s="108">
        <v>142256.78</v>
      </c>
      <c r="T25" s="108">
        <v>147316.88</v>
      </c>
      <c r="U25" s="108">
        <v>144806.38</v>
      </c>
      <c r="V25" s="108">
        <v>140926.48000000001</v>
      </c>
      <c r="W25" s="108">
        <v>132151.20000000001</v>
      </c>
      <c r="X25" s="114">
        <f>PCR!AJ31*$AA25</f>
        <v>120942.29547388185</v>
      </c>
      <c r="Y25" s="118">
        <f>PCR!AK31*$AA25</f>
        <v>125602.65075207979</v>
      </c>
      <c r="Z25" s="119">
        <f>PCR!AL31*$AA25</f>
        <v>136377.00994876956</v>
      </c>
      <c r="AA25" s="109">
        <v>4.5300000000000001E-4</v>
      </c>
      <c r="AB25" s="50"/>
    </row>
    <row r="26" spans="1:28" x14ac:dyDescent="0.25">
      <c r="A26" s="50" t="s">
        <v>7</v>
      </c>
      <c r="B26" s="98"/>
      <c r="C26" s="99">
        <v>44182.76</v>
      </c>
      <c r="D26" s="99">
        <v>70918.23</v>
      </c>
      <c r="E26" s="99">
        <v>78593.759999999995</v>
      </c>
      <c r="F26" s="99">
        <v>79936.929999999993</v>
      </c>
      <c r="G26" s="99">
        <v>95446.99</v>
      </c>
      <c r="H26" s="99">
        <v>90277.27</v>
      </c>
      <c r="I26" s="99">
        <v>100053.77</v>
      </c>
      <c r="J26" s="99">
        <v>95339.18</v>
      </c>
      <c r="K26" s="108">
        <v>90899.74</v>
      </c>
      <c r="L26" s="108">
        <v>86607.24</v>
      </c>
      <c r="M26" s="108">
        <v>79416.100000000006</v>
      </c>
      <c r="N26" s="108">
        <v>83769.56</v>
      </c>
      <c r="O26" s="108">
        <v>80223.22</v>
      </c>
      <c r="P26" s="108">
        <v>83234.89</v>
      </c>
      <c r="Q26" s="108">
        <v>79179.509999999995</v>
      </c>
      <c r="R26" s="108">
        <v>90539.02</v>
      </c>
      <c r="S26" s="108">
        <v>100193.46</v>
      </c>
      <c r="T26" s="108">
        <v>85805.92</v>
      </c>
      <c r="U26" s="108">
        <v>103184.87</v>
      </c>
      <c r="V26" s="108">
        <v>96909.72</v>
      </c>
      <c r="W26" s="108">
        <v>95685.6</v>
      </c>
      <c r="X26" s="114">
        <f>PCR!AJ32*$AA26</f>
        <v>90621.256408112895</v>
      </c>
      <c r="Y26" s="118">
        <f>PCR!AK32*$AA26</f>
        <v>87456.617706634133</v>
      </c>
      <c r="Z26" s="119">
        <f>PCR!AL32*$AA26</f>
        <v>91383.429954856794</v>
      </c>
      <c r="AA26" s="109">
        <v>6.4400000000000004E-4</v>
      </c>
      <c r="AB26" s="50"/>
    </row>
    <row r="27" spans="1:28" x14ac:dyDescent="0.25">
      <c r="A27" s="50"/>
      <c r="B27" s="104"/>
      <c r="C27" s="112"/>
      <c r="D27" s="103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04"/>
      <c r="Y27" s="103"/>
      <c r="Z27" s="106"/>
    </row>
    <row r="28" spans="1:28" x14ac:dyDescent="0.25">
      <c r="A28" s="50" t="s">
        <v>117</v>
      </c>
      <c r="B28" s="240"/>
      <c r="C28" s="232"/>
      <c r="D28" s="107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2"/>
      <c r="Y28" s="103"/>
      <c r="Z28" s="106"/>
    </row>
    <row r="29" spans="1:28" x14ac:dyDescent="0.25">
      <c r="A29" s="183" t="s">
        <v>0</v>
      </c>
      <c r="B29" s="114">
        <f>+(B22-B36)+(B36*B22/SUM(B22:B26))</f>
        <v>79764.7</v>
      </c>
      <c r="C29" s="118">
        <f t="shared" ref="C29:G29" si="14">+(C22-C36)+(C36*C22/SUM(C22:C26))</f>
        <v>701548.7</v>
      </c>
      <c r="D29" s="118">
        <f t="shared" si="14"/>
        <v>523520.3</v>
      </c>
      <c r="E29" s="118">
        <f t="shared" si="14"/>
        <v>487431.71542392252</v>
      </c>
      <c r="F29" s="118">
        <f t="shared" si="14"/>
        <v>463877.2952890938</v>
      </c>
      <c r="G29" s="118">
        <f t="shared" si="14"/>
        <v>621956.97862574947</v>
      </c>
      <c r="H29" s="118">
        <f t="shared" ref="H29:Z29" si="15">+(H22-H36)+(H36*H22/SUM(H22:H26))</f>
        <v>826028.70673931681</v>
      </c>
      <c r="I29" s="118">
        <f t="shared" si="15"/>
        <v>836498.48769383179</v>
      </c>
      <c r="J29" s="118">
        <f t="shared" si="15"/>
        <v>662568.38549295813</v>
      </c>
      <c r="K29" s="115">
        <f t="shared" si="15"/>
        <v>582266.60447345697</v>
      </c>
      <c r="L29" s="115">
        <f t="shared" ref="L29:V29" si="16">+(L22-L36)+(L36*L22/SUM(L22:L26))</f>
        <v>509967.68086724816</v>
      </c>
      <c r="M29" s="115">
        <f t="shared" si="16"/>
        <v>656875.18373738672</v>
      </c>
      <c r="N29" s="115">
        <f t="shared" si="16"/>
        <v>1026464.1356985964</v>
      </c>
      <c r="O29" s="115">
        <f t="shared" si="16"/>
        <v>865379.16812206933</v>
      </c>
      <c r="P29" s="115">
        <f t="shared" si="16"/>
        <v>698764.14535059885</v>
      </c>
      <c r="Q29" s="115">
        <f t="shared" si="16"/>
        <v>674908.36247204023</v>
      </c>
      <c r="R29" s="115">
        <f t="shared" si="16"/>
        <v>549262.43481397268</v>
      </c>
      <c r="S29" s="115">
        <f t="shared" si="16"/>
        <v>812275.00035043946</v>
      </c>
      <c r="T29" s="115">
        <f t="shared" si="16"/>
        <v>951561.24289078149</v>
      </c>
      <c r="U29" s="115">
        <f t="shared" si="16"/>
        <v>853157.84360081539</v>
      </c>
      <c r="V29" s="115">
        <f t="shared" si="16"/>
        <v>820629.28375338227</v>
      </c>
      <c r="W29" s="115">
        <f t="shared" ref="W29" si="17">+(W22-W36)+(W36*W22/SUM(W22:W26))</f>
        <v>636848.09158571681</v>
      </c>
      <c r="X29" s="114">
        <f>+(X22-X36)+(X36*X22/SUM(X22:X26))</f>
        <v>570927.37040291924</v>
      </c>
      <c r="Y29" s="118">
        <f t="shared" si="15"/>
        <v>778619.29898534575</v>
      </c>
      <c r="Z29" s="119">
        <f t="shared" si="15"/>
        <v>993224.71335949947</v>
      </c>
    </row>
    <row r="30" spans="1:28" x14ac:dyDescent="0.25">
      <c r="A30" s="183" t="s">
        <v>4</v>
      </c>
      <c r="B30" s="114">
        <f t="shared" ref="B30" si="18">+B23+(B36*B23/SUM(B22:B26))</f>
        <v>6214.44</v>
      </c>
      <c r="C30" s="118">
        <f t="shared" ref="C30" si="19">+C23+(C36*C23/SUM(C22:C26))</f>
        <v>66075.08</v>
      </c>
      <c r="D30" s="118">
        <f t="shared" ref="D30" si="20">+D23+(D36*D23/SUM(D22:D26))</f>
        <v>58826.78</v>
      </c>
      <c r="E30" s="118">
        <f t="shared" ref="E30" si="21">+E23+(E36*E23/SUM(E22:E26))</f>
        <v>54762.797223092959</v>
      </c>
      <c r="F30" s="118">
        <f t="shared" ref="F30:Z30" si="22">+F23+(F36*F23/SUM(F22:F26))</f>
        <v>54213.678612904405</v>
      </c>
      <c r="G30" s="118">
        <f t="shared" si="22"/>
        <v>64505.470807254918</v>
      </c>
      <c r="H30" s="118">
        <f t="shared" si="22"/>
        <v>74686.943049416455</v>
      </c>
      <c r="I30" s="118">
        <f t="shared" si="22"/>
        <v>75408.531348909441</v>
      </c>
      <c r="J30" s="118">
        <f t="shared" si="22"/>
        <v>67502.978195282296</v>
      </c>
      <c r="K30" s="115">
        <f t="shared" si="22"/>
        <v>63901.790930730647</v>
      </c>
      <c r="L30" s="115">
        <f t="shared" ref="L30:V30" si="23">+L23+(L36*L23/SUM(L22:L26))</f>
        <v>57015.00457366198</v>
      </c>
      <c r="M30" s="115">
        <f t="shared" si="23"/>
        <v>62753.24662140281</v>
      </c>
      <c r="N30" s="115">
        <f t="shared" si="23"/>
        <v>82922.785700208551</v>
      </c>
      <c r="O30" s="115">
        <f t="shared" si="23"/>
        <v>75325.535134030157</v>
      </c>
      <c r="P30" s="115">
        <f t="shared" si="23"/>
        <v>66071.642022129323</v>
      </c>
      <c r="Q30" s="115">
        <f t="shared" si="23"/>
        <v>65109.534613896154</v>
      </c>
      <c r="R30" s="115">
        <f t="shared" si="23"/>
        <v>59248.236037077746</v>
      </c>
      <c r="S30" s="115">
        <f t="shared" si="23"/>
        <v>74662.014867373902</v>
      </c>
      <c r="T30" s="115">
        <f t="shared" si="23"/>
        <v>82308.680232246232</v>
      </c>
      <c r="U30" s="115">
        <f t="shared" si="23"/>
        <v>76984.770252659102</v>
      </c>
      <c r="V30" s="115">
        <f t="shared" si="23"/>
        <v>75673.511971959218</v>
      </c>
      <c r="W30" s="115">
        <f t="shared" ref="W30" si="24">+W23+(W36*W23/SUM(W22:W26))</f>
        <v>66620.757473682184</v>
      </c>
      <c r="X30" s="114">
        <f t="shared" si="22"/>
        <v>59608.278688017352</v>
      </c>
      <c r="Y30" s="118">
        <f t="shared" si="22"/>
        <v>69396.891673048463</v>
      </c>
      <c r="Z30" s="119">
        <f t="shared" si="22"/>
        <v>82270.577954860768</v>
      </c>
    </row>
    <row r="31" spans="1:28" x14ac:dyDescent="0.25">
      <c r="A31" s="183" t="s">
        <v>5</v>
      </c>
      <c r="B31" s="114">
        <f t="shared" ref="B31" si="25">+B24+(B36*B24/SUM(B22:B26))</f>
        <v>18961.650000000001</v>
      </c>
      <c r="C31" s="118">
        <f t="shared" ref="C31" si="26">+C24+(C36*C24/SUM(C22:C26))</f>
        <v>263599.78999999998</v>
      </c>
      <c r="D31" s="118">
        <f t="shared" ref="D31" si="27">+D24+(D36*D24/SUM(D22:D26))</f>
        <v>251036.43</v>
      </c>
      <c r="E31" s="118">
        <f t="shared" ref="E31" si="28">+E24+(E36*E24/SUM(E22:E26))</f>
        <v>242956.68957461815</v>
      </c>
      <c r="F31" s="118">
        <f t="shared" ref="F31:Z31" si="29">+F24+(F36*F24/SUM(F22:F26))</f>
        <v>249885.223636943</v>
      </c>
      <c r="G31" s="118">
        <f t="shared" si="29"/>
        <v>283689.75652565865</v>
      </c>
      <c r="H31" s="118">
        <f t="shared" si="29"/>
        <v>308591.65140981413</v>
      </c>
      <c r="I31" s="118">
        <f t="shared" si="29"/>
        <v>314298.19768925809</v>
      </c>
      <c r="J31" s="118">
        <f t="shared" si="29"/>
        <v>296457.16106925398</v>
      </c>
      <c r="K31" s="115">
        <f t="shared" si="29"/>
        <v>284750.92772070575</v>
      </c>
      <c r="L31" s="115">
        <f t="shared" ref="L31:V31" si="30">+L24+(L36*L24/SUM(L22:L26))</f>
        <v>254974.11915719335</v>
      </c>
      <c r="M31" s="115">
        <f t="shared" si="30"/>
        <v>264785.51849438308</v>
      </c>
      <c r="N31" s="115">
        <f t="shared" si="30"/>
        <v>306777.62942992756</v>
      </c>
      <c r="O31" s="115">
        <f t="shared" si="30"/>
        <v>283134.32509035838</v>
      </c>
      <c r="P31" s="115">
        <f t="shared" si="30"/>
        <v>263319.86903863651</v>
      </c>
      <c r="Q31" s="115">
        <f t="shared" si="30"/>
        <v>265643.68107156293</v>
      </c>
      <c r="R31" s="115">
        <f t="shared" si="30"/>
        <v>264848.3866196656</v>
      </c>
      <c r="S31" s="115">
        <f t="shared" si="30"/>
        <v>316079.56856654776</v>
      </c>
      <c r="T31" s="115">
        <f t="shared" si="30"/>
        <v>335353.12132107472</v>
      </c>
      <c r="U31" s="115">
        <f t="shared" si="30"/>
        <v>317665.38023766718</v>
      </c>
      <c r="V31" s="115">
        <f t="shared" si="30"/>
        <v>323288.88626690768</v>
      </c>
      <c r="W31" s="115">
        <f t="shared" ref="W31" si="31">+W24+(W36*W24/SUM(W22:W26))</f>
        <v>293649.49310638441</v>
      </c>
      <c r="X31" s="114">
        <f t="shared" si="29"/>
        <v>260919.71289711649</v>
      </c>
      <c r="Y31" s="118">
        <f t="shared" si="29"/>
        <v>280252.22983500303</v>
      </c>
      <c r="Z31" s="119">
        <f t="shared" si="29"/>
        <v>308923.54830320925</v>
      </c>
    </row>
    <row r="32" spans="1:28" x14ac:dyDescent="0.25">
      <c r="A32" s="183" t="s">
        <v>6</v>
      </c>
      <c r="B32" s="114">
        <f t="shared" ref="B32" si="32">+B25+(B36*B25/SUM(B22:B26))</f>
        <v>6315.65</v>
      </c>
      <c r="C32" s="118">
        <f t="shared" ref="C32" si="33">+C25+(C36*C25/SUM(C22:C26))</f>
        <v>117157.27</v>
      </c>
      <c r="D32" s="118">
        <f t="shared" ref="D32" si="34">+D25+(D36*D25/SUM(D22:D26))</f>
        <v>112623.26</v>
      </c>
      <c r="E32" s="118">
        <f t="shared" ref="E32" si="35">+E25+(E36*E25/SUM(E22:E26))</f>
        <v>119178.26102543865</v>
      </c>
      <c r="F32" s="118">
        <f t="shared" ref="F32:Z32" si="36">+F25+(F36*F25/SUM(F22:F26))</f>
        <v>121019.01496976319</v>
      </c>
      <c r="G32" s="118">
        <f t="shared" si="36"/>
        <v>139130.64063811576</v>
      </c>
      <c r="H32" s="118">
        <f t="shared" si="36"/>
        <v>136111.12864490753</v>
      </c>
      <c r="I32" s="118">
        <f t="shared" si="36"/>
        <v>143583.02169891604</v>
      </c>
      <c r="J32" s="118">
        <f t="shared" si="36"/>
        <v>138231.85451189196</v>
      </c>
      <c r="K32" s="115">
        <f t="shared" si="36"/>
        <v>135342.03202169179</v>
      </c>
      <c r="L32" s="115">
        <f t="shared" ref="L32:V32" si="37">+L25+(L36*L25/SUM(L22:L26))</f>
        <v>121550.63339251623</v>
      </c>
      <c r="M32" s="115">
        <f t="shared" si="37"/>
        <v>127012.74505276987</v>
      </c>
      <c r="N32" s="115">
        <f t="shared" si="37"/>
        <v>139207.0072974035</v>
      </c>
      <c r="O32" s="115">
        <f t="shared" si="37"/>
        <v>121582.18659617857</v>
      </c>
      <c r="P32" s="115">
        <f t="shared" si="37"/>
        <v>120690.34375464926</v>
      </c>
      <c r="Q32" s="115">
        <f t="shared" si="37"/>
        <v>111373.03695619981</v>
      </c>
      <c r="R32" s="115">
        <f t="shared" si="37"/>
        <v>129011.69111604497</v>
      </c>
      <c r="S32" s="115">
        <f t="shared" si="37"/>
        <v>140037.57420831823</v>
      </c>
      <c r="T32" s="115">
        <f t="shared" si="37"/>
        <v>144896.34559206344</v>
      </c>
      <c r="U32" s="115">
        <f t="shared" si="37"/>
        <v>142558.85658415931</v>
      </c>
      <c r="V32" s="115">
        <f t="shared" si="37"/>
        <v>138790.38107802995</v>
      </c>
      <c r="W32" s="115">
        <f t="shared" ref="W32" si="38">+W25+(W36*W25/SUM(W22:W26))</f>
        <v>130068.79046628604</v>
      </c>
      <c r="X32" s="114">
        <f t="shared" si="36"/>
        <v>118883.58838818816</v>
      </c>
      <c r="Y32" s="118">
        <f t="shared" si="36"/>
        <v>123200.4555907959</v>
      </c>
      <c r="Z32" s="119">
        <f t="shared" si="36"/>
        <v>133606.03333157775</v>
      </c>
    </row>
    <row r="33" spans="1:28" x14ac:dyDescent="0.25">
      <c r="A33" s="183" t="s">
        <v>7</v>
      </c>
      <c r="B33" s="114">
        <f t="shared" ref="B33" si="39">+B26+(B36*B26/SUM(B22:B26))</f>
        <v>0</v>
      </c>
      <c r="C33" s="118">
        <f t="shared" ref="C33" si="40">+C26+(C36*C26/SUM(C22:C26))</f>
        <v>44182.76</v>
      </c>
      <c r="D33" s="118">
        <f t="shared" ref="D33" si="41">+D26+(D36*D26/SUM(D22:D26))</f>
        <v>70918.23</v>
      </c>
      <c r="E33" s="118">
        <f t="shared" ref="E33" si="42">+E26+(E36*E26/SUM(E22:E26))</f>
        <v>77288.596752927711</v>
      </c>
      <c r="F33" s="118">
        <f t="shared" ref="F33:Z33" si="43">+F26+(F36*F26/SUM(F22:F26))</f>
        <v>78798.647491295604</v>
      </c>
      <c r="G33" s="118">
        <f t="shared" si="43"/>
        <v>94123.263403221223</v>
      </c>
      <c r="H33" s="118">
        <f t="shared" si="43"/>
        <v>88910.620156545119</v>
      </c>
      <c r="I33" s="118">
        <f t="shared" si="43"/>
        <v>98533.161569084681</v>
      </c>
      <c r="J33" s="118">
        <f t="shared" si="43"/>
        <v>93943.900730613706</v>
      </c>
      <c r="K33" s="115">
        <f t="shared" si="43"/>
        <v>89597.224853414853</v>
      </c>
      <c r="L33" s="115">
        <f t="shared" ref="L33:V33" si="44">+L26+(L36*L26/SUM(L22:L26))</f>
        <v>85157.912009380321</v>
      </c>
      <c r="M33" s="115">
        <f t="shared" si="44"/>
        <v>77862.816094058551</v>
      </c>
      <c r="N33" s="115">
        <f t="shared" si="44"/>
        <v>81838.731873864046</v>
      </c>
      <c r="O33" s="115">
        <f t="shared" si="44"/>
        <v>78353.82505736356</v>
      </c>
      <c r="P33" s="115">
        <f t="shared" si="44"/>
        <v>81417.299833986021</v>
      </c>
      <c r="Q33" s="115">
        <f t="shared" si="44"/>
        <v>77432.624886300764</v>
      </c>
      <c r="R33" s="115">
        <f t="shared" si="44"/>
        <v>89044.051413239038</v>
      </c>
      <c r="S33" s="115">
        <f t="shared" si="44"/>
        <v>98630.442007320613</v>
      </c>
      <c r="T33" s="115">
        <f t="shared" si="44"/>
        <v>84396.059963834065</v>
      </c>
      <c r="U33" s="115">
        <f t="shared" si="44"/>
        <v>101583.3493246991</v>
      </c>
      <c r="V33" s="115">
        <f t="shared" si="44"/>
        <v>95440.806929720959</v>
      </c>
      <c r="W33" s="115">
        <f t="shared" ref="W33" si="45">+W26+(W36*W26/SUM(W22:W26))</f>
        <v>94177.807367930509</v>
      </c>
      <c r="X33" s="114">
        <f t="shared" si="43"/>
        <v>89078.680901745596</v>
      </c>
      <c r="Y33" s="118">
        <f t="shared" si="43"/>
        <v>85783.978931742255</v>
      </c>
      <c r="Z33" s="119">
        <f t="shared" si="43"/>
        <v>89526.655505125003</v>
      </c>
    </row>
    <row r="34" spans="1:28" s="50" customFormat="1" x14ac:dyDescent="0.25">
      <c r="B34" s="241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102"/>
      <c r="Y34" s="103"/>
      <c r="Z34" s="106"/>
    </row>
    <row r="35" spans="1:28" x14ac:dyDescent="0.25">
      <c r="A35" s="50" t="s">
        <v>124</v>
      </c>
      <c r="B35" s="240"/>
      <c r="C35" s="232"/>
      <c r="D35" s="107" t="s">
        <v>89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2"/>
      <c r="Y35" s="103"/>
      <c r="Z35" s="106"/>
      <c r="AA35" s="221"/>
      <c r="AB35" s="50"/>
    </row>
    <row r="36" spans="1:28" x14ac:dyDescent="0.25">
      <c r="A36" s="50" t="str">
        <f>A22</f>
        <v>RES</v>
      </c>
      <c r="B36" s="98">
        <v>0</v>
      </c>
      <c r="C36" s="99">
        <v>0</v>
      </c>
      <c r="D36" s="99">
        <v>0</v>
      </c>
      <c r="E36" s="99">
        <v>-16301.190000000002</v>
      </c>
      <c r="F36" s="99">
        <v>-13781.149999999996</v>
      </c>
      <c r="G36" s="99">
        <v>-16689.690000000002</v>
      </c>
      <c r="H36" s="99">
        <v>-21713.389999999996</v>
      </c>
      <c r="I36" s="99">
        <v>-22315.42</v>
      </c>
      <c r="J36" s="99">
        <v>-18421.010000000002</v>
      </c>
      <c r="K36" s="108">
        <v>-16562.46</v>
      </c>
      <c r="L36" s="108">
        <v>-17214.189999999999</v>
      </c>
      <c r="M36" s="108">
        <v>-23261.080000000005</v>
      </c>
      <c r="N36" s="108">
        <v>-37736.519999999997</v>
      </c>
      <c r="O36" s="108">
        <v>-33177.399999999994</v>
      </c>
      <c r="P36" s="108">
        <v>-26865.11</v>
      </c>
      <c r="Q36" s="108">
        <v>-26352.74</v>
      </c>
      <c r="R36" s="108">
        <v>-18021.299999999992</v>
      </c>
      <c r="S36" s="108">
        <v>-22490.279999999995</v>
      </c>
      <c r="T36" s="108">
        <v>-26264.89</v>
      </c>
      <c r="U36" s="108">
        <v>-23156.390000000003</v>
      </c>
      <c r="V36" s="108">
        <v>-22036.379999999994</v>
      </c>
      <c r="W36" s="108">
        <v>-19246.000000000007</v>
      </c>
      <c r="X36" s="114">
        <f>-(PCR!AJ28*'PIR (M1)'!$AA$22*PPC!$B$14)</f>
        <v>-18714.535380530728</v>
      </c>
      <c r="Y36" s="118">
        <f>-(PCR!AK28*'PIR (M1)'!$AA$22*PPC!$B$14)</f>
        <v>-25575.434264305553</v>
      </c>
      <c r="Z36" s="119">
        <f>-(PCR!AL28*'PIR (M1)'!$AA$22*PPC!$B$14)</f>
        <v>-32663.039745123326</v>
      </c>
      <c r="AA36" s="234"/>
      <c r="AB36" s="50"/>
    </row>
    <row r="37" spans="1:28" x14ac:dyDescent="0.25">
      <c r="A37" s="50"/>
      <c r="B37" s="104"/>
      <c r="C37" s="112"/>
      <c r="D37" s="107" t="s">
        <v>71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1"/>
      <c r="Y37" s="112"/>
      <c r="Z37" s="106"/>
    </row>
    <row r="38" spans="1:28" ht="15.75" thickBot="1" x14ac:dyDescent="0.3">
      <c r="A38" s="50" t="s">
        <v>91</v>
      </c>
      <c r="B38" s="121">
        <v>-83.44</v>
      </c>
      <c r="C38" s="122">
        <v>-56.84</v>
      </c>
      <c r="D38" s="122">
        <v>129.69999999999999</v>
      </c>
      <c r="E38" s="122">
        <v>366.05</v>
      </c>
      <c r="F38" s="122">
        <v>615.87</v>
      </c>
      <c r="G38" s="122">
        <v>784.86</v>
      </c>
      <c r="H38" s="122">
        <v>536.48</v>
      </c>
      <c r="I38" s="122">
        <v>272.45</v>
      </c>
      <c r="J38" s="122">
        <v>232.38</v>
      </c>
      <c r="K38" s="123">
        <v>320.43</v>
      </c>
      <c r="L38" s="123">
        <v>558.87</v>
      </c>
      <c r="M38" s="123">
        <v>745.15</v>
      </c>
      <c r="N38" s="123">
        <v>136.97999999999999</v>
      </c>
      <c r="O38" s="123">
        <v>-151.84</v>
      </c>
      <c r="P38" s="123">
        <v>-174.59</v>
      </c>
      <c r="Q38" s="123">
        <v>-131.99</v>
      </c>
      <c r="R38" s="123">
        <v>124.66</v>
      </c>
      <c r="S38" s="123">
        <v>-276.24</v>
      </c>
      <c r="T38" s="123">
        <v>-1009.47</v>
      </c>
      <c r="U38" s="123">
        <v>-1513.37</v>
      </c>
      <c r="V38" s="123">
        <v>-1956.65</v>
      </c>
      <c r="W38" s="123">
        <v>-2054.7600000000002</v>
      </c>
      <c r="X38" s="270">
        <v>-1795.4192963750741</v>
      </c>
      <c r="Y38" s="271">
        <v>-2022.599254636707</v>
      </c>
      <c r="Z38" s="158">
        <v>-5318.7562428829833</v>
      </c>
      <c r="AA38" s="50"/>
    </row>
    <row r="39" spans="1:28" x14ac:dyDescent="0.25">
      <c r="B39" s="148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266"/>
      <c r="Y39" s="159"/>
      <c r="Z39" s="267"/>
    </row>
    <row r="40" spans="1:28" x14ac:dyDescent="0.25">
      <c r="A40" s="183" t="s">
        <v>72</v>
      </c>
      <c r="B40" s="104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2"/>
      <c r="Y40" s="103"/>
      <c r="Z40" s="106"/>
    </row>
    <row r="41" spans="1:28" x14ac:dyDescent="0.25">
      <c r="A41" s="183" t="s">
        <v>0</v>
      </c>
      <c r="B41" s="114">
        <f>B15-B29</f>
        <v>-79764.7</v>
      </c>
      <c r="C41" s="118">
        <f t="shared" ref="C41:Z41" si="46">C15-C29</f>
        <v>-43684.096259863698</v>
      </c>
      <c r="D41" s="118">
        <f t="shared" si="46"/>
        <v>134344.30374013627</v>
      </c>
      <c r="E41" s="118">
        <f t="shared" si="46"/>
        <v>170432.88831621374</v>
      </c>
      <c r="F41" s="118">
        <f t="shared" si="46"/>
        <v>193987.30845104245</v>
      </c>
      <c r="G41" s="118">
        <f t="shared" si="46"/>
        <v>35907.625114386785</v>
      </c>
      <c r="H41" s="118">
        <f t="shared" si="46"/>
        <v>-168164.10299918056</v>
      </c>
      <c r="I41" s="118">
        <f t="shared" si="46"/>
        <v>-178633.88395369553</v>
      </c>
      <c r="J41" s="118">
        <f t="shared" si="46"/>
        <v>-4703.7817528218729</v>
      </c>
      <c r="K41" s="115">
        <f t="shared" si="46"/>
        <v>75597.999266679282</v>
      </c>
      <c r="L41" s="115">
        <f t="shared" ref="L41:U41" si="47">L15-L29</f>
        <v>147896.9228728881</v>
      </c>
      <c r="M41" s="115">
        <f t="shared" si="47"/>
        <v>989.42000274953898</v>
      </c>
      <c r="N41" s="115">
        <f t="shared" si="47"/>
        <v>-368599.53195846011</v>
      </c>
      <c r="O41" s="115">
        <f t="shared" si="47"/>
        <v>-207514.56438193331</v>
      </c>
      <c r="P41" s="115">
        <f t="shared" si="47"/>
        <v>-40899.541610462824</v>
      </c>
      <c r="Q41" s="115">
        <f t="shared" si="47"/>
        <v>-17043.758731904207</v>
      </c>
      <c r="R41" s="115">
        <f t="shared" si="47"/>
        <v>108602.16892616334</v>
      </c>
      <c r="S41" s="115">
        <f t="shared" si="47"/>
        <v>-154410.39661030343</v>
      </c>
      <c r="T41" s="115">
        <f t="shared" si="47"/>
        <v>-293696.63915064547</v>
      </c>
      <c r="U41" s="115">
        <f t="shared" si="47"/>
        <v>-195293.23986067937</v>
      </c>
      <c r="V41" s="115">
        <f>V15-V29</f>
        <v>-162764.68001324625</v>
      </c>
      <c r="W41" s="115">
        <f t="shared" ref="W41" si="48">W15-W29</f>
        <v>21016.512154419208</v>
      </c>
      <c r="X41" s="114">
        <f>X15-X29</f>
        <v>86937.233337217011</v>
      </c>
      <c r="Y41" s="118">
        <f t="shared" si="46"/>
        <v>-120754.6952452095</v>
      </c>
      <c r="Z41" s="119">
        <f t="shared" si="46"/>
        <v>-993224.71335949947</v>
      </c>
    </row>
    <row r="42" spans="1:28" x14ac:dyDescent="0.25">
      <c r="A42" s="183" t="s">
        <v>4</v>
      </c>
      <c r="B42" s="114">
        <f t="shared" ref="B42:Z42" si="49">B16-B30</f>
        <v>-6214.44</v>
      </c>
      <c r="C42" s="118">
        <f t="shared" si="49"/>
        <v>1784.374335757122</v>
      </c>
      <c r="D42" s="118">
        <f t="shared" si="49"/>
        <v>9032.6743357571249</v>
      </c>
      <c r="E42" s="118">
        <f t="shared" si="49"/>
        <v>13096.657112664165</v>
      </c>
      <c r="F42" s="118">
        <f t="shared" si="49"/>
        <v>13645.775722852719</v>
      </c>
      <c r="G42" s="118">
        <f t="shared" si="49"/>
        <v>3353.9835285022054</v>
      </c>
      <c r="H42" s="118">
        <f t="shared" si="49"/>
        <v>-6827.4887136593316</v>
      </c>
      <c r="I42" s="118">
        <f t="shared" si="49"/>
        <v>-7549.0770131523168</v>
      </c>
      <c r="J42" s="118">
        <f t="shared" si="49"/>
        <v>356.47614047482784</v>
      </c>
      <c r="K42" s="115">
        <f t="shared" si="49"/>
        <v>3957.6634050264765</v>
      </c>
      <c r="L42" s="115">
        <f t="shared" ref="L42:V42" si="50">L16-L30</f>
        <v>10844.449762095144</v>
      </c>
      <c r="M42" s="115">
        <f t="shared" si="50"/>
        <v>5106.2077143543138</v>
      </c>
      <c r="N42" s="115">
        <f t="shared" si="50"/>
        <v>-15063.331364451427</v>
      </c>
      <c r="O42" s="115">
        <f t="shared" si="50"/>
        <v>-7466.0807982730621</v>
      </c>
      <c r="P42" s="115">
        <f t="shared" si="50"/>
        <v>1787.8123136277718</v>
      </c>
      <c r="Q42" s="115">
        <f t="shared" si="50"/>
        <v>2749.9197218609406</v>
      </c>
      <c r="R42" s="115">
        <f t="shared" si="50"/>
        <v>8611.2182986793487</v>
      </c>
      <c r="S42" s="115">
        <f t="shared" si="50"/>
        <v>-6802.5605316168076</v>
      </c>
      <c r="T42" s="115">
        <f t="shared" si="50"/>
        <v>-14449.225896489137</v>
      </c>
      <c r="U42" s="115">
        <f t="shared" si="50"/>
        <v>-9125.3159169020073</v>
      </c>
      <c r="V42" s="115">
        <f t="shared" si="50"/>
        <v>-7814.0576362021238</v>
      </c>
      <c r="W42" s="115">
        <f t="shared" ref="W42" si="51">W16-W30</f>
        <v>1238.6968620749103</v>
      </c>
      <c r="X42" s="114">
        <f t="shared" si="49"/>
        <v>8251.1756477397721</v>
      </c>
      <c r="Y42" s="118">
        <f t="shared" si="49"/>
        <v>-1537.4373372913396</v>
      </c>
      <c r="Z42" s="119">
        <f t="shared" si="49"/>
        <v>-82270.577954860768</v>
      </c>
    </row>
    <row r="43" spans="1:28" x14ac:dyDescent="0.25">
      <c r="A43" s="183" t="s">
        <v>5</v>
      </c>
      <c r="B43" s="114">
        <f t="shared" ref="B43:Z43" si="52">B17-B31</f>
        <v>-18961.650000000001</v>
      </c>
      <c r="C43" s="118">
        <f t="shared" si="52"/>
        <v>23234.710259544838</v>
      </c>
      <c r="D43" s="118">
        <f t="shared" si="52"/>
        <v>35798.070259544824</v>
      </c>
      <c r="E43" s="118">
        <f t="shared" si="52"/>
        <v>43877.810684926662</v>
      </c>
      <c r="F43" s="118">
        <f t="shared" si="52"/>
        <v>36949.276622601814</v>
      </c>
      <c r="G43" s="118">
        <f t="shared" si="52"/>
        <v>3144.7437338861637</v>
      </c>
      <c r="H43" s="118">
        <f t="shared" si="52"/>
        <v>-21757.151150269317</v>
      </c>
      <c r="I43" s="118">
        <f t="shared" si="52"/>
        <v>-27463.697429713269</v>
      </c>
      <c r="J43" s="118">
        <f t="shared" si="52"/>
        <v>-9622.6608097091666</v>
      </c>
      <c r="K43" s="115">
        <f t="shared" si="52"/>
        <v>2083.5725388390711</v>
      </c>
      <c r="L43" s="115">
        <f t="shared" ref="L43:V43" si="53">L17-L31</f>
        <v>31860.381102351472</v>
      </c>
      <c r="M43" s="115">
        <f t="shared" si="53"/>
        <v>22048.981765161734</v>
      </c>
      <c r="N43" s="115">
        <f t="shared" si="53"/>
        <v>-19943.129170382745</v>
      </c>
      <c r="O43" s="115">
        <f t="shared" si="53"/>
        <v>3700.1751691866084</v>
      </c>
      <c r="P43" s="115">
        <f t="shared" si="53"/>
        <v>23514.631220908486</v>
      </c>
      <c r="Q43" s="115">
        <f t="shared" si="53"/>
        <v>21190.819187982066</v>
      </c>
      <c r="R43" s="115">
        <f t="shared" si="53"/>
        <v>21986.11363987939</v>
      </c>
      <c r="S43" s="115">
        <f t="shared" si="53"/>
        <v>-29245.068307002774</v>
      </c>
      <c r="T43" s="115">
        <f t="shared" si="53"/>
        <v>-48518.621061529731</v>
      </c>
      <c r="U43" s="115">
        <f t="shared" si="53"/>
        <v>-30830.87997812219</v>
      </c>
      <c r="V43" s="115">
        <f t="shared" si="53"/>
        <v>-36454.386007362686</v>
      </c>
      <c r="W43" s="115">
        <f t="shared" ref="W43" si="54">W17-W31</f>
        <v>-6814.992846839421</v>
      </c>
      <c r="X43" s="114">
        <f t="shared" si="52"/>
        <v>25914.787362428324</v>
      </c>
      <c r="Y43" s="118">
        <f t="shared" si="52"/>
        <v>6582.2704245417845</v>
      </c>
      <c r="Z43" s="119">
        <f t="shared" si="52"/>
        <v>-308923.54830320925</v>
      </c>
    </row>
    <row r="44" spans="1:28" x14ac:dyDescent="0.25">
      <c r="A44" s="183" t="s">
        <v>6</v>
      </c>
      <c r="B44" s="114">
        <f t="shared" ref="B44:Z44" si="55">B18-B32</f>
        <v>-6315.65</v>
      </c>
      <c r="C44" s="118">
        <f t="shared" si="55"/>
        <v>10578.173455542827</v>
      </c>
      <c r="D44" s="118">
        <f t="shared" si="55"/>
        <v>15112.183455542836</v>
      </c>
      <c r="E44" s="118">
        <f t="shared" si="55"/>
        <v>8557.1824301041779</v>
      </c>
      <c r="F44" s="118">
        <f t="shared" si="55"/>
        <v>6716.4284857796447</v>
      </c>
      <c r="G44" s="118">
        <f t="shared" si="55"/>
        <v>-11395.197182572927</v>
      </c>
      <c r="H44" s="118">
        <f t="shared" si="55"/>
        <v>-8375.6851893646963</v>
      </c>
      <c r="I44" s="118">
        <f t="shared" si="55"/>
        <v>-15847.578243373209</v>
      </c>
      <c r="J44" s="118">
        <f t="shared" si="55"/>
        <v>-10496.411056349127</v>
      </c>
      <c r="K44" s="115">
        <f t="shared" si="55"/>
        <v>-7606.5885661489592</v>
      </c>
      <c r="L44" s="115">
        <f t="shared" ref="L44:V44" si="56">L18-L32</f>
        <v>6184.8100630265981</v>
      </c>
      <c r="M44" s="115">
        <f t="shared" si="56"/>
        <v>722.69840277296316</v>
      </c>
      <c r="N44" s="115">
        <f t="shared" si="56"/>
        <v>-11471.563841860669</v>
      </c>
      <c r="O44" s="115">
        <f t="shared" si="56"/>
        <v>6153.2568593644392</v>
      </c>
      <c r="P44" s="115">
        <f t="shared" si="56"/>
        <v>7045.0997008937411</v>
      </c>
      <c r="Q44" s="115">
        <f t="shared" si="56"/>
        <v>16362.406499343197</v>
      </c>
      <c r="R44" s="115">
        <f t="shared" si="56"/>
        <v>-1276.2476605019619</v>
      </c>
      <c r="S44" s="115">
        <f t="shared" si="56"/>
        <v>-12302.130752775221</v>
      </c>
      <c r="T44" s="115">
        <f t="shared" si="56"/>
        <v>-17160.902136520439</v>
      </c>
      <c r="U44" s="115">
        <f t="shared" si="56"/>
        <v>-14823.413128616303</v>
      </c>
      <c r="V44" s="115">
        <f t="shared" si="56"/>
        <v>-11054.937622486948</v>
      </c>
      <c r="W44" s="115">
        <f t="shared" ref="W44" si="57">W18-W32</f>
        <v>-2333.347010743033</v>
      </c>
      <c r="X44" s="114">
        <f t="shared" si="55"/>
        <v>8851.8550673546706</v>
      </c>
      <c r="Y44" s="118">
        <f t="shared" si="55"/>
        <v>4534.9878647469304</v>
      </c>
      <c r="Z44" s="119">
        <f t="shared" si="55"/>
        <v>-133606.03333157775</v>
      </c>
    </row>
    <row r="45" spans="1:28" x14ac:dyDescent="0.25">
      <c r="A45" s="183" t="s">
        <v>7</v>
      </c>
      <c r="B45" s="114">
        <f t="shared" ref="B45:Z45" si="58">B19-B33</f>
        <v>0</v>
      </c>
      <c r="C45" s="118">
        <f t="shared" si="58"/>
        <v>43635.357375685671</v>
      </c>
      <c r="D45" s="118">
        <f t="shared" si="58"/>
        <v>16899.887375685677</v>
      </c>
      <c r="E45" s="118">
        <f t="shared" si="58"/>
        <v>10529.520622757962</v>
      </c>
      <c r="F45" s="118">
        <f t="shared" si="58"/>
        <v>9019.4698843900696</v>
      </c>
      <c r="G45" s="118">
        <f t="shared" si="58"/>
        <v>-6305.1460275355494</v>
      </c>
      <c r="H45" s="118">
        <f t="shared" si="58"/>
        <v>-1092.5027808594459</v>
      </c>
      <c r="I45" s="118">
        <f t="shared" si="58"/>
        <v>-10715.044193399008</v>
      </c>
      <c r="J45" s="118">
        <f t="shared" si="58"/>
        <v>-6125.7833549280331</v>
      </c>
      <c r="K45" s="115">
        <f t="shared" si="58"/>
        <v>-1779.1074777291797</v>
      </c>
      <c r="L45" s="115">
        <f t="shared" ref="L45:V45" si="59">L19-L33</f>
        <v>2660.2053663053521</v>
      </c>
      <c r="M45" s="115">
        <f t="shared" si="59"/>
        <v>9955.3012816271221</v>
      </c>
      <c r="N45" s="115">
        <f t="shared" si="59"/>
        <v>5979.3855018216273</v>
      </c>
      <c r="O45" s="115">
        <f t="shared" si="59"/>
        <v>9464.2923183221428</v>
      </c>
      <c r="P45" s="115">
        <f t="shared" si="59"/>
        <v>6400.8175416996819</v>
      </c>
      <c r="Q45" s="115">
        <f t="shared" si="59"/>
        <v>10385.492489384938</v>
      </c>
      <c r="R45" s="115">
        <f t="shared" si="59"/>
        <v>-1225.9340375533357</v>
      </c>
      <c r="S45" s="115">
        <f t="shared" si="59"/>
        <v>-10812.32463163491</v>
      </c>
      <c r="T45" s="115">
        <f t="shared" si="59"/>
        <v>3422.0574118516379</v>
      </c>
      <c r="U45" s="115">
        <f t="shared" si="59"/>
        <v>-13765.231949013396</v>
      </c>
      <c r="V45" s="115">
        <f t="shared" si="59"/>
        <v>-7622.6895540352562</v>
      </c>
      <c r="W45" s="115">
        <f t="shared" ref="W45" si="60">W19-W33</f>
        <v>-6359.6899922448065</v>
      </c>
      <c r="X45" s="114">
        <f t="shared" si="58"/>
        <v>-1260.5635260599229</v>
      </c>
      <c r="Y45" s="118">
        <f t="shared" si="58"/>
        <v>2034.1384439434187</v>
      </c>
      <c r="Z45" s="119">
        <f t="shared" si="58"/>
        <v>-89526.655505125003</v>
      </c>
    </row>
    <row r="46" spans="1:28" x14ac:dyDescent="0.25">
      <c r="B46" s="104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2"/>
      <c r="Y46" s="103"/>
      <c r="Z46" s="106"/>
    </row>
    <row r="47" spans="1:28" x14ac:dyDescent="0.25">
      <c r="A47" s="183" t="s">
        <v>73</v>
      </c>
      <c r="B47" s="104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2"/>
      <c r="Y47" s="103"/>
      <c r="Z47" s="106"/>
    </row>
    <row r="48" spans="1:28" x14ac:dyDescent="0.25">
      <c r="A48" s="183" t="s">
        <v>0</v>
      </c>
      <c r="B48" s="114">
        <f>B41</f>
        <v>-79764.7</v>
      </c>
      <c r="C48" s="118">
        <f>B48+C41+B55</f>
        <v>-123508.61978486369</v>
      </c>
      <c r="D48" s="118">
        <f t="shared" ref="C48:K52" si="61">C48+D41+C55</f>
        <v>10743.052490433925</v>
      </c>
      <c r="E48" s="118">
        <f t="shared" si="61"/>
        <v>181186.23623195098</v>
      </c>
      <c r="F48" s="118">
        <f t="shared" si="61"/>
        <v>375347.18149271572</v>
      </c>
      <c r="G48" s="118">
        <f t="shared" si="61"/>
        <v>411614.51432269969</v>
      </c>
      <c r="H48" s="118">
        <f t="shared" si="61"/>
        <v>243934.0583778483</v>
      </c>
      <c r="I48" s="118">
        <f t="shared" si="61"/>
        <v>65583.107440113774</v>
      </c>
      <c r="J48" s="118">
        <f t="shared" si="61"/>
        <v>60959.499724475289</v>
      </c>
      <c r="K48" s="115">
        <f>J48+K41+J55</f>
        <v>136631.07080817371</v>
      </c>
      <c r="L48" s="115">
        <f t="shared" ref="L48:V52" si="62">K48+L41+K55</f>
        <v>284693.18406144565</v>
      </c>
      <c r="M48" s="115">
        <f t="shared" si="62"/>
        <v>286024.91651529871</v>
      </c>
      <c r="N48" s="115">
        <f t="shared" si="62"/>
        <v>-82151.884679443509</v>
      </c>
      <c r="O48" s="115">
        <f t="shared" si="62"/>
        <v>-289783.88422208739</v>
      </c>
      <c r="P48" s="115">
        <f t="shared" si="62"/>
        <v>-331124.75847767707</v>
      </c>
      <c r="Q48" s="115">
        <f t="shared" si="62"/>
        <v>-348735.27752056142</v>
      </c>
      <c r="R48" s="115">
        <f t="shared" si="62"/>
        <v>-240804.77157645175</v>
      </c>
      <c r="S48" s="115">
        <f t="shared" si="62"/>
        <v>-395656.40179318719</v>
      </c>
      <c r="T48" s="115">
        <f t="shared" si="62"/>
        <v>-690104.64336293936</v>
      </c>
      <c r="U48" s="115">
        <f t="shared" si="62"/>
        <v>-886747.71007833339</v>
      </c>
      <c r="V48" s="115">
        <f t="shared" si="62"/>
        <v>-1051230.7933544221</v>
      </c>
      <c r="W48" s="115">
        <f t="shared" ref="W48" si="63">V48+W41+V55</f>
        <v>-1032254.5116757965</v>
      </c>
      <c r="X48" s="114">
        <f>W48+X41+W55</f>
        <v>-947431.17471883004</v>
      </c>
      <c r="Y48" s="118">
        <f t="shared" ref="Y48:Z52" si="64">X48+Y41+X55</f>
        <v>-1070126.0613685055</v>
      </c>
      <c r="Z48" s="119">
        <f t="shared" si="64"/>
        <v>-2065542.2261403762</v>
      </c>
    </row>
    <row r="49" spans="1:26" x14ac:dyDescent="0.25">
      <c r="A49" s="183" t="s">
        <v>4</v>
      </c>
      <c r="B49" s="114">
        <f>B42</f>
        <v>-6214.44</v>
      </c>
      <c r="C49" s="118">
        <f t="shared" si="61"/>
        <v>-4434.7264942428774</v>
      </c>
      <c r="D49" s="118">
        <f t="shared" si="61"/>
        <v>4594.6217966435652</v>
      </c>
      <c r="E49" s="118">
        <f t="shared" si="61"/>
        <v>17695.682088529513</v>
      </c>
      <c r="F49" s="118">
        <f t="shared" si="61"/>
        <v>31358.416173383739</v>
      </c>
      <c r="G49" s="118">
        <f t="shared" si="61"/>
        <v>34742.451517385438</v>
      </c>
      <c r="H49" s="118">
        <f t="shared" si="61"/>
        <v>27955.785184259035</v>
      </c>
      <c r="I49" s="118">
        <f t="shared" si="61"/>
        <v>20439.133387447309</v>
      </c>
      <c r="J49" s="118">
        <f t="shared" si="61"/>
        <v>20820.595959705624</v>
      </c>
      <c r="K49" s="115">
        <f t="shared" si="61"/>
        <v>24803.387672593883</v>
      </c>
      <c r="L49" s="115">
        <f t="shared" si="62"/>
        <v>35677.825350469888</v>
      </c>
      <c r="M49" s="115">
        <f t="shared" si="62"/>
        <v>40826.931752005723</v>
      </c>
      <c r="N49" s="115">
        <f t="shared" si="62"/>
        <v>25823.940585359614</v>
      </c>
      <c r="O49" s="115">
        <f t="shared" si="62"/>
        <v>18394.774808874015</v>
      </c>
      <c r="P49" s="115">
        <f t="shared" si="62"/>
        <v>20210.601843350418</v>
      </c>
      <c r="Q49" s="115">
        <f t="shared" si="62"/>
        <v>22995.114469222812</v>
      </c>
      <c r="R49" s="115">
        <f t="shared" si="62"/>
        <v>31650.621281719501</v>
      </c>
      <c r="S49" s="115">
        <f t="shared" si="62"/>
        <v>24906.055106620308</v>
      </c>
      <c r="T49" s="115">
        <f t="shared" si="62"/>
        <v>10504.141603368589</v>
      </c>
      <c r="U49" s="115">
        <f t="shared" si="62"/>
        <v>1399.3715160857794</v>
      </c>
      <c r="V49" s="115">
        <f t="shared" si="62"/>
        <v>-6411.9743177041819</v>
      </c>
      <c r="W49" s="115">
        <f t="shared" ref="W49:X49" si="65">V49+W42+V56</f>
        <v>-5185.7218260716954</v>
      </c>
      <c r="X49" s="114">
        <f t="shared" si="65"/>
        <v>3054.8342714766</v>
      </c>
      <c r="Y49" s="118">
        <f t="shared" si="64"/>
        <v>1523.6527587282371</v>
      </c>
      <c r="Z49" s="119">
        <f t="shared" si="64"/>
        <v>-80743.804992718549</v>
      </c>
    </row>
    <row r="50" spans="1:26" x14ac:dyDescent="0.25">
      <c r="A50" s="183" t="s">
        <v>5</v>
      </c>
      <c r="B50" s="114">
        <f>B43</f>
        <v>-18961.650000000001</v>
      </c>
      <c r="C50" s="118">
        <f t="shared" si="61"/>
        <v>4258.8390220448364</v>
      </c>
      <c r="D50" s="118">
        <f t="shared" si="61"/>
        <v>40060.103410856194</v>
      </c>
      <c r="E50" s="118">
        <f t="shared" si="61"/>
        <v>83976.305028218252</v>
      </c>
      <c r="F50" s="118">
        <f t="shared" si="61"/>
        <v>121006.05894313878</v>
      </c>
      <c r="G50" s="118">
        <f t="shared" si="61"/>
        <v>124266.76681684545</v>
      </c>
      <c r="H50" s="118">
        <f t="shared" si="61"/>
        <v>102655.62911758594</v>
      </c>
      <c r="I50" s="118">
        <f t="shared" si="61"/>
        <v>75310.999385695424</v>
      </c>
      <c r="J50" s="118">
        <f t="shared" si="61"/>
        <v>65780.404766515276</v>
      </c>
      <c r="K50" s="115">
        <f t="shared" si="61"/>
        <v>67943.367456599037</v>
      </c>
      <c r="L50" s="115">
        <f t="shared" si="62"/>
        <v>99885.893788789719</v>
      </c>
      <c r="M50" s="115">
        <f t="shared" si="62"/>
        <v>122054.97742869858</v>
      </c>
      <c r="N50" s="115">
        <f t="shared" si="62"/>
        <v>102292.23951391906</v>
      </c>
      <c r="O50" s="115">
        <f t="shared" si="62"/>
        <v>106138.64024608136</v>
      </c>
      <c r="P50" s="115">
        <f t="shared" si="62"/>
        <v>129814.91760882315</v>
      </c>
      <c r="Q50" s="115">
        <f t="shared" si="62"/>
        <v>151227.93082244103</v>
      </c>
      <c r="R50" s="115">
        <f t="shared" si="62"/>
        <v>173505.30895299136</v>
      </c>
      <c r="S50" s="115">
        <f t="shared" si="62"/>
        <v>144578.15948415466</v>
      </c>
      <c r="T50" s="115">
        <f t="shared" si="62"/>
        <v>96334.184034134814</v>
      </c>
      <c r="U50" s="115">
        <f t="shared" si="62"/>
        <v>65691.731231350306</v>
      </c>
      <c r="V50" s="115">
        <f t="shared" si="62"/>
        <v>29364.647368675138</v>
      </c>
      <c r="W50" s="115">
        <f t="shared" ref="W50:X50" si="66">V50+W43+V57</f>
        <v>22606.645478389921</v>
      </c>
      <c r="X50" s="114">
        <f t="shared" si="66"/>
        <v>48567.727727889069</v>
      </c>
      <c r="Y50" s="118">
        <f t="shared" si="64"/>
        <v>55249.457290346669</v>
      </c>
      <c r="Z50" s="119">
        <f t="shared" si="64"/>
        <v>-253560.94873403903</v>
      </c>
    </row>
    <row r="51" spans="1:26" x14ac:dyDescent="0.25">
      <c r="A51" s="183" t="s">
        <v>6</v>
      </c>
      <c r="B51" s="114">
        <f>B44</f>
        <v>-6315.65</v>
      </c>
      <c r="C51" s="118">
        <f t="shared" si="61"/>
        <v>4257.7867180428266</v>
      </c>
      <c r="D51" s="118">
        <f t="shared" si="61"/>
        <v>19373.163513624193</v>
      </c>
      <c r="E51" s="118">
        <f t="shared" si="61"/>
        <v>27948.911892095595</v>
      </c>
      <c r="F51" s="118">
        <f t="shared" si="61"/>
        <v>34692.124751771829</v>
      </c>
      <c r="G51" s="118">
        <f t="shared" si="61"/>
        <v>23330.174188752684</v>
      </c>
      <c r="H51" s="118">
        <f t="shared" si="61"/>
        <v>14981.901954059773</v>
      </c>
      <c r="I51" s="118">
        <f t="shared" si="61"/>
        <v>-848.2991557844714</v>
      </c>
      <c r="J51" s="118">
        <f t="shared" si="61"/>
        <v>-11345.747240885561</v>
      </c>
      <c r="K51" s="115">
        <f t="shared" si="61"/>
        <v>-18966.028951560387</v>
      </c>
      <c r="L51" s="115">
        <f t="shared" si="62"/>
        <v>-12804.14929168695</v>
      </c>
      <c r="M51" s="115">
        <f t="shared" si="62"/>
        <v>-12096.84647958393</v>
      </c>
      <c r="N51" s="115">
        <f t="shared" si="62"/>
        <v>-23586.288865779807</v>
      </c>
      <c r="O51" s="115">
        <f t="shared" si="62"/>
        <v>-17466.74833117563</v>
      </c>
      <c r="P51" s="115">
        <f t="shared" si="62"/>
        <v>-10448.249993099067</v>
      </c>
      <c r="Q51" s="115">
        <f t="shared" si="62"/>
        <v>5896.2730551771911</v>
      </c>
      <c r="R51" s="115">
        <f t="shared" si="62"/>
        <v>4631.3815969252564</v>
      </c>
      <c r="S51" s="115">
        <f t="shared" si="62"/>
        <v>-7662.2629402679559</v>
      </c>
      <c r="T51" s="115">
        <f t="shared" si="62"/>
        <v>-24837.720573263712</v>
      </c>
      <c r="U51" s="115">
        <f t="shared" si="62"/>
        <v>-39709.715641680203</v>
      </c>
      <c r="V51" s="115">
        <f t="shared" si="62"/>
        <v>-50841.605597000555</v>
      </c>
      <c r="W51" s="115">
        <f t="shared" ref="W51:X51" si="67">V51+W44+V58</f>
        <v>-53273.626080622256</v>
      </c>
      <c r="X51" s="114">
        <f t="shared" si="67"/>
        <v>-44530.867097673967</v>
      </c>
      <c r="Y51" s="118">
        <f t="shared" si="64"/>
        <v>-40087.071509349618</v>
      </c>
      <c r="Z51" s="119">
        <f t="shared" si="64"/>
        <v>-173775.19691647656</v>
      </c>
    </row>
    <row r="52" spans="1:26" x14ac:dyDescent="0.25">
      <c r="A52" s="183" t="s">
        <v>7</v>
      </c>
      <c r="B52" s="114">
        <f>B45</f>
        <v>0</v>
      </c>
      <c r="C52" s="118">
        <f t="shared" si="61"/>
        <v>43635.357375685671</v>
      </c>
      <c r="D52" s="118">
        <f t="shared" si="61"/>
        <v>60567.971269403111</v>
      </c>
      <c r="E52" s="118">
        <f t="shared" si="61"/>
        <v>71155.53619796093</v>
      </c>
      <c r="F52" s="118">
        <f t="shared" si="61"/>
        <v>80243.196804540712</v>
      </c>
      <c r="G52" s="118">
        <f t="shared" si="61"/>
        <v>74014.950507276182</v>
      </c>
      <c r="H52" s="118">
        <f t="shared" si="61"/>
        <v>73009.415293262791</v>
      </c>
      <c r="I52" s="118">
        <f t="shared" si="61"/>
        <v>62379.052895427056</v>
      </c>
      <c r="J52" s="118">
        <f t="shared" si="61"/>
        <v>56329.526685082623</v>
      </c>
      <c r="K52" s="115">
        <f t="shared" si="61"/>
        <v>54618.403125344579</v>
      </c>
      <c r="L52" s="115">
        <f t="shared" si="62"/>
        <v>57344.643506488552</v>
      </c>
      <c r="M52" s="115">
        <f t="shared" si="62"/>
        <v>67368.895457029925</v>
      </c>
      <c r="N52" s="115">
        <f t="shared" si="62"/>
        <v>73447.848874033021</v>
      </c>
      <c r="O52" s="115">
        <f t="shared" si="62"/>
        <v>83017.13403542903</v>
      </c>
      <c r="P52" s="115">
        <f t="shared" si="62"/>
        <v>89544.384320112542</v>
      </c>
      <c r="Q52" s="115">
        <f t="shared" si="62"/>
        <v>100083.14291782811</v>
      </c>
      <c r="R52" s="115">
        <f t="shared" si="62"/>
        <v>99049.96867992403</v>
      </c>
      <c r="S52" s="115">
        <f t="shared" si="62"/>
        <v>88419.136194858758</v>
      </c>
      <c r="T52" s="115">
        <f t="shared" si="62"/>
        <v>92009.157618813304</v>
      </c>
      <c r="U52" s="115">
        <f t="shared" si="62"/>
        <v>78423.893205199071</v>
      </c>
      <c r="V52" s="115">
        <f t="shared" si="62"/>
        <v>70953.179091795857</v>
      </c>
      <c r="W52" s="115">
        <f t="shared" ref="W52:X52" si="68">V52+W45+V59</f>
        <v>64731.195147787708</v>
      </c>
      <c r="X52" s="114">
        <f t="shared" si="68"/>
        <v>63603.191022112544</v>
      </c>
      <c r="Y52" s="118">
        <f t="shared" si="64"/>
        <v>65767.578889771976</v>
      </c>
      <c r="Z52" s="119">
        <f t="shared" si="64"/>
        <v>-23624.394862567817</v>
      </c>
    </row>
    <row r="53" spans="1:26" x14ac:dyDescent="0.25">
      <c r="B53" s="104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2"/>
      <c r="Y53" s="103"/>
      <c r="Z53" s="106"/>
    </row>
    <row r="54" spans="1:26" x14ac:dyDescent="0.25">
      <c r="A54" s="183" t="s">
        <v>68</v>
      </c>
      <c r="B54" s="127">
        <f>+PCR!N67</f>
        <v>7.5000000000000012E-4</v>
      </c>
      <c r="C54" s="128">
        <f>+PCR!O67</f>
        <v>7.5000000000000012E-4</v>
      </c>
      <c r="D54" s="128">
        <f>+PCR!P67</f>
        <v>9.5833333333333328E-4</v>
      </c>
      <c r="E54" s="128">
        <f>+PCR!Q67</f>
        <v>9.5833333333333328E-4</v>
      </c>
      <c r="F54" s="128">
        <f>+PCR!R67</f>
        <v>9.5833333333333328E-4</v>
      </c>
      <c r="G54" s="128">
        <f>+PCR!S67</f>
        <v>1.175E-3</v>
      </c>
      <c r="H54" s="128">
        <f>+PCR!T67</f>
        <v>1.1598750000000001E-3</v>
      </c>
      <c r="I54" s="128">
        <f>+PCR!U67</f>
        <v>1.22248E-3</v>
      </c>
      <c r="J54" s="128">
        <f>+PCR!V67</f>
        <v>1.2068966666666666E-3</v>
      </c>
      <c r="K54" s="213">
        <f>+PCR!W67</f>
        <v>1.2090250000000001E-3</v>
      </c>
      <c r="L54" s="213">
        <f>+PCR!X67</f>
        <v>1.2023907500000001E-3</v>
      </c>
      <c r="M54" s="213">
        <f>+PCR!Y67</f>
        <v>1.4779508333333333E-3</v>
      </c>
      <c r="N54" s="213">
        <f>+PCR!Z67</f>
        <v>1.4294883333333334E-3</v>
      </c>
      <c r="O54" s="213">
        <f>+PCR!AA67</f>
        <v>1.5229716666666667E-3</v>
      </c>
      <c r="P54" s="213">
        <f>+PCR!AB67</f>
        <v>1.7116216666666665E-3</v>
      </c>
      <c r="Q54" s="213">
        <f>+PCR!AC67</f>
        <v>1.9259966666666664E-3</v>
      </c>
      <c r="R54" s="213">
        <f>+PCR!AD67</f>
        <v>1.8323291666666665E-3</v>
      </c>
      <c r="S54" s="213">
        <f>+PCR!AE67</f>
        <v>1.8996341666666667E-3</v>
      </c>
      <c r="T54" s="213">
        <f>+PCR!AF67</f>
        <v>1.9559741666666667E-3</v>
      </c>
      <c r="U54" s="213">
        <f>+PCR!AG67</f>
        <v>1.9378716666666664E-3</v>
      </c>
      <c r="V54" s="213">
        <f>+PCR!AH67</f>
        <v>1.9408016666666668E-3</v>
      </c>
      <c r="W54" s="213">
        <f>+PCR!AI67</f>
        <v>2.0478441666666666E-3</v>
      </c>
      <c r="X54" s="127">
        <f>+PCR!AJ67</f>
        <v>2.0478441666666666E-3</v>
      </c>
      <c r="Y54" s="128">
        <f>+PCR!AK67</f>
        <v>2.0478441666666666E-3</v>
      </c>
      <c r="Z54" s="214">
        <f>+PCR!AL67</f>
        <v>2.0478441666666666E-3</v>
      </c>
    </row>
    <row r="55" spans="1:26" x14ac:dyDescent="0.25">
      <c r="A55" s="183" t="s">
        <v>0</v>
      </c>
      <c r="B55" s="114">
        <f t="shared" ref="B55:Z55" si="69">B48*B$54</f>
        <v>-59.823525000000011</v>
      </c>
      <c r="C55" s="118">
        <f t="shared" si="69"/>
        <v>-92.631464838647787</v>
      </c>
      <c r="D55" s="118">
        <f t="shared" si="69"/>
        <v>10.295425303332511</v>
      </c>
      <c r="E55" s="118">
        <f t="shared" si="69"/>
        <v>173.63680972228636</v>
      </c>
      <c r="F55" s="118">
        <f t="shared" si="69"/>
        <v>359.70771559718588</v>
      </c>
      <c r="G55" s="118">
        <f t="shared" si="69"/>
        <v>483.64705432917214</v>
      </c>
      <c r="H55" s="118">
        <f t="shared" si="69"/>
        <v>282.93301596100684</v>
      </c>
      <c r="I55" s="118">
        <f t="shared" si="69"/>
        <v>80.174037183390283</v>
      </c>
      <c r="J55" s="118">
        <f t="shared" si="69"/>
        <v>73.571817019136802</v>
      </c>
      <c r="K55" s="115">
        <f t="shared" si="69"/>
        <v>165.19038038385224</v>
      </c>
      <c r="L55" s="115">
        <f t="shared" ref="L55:V55" si="70">L48*L$54</f>
        <v>342.31245110352967</v>
      </c>
      <c r="M55" s="115">
        <f t="shared" si="70"/>
        <v>422.73076371788284</v>
      </c>
      <c r="N55" s="115">
        <f t="shared" si="70"/>
        <v>-117.43516071060991</v>
      </c>
      <c r="O55" s="115">
        <f t="shared" si="70"/>
        <v>-441.33264512685281</v>
      </c>
      <c r="P55" s="115">
        <f t="shared" si="70"/>
        <v>-566.76031098015903</v>
      </c>
      <c r="Q55" s="115">
        <f t="shared" si="70"/>
        <v>-671.66298205367616</v>
      </c>
      <c r="R55" s="115">
        <f t="shared" si="70"/>
        <v>-441.23360643203682</v>
      </c>
      <c r="S55" s="115">
        <f t="shared" si="70"/>
        <v>-751.60241910673301</v>
      </c>
      <c r="T55" s="115">
        <f t="shared" si="70"/>
        <v>-1349.8268547146224</v>
      </c>
      <c r="U55" s="115">
        <f t="shared" si="70"/>
        <v>-1718.4032628423497</v>
      </c>
      <c r="V55" s="115">
        <f t="shared" si="70"/>
        <v>-2040.2304757935847</v>
      </c>
      <c r="W55" s="115">
        <f>W48*W$54</f>
        <v>-2113.8963802506282</v>
      </c>
      <c r="X55" s="114">
        <f>X48*X$54</f>
        <v>-1940.1914044661034</v>
      </c>
      <c r="Y55" s="118">
        <f t="shared" si="69"/>
        <v>-2191.4514123714694</v>
      </c>
      <c r="Z55" s="119">
        <f t="shared" si="69"/>
        <v>-4229.9085988052502</v>
      </c>
    </row>
    <row r="56" spans="1:26" x14ac:dyDescent="0.25">
      <c r="A56" s="183" t="s">
        <v>4</v>
      </c>
      <c r="B56" s="114">
        <f t="shared" ref="B56:Z56" si="71">B49*B$54</f>
        <v>-4.6608300000000007</v>
      </c>
      <c r="C56" s="118">
        <f t="shared" si="71"/>
        <v>-3.3260448706821584</v>
      </c>
      <c r="D56" s="118">
        <f t="shared" si="71"/>
        <v>4.4031792217834163</v>
      </c>
      <c r="E56" s="118">
        <f t="shared" si="71"/>
        <v>16.958362001507449</v>
      </c>
      <c r="F56" s="118">
        <f t="shared" si="71"/>
        <v>30.051815499492747</v>
      </c>
      <c r="G56" s="118">
        <f t="shared" si="71"/>
        <v>40.822380532927895</v>
      </c>
      <c r="H56" s="118">
        <f t="shared" si="71"/>
        <v>32.425216340592449</v>
      </c>
      <c r="I56" s="118">
        <f t="shared" si="71"/>
        <v>24.986431783486587</v>
      </c>
      <c r="J56" s="118">
        <f t="shared" si="71"/>
        <v>25.128307861782183</v>
      </c>
      <c r="K56" s="115">
        <f t="shared" si="71"/>
        <v>29.987915780857822</v>
      </c>
      <c r="L56" s="115">
        <f t="shared" ref="L56:V56" si="72">L49*L$54</f>
        <v>42.898687181520501</v>
      </c>
      <c r="M56" s="115">
        <f t="shared" si="72"/>
        <v>60.340197805319988</v>
      </c>
      <c r="N56" s="115">
        <f t="shared" si="72"/>
        <v>36.915021787464738</v>
      </c>
      <c r="O56" s="115">
        <f t="shared" si="72"/>
        <v>28.014720848628873</v>
      </c>
      <c r="P56" s="115">
        <f t="shared" si="72"/>
        <v>34.592904011451843</v>
      </c>
      <c r="Q56" s="115">
        <f t="shared" si="72"/>
        <v>44.288513817341567</v>
      </c>
      <c r="R56" s="115">
        <f t="shared" si="72"/>
        <v>57.994356517615351</v>
      </c>
      <c r="S56" s="115">
        <f t="shared" si="72"/>
        <v>47.312393237418746</v>
      </c>
      <c r="T56" s="115">
        <f t="shared" si="72"/>
        <v>20.545829619197541</v>
      </c>
      <c r="U56" s="115">
        <f t="shared" si="72"/>
        <v>2.7118024121630091</v>
      </c>
      <c r="V56" s="115">
        <f t="shared" si="72"/>
        <v>-12.444370442424139</v>
      </c>
      <c r="W56" s="115">
        <f t="shared" ref="W56" si="73">W49*W$54</f>
        <v>-10.619550191476936</v>
      </c>
      <c r="X56" s="114">
        <f t="shared" si="71"/>
        <v>6.2558245429767716</v>
      </c>
      <c r="Y56" s="118">
        <f t="shared" si="71"/>
        <v>3.1202034139871944</v>
      </c>
      <c r="Z56" s="119">
        <f t="shared" si="71"/>
        <v>-165.35073004880957</v>
      </c>
    </row>
    <row r="57" spans="1:26" x14ac:dyDescent="0.25">
      <c r="A57" s="183" t="s">
        <v>5</v>
      </c>
      <c r="B57" s="114">
        <f t="shared" ref="B57:Z57" si="74">B50*B$54</f>
        <v>-14.221237500000003</v>
      </c>
      <c r="C57" s="118">
        <f t="shared" si="74"/>
        <v>3.1941292665336278</v>
      </c>
      <c r="D57" s="118">
        <f t="shared" si="74"/>
        <v>38.390932435403847</v>
      </c>
      <c r="E57" s="118">
        <f t="shared" si="74"/>
        <v>80.477292318709161</v>
      </c>
      <c r="F57" s="118">
        <f t="shared" si="74"/>
        <v>115.964139820508</v>
      </c>
      <c r="G57" s="118">
        <f t="shared" si="74"/>
        <v>146.01345100979341</v>
      </c>
      <c r="H57" s="118">
        <f t="shared" si="74"/>
        <v>119.06769782276</v>
      </c>
      <c r="I57" s="118">
        <f t="shared" si="74"/>
        <v>92.066190529024936</v>
      </c>
      <c r="J57" s="118">
        <f t="shared" si="74"/>
        <v>79.390151244691396</v>
      </c>
      <c r="K57" s="115">
        <f t="shared" si="74"/>
        <v>82.14522983921465</v>
      </c>
      <c r="L57" s="115">
        <f t="shared" ref="L57:V57" si="75">L50*L$54</f>
        <v>120.10187474712322</v>
      </c>
      <c r="M57" s="115">
        <f t="shared" si="75"/>
        <v>180.39125560322626</v>
      </c>
      <c r="N57" s="115">
        <f t="shared" si="75"/>
        <v>146.2255629756863</v>
      </c>
      <c r="O57" s="115">
        <f t="shared" si="75"/>
        <v>161.64614183330826</v>
      </c>
      <c r="P57" s="115">
        <f t="shared" si="75"/>
        <v>222.19402563580988</v>
      </c>
      <c r="Q57" s="115">
        <f t="shared" si="75"/>
        <v>291.26449067091863</v>
      </c>
      <c r="R57" s="115">
        <f t="shared" si="75"/>
        <v>317.91883816607719</v>
      </c>
      <c r="S57" s="115">
        <f t="shared" si="75"/>
        <v>274.64561150988254</v>
      </c>
      <c r="T57" s="115">
        <f t="shared" si="75"/>
        <v>188.42717533768015</v>
      </c>
      <c r="U57" s="115">
        <f t="shared" si="75"/>
        <v>127.30214468751552</v>
      </c>
      <c r="V57" s="115">
        <f t="shared" si="75"/>
        <v>56.990956554203656</v>
      </c>
      <c r="W57" s="115">
        <f t="shared" ref="W57" si="76">W50*W$54</f>
        <v>46.294887070822178</v>
      </c>
      <c r="X57" s="114">
        <f t="shared" si="74"/>
        <v>99.459137915812548</v>
      </c>
      <c r="Y57" s="118">
        <f t="shared" si="74"/>
        <v>113.14227882353556</v>
      </c>
      <c r="Z57" s="119">
        <f t="shared" si="74"/>
        <v>-519.25330975946758</v>
      </c>
    </row>
    <row r="58" spans="1:26" x14ac:dyDescent="0.25">
      <c r="A58" s="183" t="s">
        <v>6</v>
      </c>
      <c r="B58" s="114">
        <f t="shared" ref="B58:Z58" si="77">B51*B$54</f>
        <v>-4.7367375000000003</v>
      </c>
      <c r="C58" s="118">
        <f t="shared" si="77"/>
        <v>3.1933400385321207</v>
      </c>
      <c r="D58" s="118">
        <f t="shared" si="77"/>
        <v>18.565948367223182</v>
      </c>
      <c r="E58" s="118">
        <f t="shared" si="77"/>
        <v>26.78437389659161</v>
      </c>
      <c r="F58" s="118">
        <f t="shared" si="77"/>
        <v>33.246619553781336</v>
      </c>
      <c r="G58" s="118">
        <f t="shared" si="77"/>
        <v>27.412954671784405</v>
      </c>
      <c r="H58" s="118">
        <f t="shared" si="77"/>
        <v>17.377133528965082</v>
      </c>
      <c r="I58" s="118">
        <f t="shared" si="77"/>
        <v>-1.0370287519634005</v>
      </c>
      <c r="J58" s="118">
        <f t="shared" si="77"/>
        <v>-13.693144525867313</v>
      </c>
      <c r="K58" s="115">
        <f t="shared" si="77"/>
        <v>-22.930403153160299</v>
      </c>
      <c r="L58" s="115">
        <f t="shared" ref="L58:V58" si="78">L51*L$54</f>
        <v>-15.395590669943441</v>
      </c>
      <c r="M58" s="115">
        <f t="shared" si="78"/>
        <v>-17.87854433520647</v>
      </c>
      <c r="N58" s="115">
        <f t="shared" si="78"/>
        <v>-33.716324760262133</v>
      </c>
      <c r="O58" s="115">
        <f t="shared" si="78"/>
        <v>-26.601362817177769</v>
      </c>
      <c r="P58" s="115">
        <f t="shared" si="78"/>
        <v>-17.883451066938211</v>
      </c>
      <c r="Q58" s="115">
        <f t="shared" si="78"/>
        <v>11.356202250027751</v>
      </c>
      <c r="R58" s="115">
        <f t="shared" si="78"/>
        <v>8.4862155820093896</v>
      </c>
      <c r="S58" s="115">
        <f t="shared" si="78"/>
        <v>-14.555496475316801</v>
      </c>
      <c r="T58" s="115">
        <f t="shared" si="78"/>
        <v>-48.581939800189012</v>
      </c>
      <c r="U58" s="115">
        <f t="shared" si="78"/>
        <v>-76.95233283340221</v>
      </c>
      <c r="V58" s="115">
        <f t="shared" si="78"/>
        <v>-98.673472878668008</v>
      </c>
      <c r="W58" s="115">
        <f t="shared" ref="W58" si="79">W51*W$54</f>
        <v>-109.09608440638348</v>
      </c>
      <c r="X58" s="114">
        <f t="shared" si="77"/>
        <v>-91.192276422580221</v>
      </c>
      <c r="Y58" s="118">
        <f t="shared" si="77"/>
        <v>-82.092075549171142</v>
      </c>
      <c r="Z58" s="119">
        <f t="shared" si="77"/>
        <v>-355.86452331675787</v>
      </c>
    </row>
    <row r="59" spans="1:26" ht="15.75" thickBot="1" x14ac:dyDescent="0.3">
      <c r="A59" s="183" t="s">
        <v>7</v>
      </c>
      <c r="B59" s="114">
        <f t="shared" ref="B59:Z59" si="80">B52*B$54</f>
        <v>0</v>
      </c>
      <c r="C59" s="118">
        <f t="shared" si="80"/>
        <v>32.726518031764257</v>
      </c>
      <c r="D59" s="118">
        <f t="shared" si="80"/>
        <v>58.044305799844643</v>
      </c>
      <c r="E59" s="118">
        <f t="shared" si="80"/>
        <v>68.190722189712559</v>
      </c>
      <c r="F59" s="118">
        <f t="shared" si="80"/>
        <v>76.899730271018171</v>
      </c>
      <c r="G59" s="118">
        <f t="shared" si="80"/>
        <v>86.967566846049522</v>
      </c>
      <c r="H59" s="118">
        <f t="shared" si="80"/>
        <v>84.681795563273184</v>
      </c>
      <c r="I59" s="118">
        <f t="shared" si="80"/>
        <v>76.257144583601658</v>
      </c>
      <c r="J59" s="118">
        <f t="shared" si="80"/>
        <v>67.983917991137261</v>
      </c>
      <c r="K59" s="115">
        <f t="shared" si="80"/>
        <v>66.03501483861973</v>
      </c>
      <c r="L59" s="115">
        <f t="shared" ref="L59:V59" si="81">L52*L$54</f>
        <v>68.950668914249405</v>
      </c>
      <c r="M59" s="115">
        <f t="shared" si="81"/>
        <v>99.56791518146359</v>
      </c>
      <c r="N59" s="115">
        <f t="shared" si="81"/>
        <v>104.99284307386002</v>
      </c>
      <c r="O59" s="115">
        <f t="shared" si="81"/>
        <v>126.43274298382741</v>
      </c>
      <c r="P59" s="115">
        <f t="shared" si="81"/>
        <v>153.26610833063154</v>
      </c>
      <c r="Q59" s="115">
        <f t="shared" si="81"/>
        <v>192.75979964926051</v>
      </c>
      <c r="R59" s="115">
        <f t="shared" si="81"/>
        <v>181.4921465696446</v>
      </c>
      <c r="S59" s="115">
        <f t="shared" si="81"/>
        <v>167.96401210290702</v>
      </c>
      <c r="T59" s="115">
        <f t="shared" si="81"/>
        <v>179.96753539916034</v>
      </c>
      <c r="U59" s="115">
        <f t="shared" si="81"/>
        <v>151.97544063204776</v>
      </c>
      <c r="V59" s="115">
        <f t="shared" si="81"/>
        <v>137.7060482366559</v>
      </c>
      <c r="W59" s="115">
        <f t="shared" ref="W59" si="82">W52*W$54</f>
        <v>132.5594003847587</v>
      </c>
      <c r="X59" s="114">
        <f t="shared" si="80"/>
        <v>130.24942371601887</v>
      </c>
      <c r="Y59" s="118">
        <f t="shared" si="80"/>
        <v>134.68175278520934</v>
      </c>
      <c r="Z59" s="119">
        <f t="shared" si="80"/>
        <v>-48.379079210339469</v>
      </c>
    </row>
    <row r="60" spans="1:26" ht="16.5" thickTop="1" thickBot="1" x14ac:dyDescent="0.3">
      <c r="A60" s="130" t="s">
        <v>74</v>
      </c>
      <c r="B60" s="134">
        <f>SUM(B55:B59)+SUM(B48:B52)-B63</f>
        <v>0</v>
      </c>
      <c r="C60" s="135">
        <f>SUM(C55:C59)+SUM(C48:C52)-C63</f>
        <v>0</v>
      </c>
      <c r="D60" s="135">
        <f>SUM(D55:D59)+SUM(D48:D52)-D63</f>
        <v>0</v>
      </c>
      <c r="E60" s="135">
        <f t="shared" ref="E60:Z60" si="83">SUM(E55:E59)+SUM(E48:E52)-E63</f>
        <v>0</v>
      </c>
      <c r="F60" s="135">
        <f t="shared" si="83"/>
        <v>0</v>
      </c>
      <c r="G60" s="135">
        <f t="shared" si="83"/>
        <v>0</v>
      </c>
      <c r="H60" s="135">
        <f t="shared" si="83"/>
        <v>0</v>
      </c>
      <c r="I60" s="135">
        <f t="shared" si="83"/>
        <v>0</v>
      </c>
      <c r="J60" s="135">
        <f t="shared" si="83"/>
        <v>0</v>
      </c>
      <c r="K60" s="160">
        <f t="shared" si="83"/>
        <v>0</v>
      </c>
      <c r="L60" s="160">
        <f t="shared" ref="L60:V60" si="84">SUM(L55:L59)+SUM(L48:L52)-L63</f>
        <v>0</v>
      </c>
      <c r="M60" s="160">
        <f t="shared" si="84"/>
        <v>4.6566128730773926E-10</v>
      </c>
      <c r="N60" s="160">
        <f t="shared" si="84"/>
        <v>5.9662852436304092E-10</v>
      </c>
      <c r="O60" s="160">
        <f t="shared" si="84"/>
        <v>5.9662852436304092E-10</v>
      </c>
      <c r="P60" s="160">
        <f t="shared" si="84"/>
        <v>6.2573235481977463E-10</v>
      </c>
      <c r="Q60" s="160">
        <f t="shared" si="84"/>
        <v>9.1677065938711166E-10</v>
      </c>
      <c r="R60" s="160">
        <f t="shared" si="84"/>
        <v>9.3132257461547852E-10</v>
      </c>
      <c r="S60" s="160">
        <f t="shared" si="84"/>
        <v>1.0186340659856796E-9</v>
      </c>
      <c r="T60" s="160">
        <f t="shared" si="84"/>
        <v>9.8953023552894592E-10</v>
      </c>
      <c r="U60" s="160">
        <f t="shared" si="84"/>
        <v>1.280568540096283E-9</v>
      </c>
      <c r="V60" s="160">
        <f t="shared" si="84"/>
        <v>1.3969838619232178E-9</v>
      </c>
      <c r="W60" s="160">
        <f t="shared" ref="W60" si="85">SUM(W55:W59)+SUM(W48:W52)-W63</f>
        <v>1.3969838619232178E-9</v>
      </c>
      <c r="X60" s="131">
        <f>SUM(X55:X59)+SUM(X48:X52)-X63</f>
        <v>1.6298145055770874E-9</v>
      </c>
      <c r="Y60" s="132">
        <f t="shared" si="83"/>
        <v>1.862645149230957E-9</v>
      </c>
      <c r="Z60" s="133">
        <f t="shared" si="83"/>
        <v>0</v>
      </c>
    </row>
    <row r="61" spans="1:26" ht="16.5" thickTop="1" thickBot="1" x14ac:dyDescent="0.3">
      <c r="A61" s="130" t="s">
        <v>75</v>
      </c>
      <c r="B61" s="134">
        <f>SUM(B55:B59)-B38</f>
        <v>-2.3300000000148202E-3</v>
      </c>
      <c r="C61" s="135">
        <f>SUM(C55:C59)-C38</f>
        <v>-3.5223724999440265E-3</v>
      </c>
      <c r="D61" s="135">
        <f t="shared" ref="D61:J61" si="86">SUM(D55:D59)-D38</f>
        <v>-2.0887241240075127E-4</v>
      </c>
      <c r="E61" s="135">
        <f t="shared" si="86"/>
        <v>-2.4398711928483863E-3</v>
      </c>
      <c r="F61" s="135">
        <f t="shared" si="86"/>
        <v>2.0741986077155161E-5</v>
      </c>
      <c r="G61" s="135">
        <f>SUM(G55:G59)-G38</f>
        <v>3.4073897272719478E-3</v>
      </c>
      <c r="H61" s="135">
        <f t="shared" si="86"/>
        <v>4.8592165975378521E-3</v>
      </c>
      <c r="I61" s="135">
        <f t="shared" si="86"/>
        <v>-3.2246724599076515E-3</v>
      </c>
      <c r="J61" s="135">
        <f t="shared" si="86"/>
        <v>1.0495908803136444E-3</v>
      </c>
      <c r="K61" s="160">
        <f>SUM(K55:K59)-K38</f>
        <v>-1.8623106158770497E-3</v>
      </c>
      <c r="L61" s="160">
        <f t="shared" ref="L61:V61" si="87">SUM(L55:L59)-L38</f>
        <v>-1.9087235206143305E-3</v>
      </c>
      <c r="M61" s="160">
        <f t="shared" si="87"/>
        <v>1.5879726862522148E-3</v>
      </c>
      <c r="N61" s="160">
        <f t="shared" si="87"/>
        <v>1.9423661390192137E-3</v>
      </c>
      <c r="O61" s="160">
        <f t="shared" si="87"/>
        <v>-4.0227826599448235E-4</v>
      </c>
      <c r="P61" s="160">
        <f t="shared" si="87"/>
        <v>-7.2406920392609209E-4</v>
      </c>
      <c r="Q61" s="160">
        <f t="shared" si="87"/>
        <v>-3.9756661276442173E-3</v>
      </c>
      <c r="R61" s="160">
        <f t="shared" si="87"/>
        <v>-2.0495966902700502E-3</v>
      </c>
      <c r="S61" s="160">
        <f t="shared" si="87"/>
        <v>4.1012681585357313E-3</v>
      </c>
      <c r="T61" s="160">
        <f t="shared" si="87"/>
        <v>1.745841226693301E-3</v>
      </c>
      <c r="U61" s="160">
        <f t="shared" si="87"/>
        <v>3.792055974372488E-3</v>
      </c>
      <c r="V61" s="160">
        <f t="shared" si="87"/>
        <v>-1.3143238170414406E-3</v>
      </c>
      <c r="W61" s="160">
        <f t="shared" ref="W61" si="88">SUM(W55:W59)-W38</f>
        <v>2.2726070928911213E-3</v>
      </c>
      <c r="X61" s="131">
        <f>SUM(X55:X59)-X38</f>
        <v>1.6611984392511658E-6</v>
      </c>
      <c r="Y61" s="132">
        <f>SUM(Y55:Y59)-Y38</f>
        <v>1.7387985735695111E-6</v>
      </c>
      <c r="Z61" s="133">
        <f>SUM(Z55:Z59)-Z38</f>
        <v>1.7423581084585749E-6</v>
      </c>
    </row>
    <row r="62" spans="1:26" ht="15.75" thickTop="1" x14ac:dyDescent="0.25">
      <c r="B62" s="104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2"/>
      <c r="Y62" s="103"/>
      <c r="Z62" s="106"/>
    </row>
    <row r="63" spans="1:26" x14ac:dyDescent="0.25">
      <c r="A63" s="183" t="s">
        <v>76</v>
      </c>
      <c r="B63" s="114">
        <f>(SUM(B15:B19)-SUM(B22:B26))+SUM(B55:B59)</f>
        <v>-111339.88233000001</v>
      </c>
      <c r="C63" s="118">
        <f>(SUM(C15:C19)-SUM(C22:C26))+SUM(C55:C59)+B63</f>
        <v>-75848.206685705722</v>
      </c>
      <c r="D63" s="118">
        <f t="shared" ref="D63:Z63" si="89">(SUM(D15:D19)-SUM(D22:D26))+SUM(D55:D59)+C63</f>
        <v>135468.6122720885</v>
      </c>
      <c r="E63" s="118">
        <f t="shared" si="89"/>
        <v>382328.71899888391</v>
      </c>
      <c r="F63" s="118">
        <f t="shared" si="89"/>
        <v>643262.84818629269</v>
      </c>
      <c r="G63" s="118">
        <f t="shared" si="89"/>
        <v>668753.72076034895</v>
      </c>
      <c r="H63" s="118">
        <f t="shared" si="89"/>
        <v>463073.27478623216</v>
      </c>
      <c r="I63" s="118">
        <f t="shared" si="89"/>
        <v>223136.44072822644</v>
      </c>
      <c r="J63" s="118">
        <f t="shared" si="89"/>
        <v>192776.66094448394</v>
      </c>
      <c r="K63" s="115">
        <f t="shared" si="89"/>
        <v>265350.62824883987</v>
      </c>
      <c r="L63" s="115">
        <f t="shared" ref="L63" si="90">(SUM(L15:L19)-SUM(L22:L26))+SUM(L55:L59)+K63</f>
        <v>465356.26550678303</v>
      </c>
      <c r="M63" s="115">
        <f t="shared" ref="M63" si="91">(SUM(M15:M19)-SUM(M22:M26))+SUM(M55:M59)+L63</f>
        <v>504924.02626142121</v>
      </c>
      <c r="N63" s="115">
        <f t="shared" ref="N63" si="92">(SUM(N15:N19)-SUM(N22:N26))+SUM(N55:N59)+M63</f>
        <v>95962.837370453926</v>
      </c>
      <c r="O63" s="115">
        <f t="shared" ref="O63" si="93">(SUM(O15:O19)-SUM(O22:O26))+SUM(O55:O59)+N63</f>
        <v>-99851.9238651575</v>
      </c>
      <c r="P63" s="115">
        <f t="shared" ref="P63" si="94">(SUM(P15:P19)-SUM(P22:P26))+SUM(P55:P59)+O63</f>
        <v>-102177.69542255987</v>
      </c>
      <c r="Q63" s="115">
        <f t="shared" ref="Q63" si="95">(SUM(Q15:Q19)-SUM(Q22:Q26))+SUM(Q55:Q59)+P63</f>
        <v>-68664.810231559357</v>
      </c>
      <c r="R63" s="115">
        <f t="shared" ref="R63" si="96">(SUM(R15:R19)-SUM(R22:R26))+SUM(R55:R59)+Q63</f>
        <v>68157.166885510786</v>
      </c>
      <c r="S63" s="115">
        <f t="shared" ref="S63" si="97">(SUM(S15:S19)-SUM(S22:S26))+SUM(S55:S59)+R63</f>
        <v>-145691.54984655426</v>
      </c>
      <c r="T63" s="115">
        <f t="shared" ref="T63" si="98">(SUM(T15:T19)-SUM(T22:T26))+SUM(T55:T59)+S63</f>
        <v>-517104.34893404611</v>
      </c>
      <c r="U63" s="115">
        <f t="shared" ref="U63" si="99">(SUM(U15:U19)-SUM(U22:U26))+SUM(U55:U59)+T63</f>
        <v>-782455.79597532365</v>
      </c>
      <c r="V63" s="115">
        <f t="shared" ref="V63:W63" si="100">(SUM(V15:V19)-SUM(V22:V26))+SUM(V55:V59)+U63</f>
        <v>-1010123.198122981</v>
      </c>
      <c r="W63" s="115">
        <f t="shared" si="100"/>
        <v>-1005430.7766837073</v>
      </c>
      <c r="X63" s="114">
        <f>(SUM(X15:X19)-SUM(X22:X26))+SUM(X55:X59)+W63</f>
        <v>-878531.7080897413</v>
      </c>
      <c r="Y63" s="118">
        <f t="shared" si="89"/>
        <v>-989695.04319190793</v>
      </c>
      <c r="Z63" s="119">
        <f t="shared" si="89"/>
        <v>-2602565.3278873209</v>
      </c>
    </row>
    <row r="64" spans="1:26" ht="15.75" thickBot="1" x14ac:dyDescent="0.3">
      <c r="B64" s="235"/>
      <c r="C64" s="235"/>
      <c r="D64" s="236"/>
      <c r="E64" s="237"/>
      <c r="F64" s="237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137"/>
      <c r="Y64" s="138"/>
      <c r="Z64" s="139"/>
    </row>
    <row r="66" spans="3:23" x14ac:dyDescent="0.25"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</row>
  </sheetData>
  <mergeCells count="1">
    <mergeCell ref="X13:Z13"/>
  </mergeCells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7"/>
  <sheetViews>
    <sheetView workbookViewId="0"/>
  </sheetViews>
  <sheetFormatPr defaultRowHeight="15" x14ac:dyDescent="0.25"/>
  <cols>
    <col min="2" max="2" width="18" customWidth="1"/>
    <col min="3" max="3" width="17.140625" customWidth="1"/>
    <col min="4" max="4" width="14.28515625" bestFit="1" customWidth="1"/>
    <col min="5" max="5" width="11.140625" customWidth="1"/>
    <col min="6" max="6" width="15.140625" customWidth="1"/>
    <col min="7" max="7" width="13.28515625" customWidth="1"/>
  </cols>
  <sheetData>
    <row r="1" spans="1:11" x14ac:dyDescent="0.25">
      <c r="A1" s="8" t="s">
        <v>140</v>
      </c>
      <c r="B1" s="183"/>
      <c r="C1" s="183"/>
    </row>
    <row r="2" spans="1:11" x14ac:dyDescent="0.25">
      <c r="A2" s="183"/>
      <c r="B2" s="230"/>
      <c r="C2" s="230"/>
    </row>
    <row r="3" spans="1:11" x14ac:dyDescent="0.25">
      <c r="A3" s="183"/>
      <c r="B3" s="183"/>
      <c r="C3" s="183"/>
      <c r="K3" s="58" t="s">
        <v>27</v>
      </c>
    </row>
    <row r="4" spans="1:11" x14ac:dyDescent="0.25">
      <c r="A4" s="186" t="s">
        <v>141</v>
      </c>
      <c r="B4" s="161">
        <v>-46000</v>
      </c>
      <c r="C4" s="183"/>
      <c r="D4" s="50"/>
      <c r="K4" s="58" t="s">
        <v>160</v>
      </c>
    </row>
    <row r="6" spans="1:11" ht="15.75" thickBot="1" x14ac:dyDescent="0.3"/>
    <row r="7" spans="1:11" s="183" customFormat="1" ht="15.75" thickBot="1" x14ac:dyDescent="0.3">
      <c r="B7" s="276" t="s">
        <v>8</v>
      </c>
      <c r="C7" s="277"/>
      <c r="D7" s="277"/>
      <c r="E7" s="277"/>
      <c r="F7" s="278"/>
    </row>
    <row r="8" spans="1:11" x14ac:dyDescent="0.25">
      <c r="B8" s="248" t="s">
        <v>144</v>
      </c>
      <c r="C8" s="193" t="s">
        <v>145</v>
      </c>
      <c r="D8" s="193" t="s">
        <v>143</v>
      </c>
      <c r="E8" s="193"/>
      <c r="F8" s="194" t="s">
        <v>148</v>
      </c>
      <c r="G8" s="255" t="s">
        <v>169</v>
      </c>
    </row>
    <row r="9" spans="1:11" x14ac:dyDescent="0.25">
      <c r="A9" s="60" t="s">
        <v>0</v>
      </c>
      <c r="B9" s="258">
        <f>+PCR!E4</f>
        <v>57858252.09432447</v>
      </c>
      <c r="C9" s="191"/>
      <c r="D9" s="191">
        <f>SUM(B9:C9)</f>
        <v>57858252.09432447</v>
      </c>
      <c r="E9" s="253">
        <f>+D9/$D$14</f>
        <v>0.41202976738898861</v>
      </c>
      <c r="F9" s="30">
        <f>+$B$4*E9</f>
        <v>-18953.369299893475</v>
      </c>
      <c r="G9" s="256">
        <f>F9</f>
        <v>-18953.369299893475</v>
      </c>
    </row>
    <row r="10" spans="1:11" x14ac:dyDescent="0.25">
      <c r="A10" s="186" t="s">
        <v>4</v>
      </c>
      <c r="B10" s="258">
        <f>+PCR!E5</f>
        <v>17052517.494293228</v>
      </c>
      <c r="C10" s="191"/>
      <c r="D10" s="191">
        <f>SUM(B10:C10)</f>
        <v>17052517.494293228</v>
      </c>
      <c r="E10" s="253">
        <f t="shared" ref="E10:E13" si="0">+D10/$D$14</f>
        <v>0.12143721184517978</v>
      </c>
      <c r="F10" s="30">
        <f>+$B$4*E10</f>
        <v>-5586.1117448782697</v>
      </c>
      <c r="G10" s="256">
        <f t="shared" ref="G10:G13" si="1">F10</f>
        <v>-5586.1117448782697</v>
      </c>
    </row>
    <row r="11" spans="1:11" x14ac:dyDescent="0.25">
      <c r="A11" s="186" t="s">
        <v>5</v>
      </c>
      <c r="B11" s="258">
        <f>+PCR!E6</f>
        <v>39383925.723664187</v>
      </c>
      <c r="C11" s="191"/>
      <c r="D11" s="191">
        <f>SUM(B11:C11)</f>
        <v>39383925.723664187</v>
      </c>
      <c r="E11" s="253">
        <f t="shared" si="0"/>
        <v>0.28046733469119711</v>
      </c>
      <c r="F11" s="30">
        <f>+$B$4*E11</f>
        <v>-12901.497395795068</v>
      </c>
      <c r="G11" s="256">
        <f t="shared" si="1"/>
        <v>-12901.497395795068</v>
      </c>
    </row>
    <row r="12" spans="1:11" x14ac:dyDescent="0.25">
      <c r="A12" s="186" t="s">
        <v>6</v>
      </c>
      <c r="B12" s="258">
        <f>+PCR!E7</f>
        <v>17485767.949613344</v>
      </c>
      <c r="C12" s="191"/>
      <c r="D12" s="191">
        <f>SUM(B12:C12)</f>
        <v>17485767.949613344</v>
      </c>
      <c r="E12" s="253">
        <f t="shared" si="0"/>
        <v>0.12452254674322852</v>
      </c>
      <c r="F12" s="30">
        <f>+$B$4*E12</f>
        <v>-5728.037150188512</v>
      </c>
      <c r="G12" s="256">
        <f t="shared" si="1"/>
        <v>-5728.037150188512</v>
      </c>
    </row>
    <row r="13" spans="1:11" ht="15.75" thickBot="1" x14ac:dyDescent="0.3">
      <c r="A13" s="186" t="s">
        <v>7</v>
      </c>
      <c r="B13" s="258">
        <f>+PCR!E8</f>
        <v>8642041.7939147819</v>
      </c>
      <c r="C13" s="191"/>
      <c r="D13" s="191">
        <f>SUM(B13:C13)</f>
        <v>8642041.7939147819</v>
      </c>
      <c r="E13" s="253">
        <f t="shared" si="0"/>
        <v>6.1543139331406024E-2</v>
      </c>
      <c r="F13" s="268">
        <f>+$B$4*E13</f>
        <v>-2830.984409244677</v>
      </c>
      <c r="G13" s="256">
        <f t="shared" si="1"/>
        <v>-2830.984409244677</v>
      </c>
    </row>
    <row r="14" spans="1:11" ht="16.5" thickTop="1" thickBot="1" x14ac:dyDescent="0.3">
      <c r="A14" s="186" t="s">
        <v>9</v>
      </c>
      <c r="B14" s="249">
        <f t="shared" ref="B14:F14" si="2">SUM(B9:B13)</f>
        <v>140422505.05581</v>
      </c>
      <c r="C14" s="250"/>
      <c r="D14" s="250">
        <f t="shared" si="2"/>
        <v>140422505.05581</v>
      </c>
      <c r="E14" s="254">
        <f t="shared" si="2"/>
        <v>1</v>
      </c>
      <c r="F14" s="251">
        <f t="shared" si="2"/>
        <v>-46000.000000000007</v>
      </c>
      <c r="G14" s="257">
        <f t="shared" ref="G14" si="3">SUM(G9:G13)</f>
        <v>-46000.000000000007</v>
      </c>
    </row>
    <row r="17" spans="2:2" x14ac:dyDescent="0.25">
      <c r="B17" s="50"/>
    </row>
  </sheetData>
  <mergeCells count="1">
    <mergeCell ref="B7:F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 xmlns="$ListId:Library;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13BEADAB69841AF30C364162AA0DA" ma:contentTypeVersion="" ma:contentTypeDescription="Create a new document." ma:contentTypeScope="" ma:versionID="3b980dff7a6dd4c3859d25a9edd0d71c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680F6-EEBC-41A4-AEB5-0B773B5EACA2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$ListId:Library;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4962EB-75A7-453C-AF78-1868C9B5B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PPC</vt:lpstr>
      <vt:lpstr>PCR</vt:lpstr>
      <vt:lpstr>PTD</vt:lpstr>
      <vt:lpstr>TDR</vt:lpstr>
      <vt:lpstr>PI (M1)</vt:lpstr>
      <vt:lpstr>PIR (M1)</vt:lpstr>
      <vt:lpstr>EO</vt:lpstr>
      <vt:lpstr>EOR</vt:lpstr>
      <vt:lpstr>OA</vt:lpstr>
      <vt:lpstr>OAR</vt:lpstr>
      <vt:lpstr>tariff tables</vt:lpstr>
      <vt:lpstr>tariff tables (M1)</vt:lpstr>
      <vt:lpstr>sheet 91.11</vt:lpstr>
      <vt:lpstr>OAR!Print_Area</vt:lpstr>
      <vt:lpstr>PCR!Print_Area</vt:lpstr>
      <vt:lpstr>'PIR (M1)'!Print_Area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Logan, Raysene</cp:lastModifiedBy>
  <cp:lastPrinted>2017-05-01T15:15:41Z</cp:lastPrinted>
  <dcterms:created xsi:type="dcterms:W3CDTF">2013-08-12T19:20:10Z</dcterms:created>
  <dcterms:modified xsi:type="dcterms:W3CDTF">2018-11-15T17:23:38Z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0x0101007DB13BEADAB69841AF30C364162AA0DA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Order">
    <vt:r8>3300</vt:r8>
  </property>
  <property fmtid="{D5CDD505-2E9C-101B-9397-08002B2CF9AE}" pid="5" name="SV_HIDDEN_GRID_QUERY_LIST_4F35BF76-6C0D-4D9B-82B2-816C12CF3733">
    <vt:lpwstr>empty_477D106A-C0D6-4607-AEBD-E2C9D60EA279</vt:lpwstr>
  </property>
</Properties>
</file>