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435" windowWidth="19035" windowHeight="11535"/>
  </bookViews>
  <sheets>
    <sheet name="2011-2023" sheetId="4" r:id="rId1"/>
    <sheet name="NEW Descriptions of Headings" sheetId="8" r:id="rId2"/>
  </sheets>
  <definedNames>
    <definedName name="_xlnm.Print_Area" localSheetId="0">'2011-2023'!$A$3:$O$83</definedName>
  </definedNames>
  <calcPr calcId="145621"/>
</workbook>
</file>

<file path=xl/calcChain.xml><?xml version="1.0" encoding="utf-8"?>
<calcChain xmlns="http://schemas.openxmlformats.org/spreadsheetml/2006/main">
  <c r="G7" i="4" l="1"/>
  <c r="F48" i="4" l="1"/>
  <c r="F36" i="4"/>
  <c r="E35" i="4"/>
  <c r="D35" i="4" l="1"/>
  <c r="C7" i="4"/>
  <c r="N7" i="4"/>
  <c r="N10" i="4"/>
  <c r="E42" i="4"/>
  <c r="D42" i="4"/>
  <c r="C42" i="4"/>
  <c r="G51" i="4"/>
  <c r="F51" i="4"/>
  <c r="O39" i="4"/>
  <c r="N39" i="4"/>
  <c r="M39" i="4"/>
  <c r="L39" i="4"/>
  <c r="K39" i="4"/>
  <c r="J39" i="4"/>
  <c r="I39" i="4"/>
  <c r="H39" i="4"/>
  <c r="G39" i="4"/>
  <c r="F39" i="4"/>
  <c r="H28" i="4"/>
  <c r="I28" i="4"/>
  <c r="J28" i="4"/>
  <c r="K28" i="4"/>
  <c r="L28" i="4"/>
  <c r="M28" i="4"/>
  <c r="N28" i="4"/>
  <c r="O28" i="4"/>
  <c r="C35" i="4" l="1"/>
  <c r="O51" i="4"/>
  <c r="N51" i="4"/>
  <c r="M51" i="4"/>
  <c r="L51" i="4"/>
  <c r="K51" i="4"/>
  <c r="J51" i="4"/>
  <c r="I51" i="4"/>
  <c r="H51" i="4"/>
  <c r="E39" i="4"/>
  <c r="D39" i="4"/>
  <c r="O41" i="4"/>
  <c r="N41" i="4"/>
  <c r="M41" i="4"/>
  <c r="L41" i="4"/>
  <c r="K41" i="4"/>
  <c r="J41" i="4"/>
  <c r="I41" i="4"/>
  <c r="H41" i="4"/>
  <c r="G41" i="4"/>
  <c r="F41" i="4"/>
  <c r="E41" i="4"/>
  <c r="O40" i="4"/>
  <c r="N40" i="4"/>
  <c r="M40" i="4"/>
  <c r="L40" i="4"/>
  <c r="K40" i="4"/>
  <c r="J40" i="4"/>
  <c r="I40" i="4"/>
  <c r="H40" i="4"/>
  <c r="G40" i="4"/>
  <c r="F40" i="4"/>
  <c r="E40" i="4"/>
  <c r="D41" i="4"/>
  <c r="D40" i="4"/>
  <c r="C41" i="4"/>
  <c r="G30" i="4"/>
  <c r="F30" i="4"/>
  <c r="G28" i="4"/>
  <c r="F28" i="4"/>
  <c r="E28" i="4"/>
  <c r="D28" i="4"/>
  <c r="E30" i="4"/>
  <c r="D30" i="4"/>
  <c r="C30" i="4"/>
  <c r="H30" i="4" l="1"/>
  <c r="E51" i="4" l="1"/>
  <c r="D51" i="4"/>
  <c r="C51" i="4"/>
  <c r="E48" i="4" l="1"/>
  <c r="D48" i="4" s="1"/>
  <c r="C48" i="4" s="1"/>
  <c r="C22" i="4" l="1"/>
  <c r="H23" i="4" l="1"/>
  <c r="L38" i="4"/>
  <c r="L37" i="4" s="1"/>
  <c r="H38" i="4"/>
  <c r="H37" i="4" s="1"/>
  <c r="D38" i="4"/>
  <c r="D37" i="4" s="1"/>
  <c r="O38" i="4"/>
  <c r="G38" i="4"/>
  <c r="G37" i="4" s="1"/>
  <c r="C38" i="4"/>
  <c r="C37" i="4" s="1"/>
  <c r="N38" i="4"/>
  <c r="N37" i="4" s="1"/>
  <c r="F38" i="4"/>
  <c r="M38" i="4"/>
  <c r="M37" i="4" s="1"/>
  <c r="I38" i="4"/>
  <c r="I37" i="4" s="1"/>
  <c r="K38" i="4"/>
  <c r="K37" i="4" s="1"/>
  <c r="J38" i="4"/>
  <c r="E38" i="4"/>
  <c r="E37" i="4" s="1"/>
  <c r="O37" i="4"/>
  <c r="F37" i="4"/>
  <c r="J37" i="4"/>
  <c r="F19" i="4"/>
  <c r="C13" i="4"/>
  <c r="I19" i="4"/>
  <c r="O19" i="4"/>
  <c r="D19" i="4"/>
  <c r="J19" i="4"/>
  <c r="L19" i="4"/>
  <c r="G19" i="4"/>
  <c r="N19" i="4"/>
  <c r="H19" i="4"/>
  <c r="C19" i="4"/>
  <c r="K19" i="4"/>
  <c r="E19" i="4"/>
  <c r="M19" i="4"/>
  <c r="L23" i="4"/>
  <c r="C23" i="4"/>
  <c r="M23" i="4"/>
  <c r="N23" i="4"/>
  <c r="O23" i="4"/>
  <c r="F23" i="4"/>
  <c r="J23" i="4"/>
  <c r="K23" i="4"/>
  <c r="G23" i="4"/>
  <c r="D23" i="4"/>
  <c r="I23" i="4"/>
  <c r="E23" i="4"/>
  <c r="O27" i="4"/>
  <c r="N27" i="4"/>
  <c r="M27" i="4"/>
  <c r="L27" i="4"/>
  <c r="K27" i="4"/>
  <c r="J27" i="4"/>
  <c r="I27" i="4"/>
  <c r="H27" i="4"/>
  <c r="G27" i="4"/>
  <c r="F27" i="4"/>
  <c r="E27" i="4"/>
  <c r="D27" i="4"/>
  <c r="C27" i="4"/>
  <c r="C31" i="4" s="1"/>
  <c r="O22" i="4"/>
  <c r="N22" i="4"/>
  <c r="M22" i="4"/>
  <c r="L22" i="4"/>
  <c r="K22" i="4"/>
  <c r="J22" i="4"/>
  <c r="I22" i="4"/>
  <c r="H22" i="4"/>
  <c r="G22" i="4"/>
  <c r="F22" i="4"/>
  <c r="E22" i="4"/>
  <c r="D22" i="4"/>
  <c r="D31" i="4" l="1"/>
  <c r="E31" i="4" s="1"/>
  <c r="C24" i="4"/>
  <c r="G48" i="4"/>
  <c r="H48" i="4" s="1"/>
  <c r="I48" i="4" s="1"/>
  <c r="J48" i="4" s="1"/>
  <c r="K48" i="4" s="1"/>
  <c r="L48" i="4" s="1"/>
  <c r="M48" i="4" s="1"/>
  <c r="N48" i="4" s="1"/>
  <c r="O48" i="4" s="1"/>
  <c r="E32" i="4" l="1"/>
  <c r="F31" i="4"/>
  <c r="C32" i="4"/>
  <c r="D32" i="4"/>
  <c r="C25" i="4"/>
  <c r="D24" i="4"/>
  <c r="C50" i="4" l="1"/>
  <c r="C43" i="4"/>
  <c r="C45" i="4" s="1"/>
  <c r="G31" i="4"/>
  <c r="F32" i="4"/>
  <c r="C54" i="4"/>
  <c r="C49" i="4" s="1"/>
  <c r="C56" i="4" s="1"/>
  <c r="E24" i="4"/>
  <c r="D25" i="4"/>
  <c r="G36" i="4"/>
  <c r="C59" i="4" l="1"/>
  <c r="C60" i="4" s="1"/>
  <c r="D50" i="4"/>
  <c r="D43" i="4"/>
  <c r="D45" i="4" s="1"/>
  <c r="H31" i="4"/>
  <c r="G32" i="4"/>
  <c r="D54" i="4"/>
  <c r="D49" i="4" s="1"/>
  <c r="D56" i="4" s="1"/>
  <c r="F24" i="4"/>
  <c r="E25" i="4"/>
  <c r="H36" i="4"/>
  <c r="D59" i="4" l="1"/>
  <c r="D60" i="4" s="1"/>
  <c r="E50" i="4"/>
  <c r="E43" i="4"/>
  <c r="E45" i="4" s="1"/>
  <c r="H32" i="4"/>
  <c r="E54" i="4"/>
  <c r="G24" i="4"/>
  <c r="F25" i="4"/>
  <c r="I36" i="4"/>
  <c r="E49" i="4" l="1"/>
  <c r="E56" i="4" s="1"/>
  <c r="E59" i="4" s="1"/>
  <c r="E60" i="4" s="1"/>
  <c r="F50" i="4"/>
  <c r="F43" i="4"/>
  <c r="F45" i="4" s="1"/>
  <c r="F54" i="4"/>
  <c r="H24" i="4"/>
  <c r="G25" i="4"/>
  <c r="J36" i="4"/>
  <c r="F17" i="4"/>
  <c r="G17" i="4" s="1"/>
  <c r="G50" i="4" l="1"/>
  <c r="G43" i="4"/>
  <c r="G45" i="4" s="1"/>
  <c r="F49" i="4"/>
  <c r="F56" i="4" s="1"/>
  <c r="F59" i="4" s="1"/>
  <c r="G54" i="4"/>
  <c r="I24" i="4"/>
  <c r="H25" i="4"/>
  <c r="H17" i="4"/>
  <c r="I17" i="4" s="1"/>
  <c r="K36" i="4"/>
  <c r="L36" i="4" s="1"/>
  <c r="M36" i="4" s="1"/>
  <c r="G49" i="4" l="1"/>
  <c r="G56" i="4" s="1"/>
  <c r="J17" i="4"/>
  <c r="I30" i="4"/>
  <c r="I31" i="4" s="1"/>
  <c r="H50" i="4"/>
  <c r="H43" i="4"/>
  <c r="H45" i="4" s="1"/>
  <c r="H54" i="4"/>
  <c r="I25" i="4"/>
  <c r="I50" i="4" s="1"/>
  <c r="J24" i="4"/>
  <c r="H49" i="4" l="1"/>
  <c r="H56" i="4" s="1"/>
  <c r="I32" i="4"/>
  <c r="I43" i="4" s="1"/>
  <c r="I45" i="4" s="1"/>
  <c r="K17" i="4"/>
  <c r="J30" i="4"/>
  <c r="J31" i="4" s="1"/>
  <c r="K24" i="4"/>
  <c r="J25" i="4"/>
  <c r="J50" i="4" s="1"/>
  <c r="I54" i="4" l="1"/>
  <c r="I49" i="4" s="1"/>
  <c r="I56" i="4" s="1"/>
  <c r="J32" i="4"/>
  <c r="J43" i="4" s="1"/>
  <c r="J45" i="4" s="1"/>
  <c r="L17" i="4"/>
  <c r="K30" i="4"/>
  <c r="K31" i="4" s="1"/>
  <c r="L24" i="4"/>
  <c r="K25" i="4"/>
  <c r="K50" i="4" s="1"/>
  <c r="N36" i="4"/>
  <c r="J54" i="4" l="1"/>
  <c r="J49" i="4" s="1"/>
  <c r="J56" i="4" s="1"/>
  <c r="M17" i="4"/>
  <c r="L30" i="4"/>
  <c r="L31" i="4" s="1"/>
  <c r="K32" i="4"/>
  <c r="K43" i="4" s="1"/>
  <c r="K45" i="4" s="1"/>
  <c r="M24" i="4"/>
  <c r="L25" i="4"/>
  <c r="L50" i="4" s="1"/>
  <c r="F60" i="4"/>
  <c r="O36" i="4"/>
  <c r="K54" i="4" l="1"/>
  <c r="K49" i="4" s="1"/>
  <c r="K56" i="4" s="1"/>
  <c r="L32" i="4"/>
  <c r="L43" i="4" s="1"/>
  <c r="L45" i="4" s="1"/>
  <c r="N17" i="4"/>
  <c r="M30" i="4"/>
  <c r="M31" i="4" s="1"/>
  <c r="N24" i="4"/>
  <c r="M25" i="4"/>
  <c r="M50" i="4" s="1"/>
  <c r="G59" i="4"/>
  <c r="G60" i="4" s="1"/>
  <c r="O17" i="4" l="1"/>
  <c r="O30" i="4" s="1"/>
  <c r="N30" i="4"/>
  <c r="N31" i="4" s="1"/>
  <c r="L54" i="4"/>
  <c r="L49" i="4" s="1"/>
  <c r="L56" i="4" s="1"/>
  <c r="M32" i="4"/>
  <c r="M43" i="4" s="1"/>
  <c r="M45" i="4" s="1"/>
  <c r="O24" i="4"/>
  <c r="O25" i="4" s="1"/>
  <c r="O50" i="4" s="1"/>
  <c r="N25" i="4"/>
  <c r="N50" i="4" s="1"/>
  <c r="M54" i="4" l="1"/>
  <c r="M49" i="4" s="1"/>
  <c r="M56" i="4" s="1"/>
  <c r="O31" i="4"/>
  <c r="O32" i="4" s="1"/>
  <c r="O43" i="4" s="1"/>
  <c r="O45" i="4" s="1"/>
  <c r="N32" i="4"/>
  <c r="N43" i="4" s="1"/>
  <c r="N45" i="4" s="1"/>
  <c r="H59" i="4"/>
  <c r="H60" i="4" s="1"/>
  <c r="O54" i="4" l="1"/>
  <c r="O49" i="4" s="1"/>
  <c r="O56" i="4" s="1"/>
  <c r="N54" i="4"/>
  <c r="N49" i="4" s="1"/>
  <c r="N56" i="4" s="1"/>
  <c r="I59" i="4"/>
  <c r="I60" i="4" s="1"/>
  <c r="J59" i="4" l="1"/>
  <c r="J60" i="4" s="1"/>
  <c r="K59" i="4"/>
  <c r="K60" i="4" s="1"/>
  <c r="L59" i="4" l="1"/>
  <c r="L60" i="4" s="1"/>
  <c r="M59" i="4"/>
  <c r="M60" i="4" s="1"/>
  <c r="N59" i="4" l="1"/>
  <c r="N60" i="4" s="1"/>
  <c r="O59" i="4" l="1"/>
  <c r="O60" i="4" s="1"/>
  <c r="C66" i="4" l="1"/>
  <c r="F62" i="4"/>
</calcChain>
</file>

<file path=xl/comments1.xml><?xml version="1.0" encoding="utf-8"?>
<comments xmlns="http://schemas.openxmlformats.org/spreadsheetml/2006/main">
  <authors>
    <author>sbrady</author>
  </authors>
  <commentList>
    <comment ref="C7" authorId="0">
      <text>
        <r>
          <rPr>
            <b/>
            <sz val="9"/>
            <color indexed="81"/>
            <rFont val="Tahoma"/>
            <family val="2"/>
          </rPr>
          <t>sbrady:</t>
        </r>
        <r>
          <rPr>
            <sz val="9"/>
            <color indexed="81"/>
            <rFont val="Tahoma"/>
            <family val="2"/>
          </rPr>
          <t xml:space="preserve">
Current (PRB) coal costs according to Ameren Annual Report: $37.36/ton translates to roughly $22/MWh assuming 10,000 Btu/kWh heatrate. Coal makes up 73.5% of energy mix, with 20.6% being Nuclear. (natural gas is 0.2%)
Assuming generation assets are fully depreciated, the remaingin costs include O&amp;M and fuel costs: EIA AEO2014 fixed+variable&amp;fuel  for coal = $34.5/MWh, for nuclear = $23.6/MWh
</t>
        </r>
      </text>
    </comment>
    <comment ref="C23" authorId="0">
      <text>
        <r>
          <rPr>
            <b/>
            <sz val="9"/>
            <color indexed="81"/>
            <rFont val="Tahoma"/>
            <family val="2"/>
          </rPr>
          <t>sbrady:</t>
        </r>
        <r>
          <rPr>
            <sz val="9"/>
            <color indexed="81"/>
            <rFont val="Tahoma"/>
            <family val="2"/>
          </rPr>
          <t xml:space="preserve">
Existing wind + existing hydro</t>
        </r>
      </text>
    </comment>
    <comment ref="D23" authorId="0">
      <text>
        <r>
          <rPr>
            <b/>
            <sz val="9"/>
            <color indexed="81"/>
            <rFont val="Tahoma"/>
            <family val="2"/>
          </rPr>
          <t>sbrady:</t>
        </r>
        <r>
          <rPr>
            <sz val="9"/>
            <color indexed="81"/>
            <rFont val="Tahoma"/>
            <family val="2"/>
          </rPr>
          <t xml:space="preserve">
Existing wind + existing hydro + existing landfill gas</t>
        </r>
      </text>
    </comment>
    <comment ref="E23" authorId="0">
      <text>
        <r>
          <rPr>
            <b/>
            <sz val="9"/>
            <color indexed="81"/>
            <rFont val="Tahoma"/>
            <family val="2"/>
          </rPr>
          <t>sbrady:</t>
        </r>
        <r>
          <rPr>
            <sz val="9"/>
            <color indexed="81"/>
            <rFont val="Tahoma"/>
            <family val="2"/>
          </rPr>
          <t xml:space="preserve">
Existing wind + existing hydro + existing landfill gas</t>
        </r>
      </text>
    </comment>
    <comment ref="J23" authorId="0">
      <text>
        <r>
          <rPr>
            <b/>
            <sz val="9"/>
            <color indexed="81"/>
            <rFont val="Tahoma"/>
            <family val="2"/>
          </rPr>
          <t>sbrady:</t>
        </r>
        <r>
          <rPr>
            <sz val="9"/>
            <color indexed="81"/>
            <rFont val="Tahoma"/>
            <family val="2"/>
          </rPr>
          <t xml:space="preserve">
Existing wind + existing hydro + existing landfill gas</t>
        </r>
      </text>
    </comment>
    <comment ref="K25" authorId="0">
      <text>
        <r>
          <rPr>
            <b/>
            <sz val="9"/>
            <color indexed="81"/>
            <rFont val="Tahoma"/>
            <charset val="1"/>
          </rPr>
          <t>sbrady:</t>
        </r>
        <r>
          <rPr>
            <sz val="9"/>
            <color indexed="81"/>
            <rFont val="Tahoma"/>
            <charset val="1"/>
          </rPr>
          <t xml:space="preserve">
Green Hghlight denotes start of non-solar RES need</t>
        </r>
      </text>
    </comment>
  </commentList>
</comments>
</file>

<file path=xl/sharedStrings.xml><?xml version="1.0" encoding="utf-8"?>
<sst xmlns="http://schemas.openxmlformats.org/spreadsheetml/2006/main" count="97" uniqueCount="78">
  <si>
    <t>RES Portfolio Requirements</t>
  </si>
  <si>
    <t>Existing generation to serve load (MWh)</t>
  </si>
  <si>
    <t>Non-solar RES Requirements (MWh)</t>
  </si>
  <si>
    <t>Solar RES Requirements (MWh)</t>
  </si>
  <si>
    <t>S-REC Cost ($)</t>
  </si>
  <si>
    <t>Solar Rebate Payment ($MM)</t>
  </si>
  <si>
    <t>New solar needed to meet RES (or S-REC purchases) (MWh)</t>
  </si>
  <si>
    <t>REC Bank 2008-2010</t>
  </si>
  <si>
    <t>REC Bank (MWh)</t>
  </si>
  <si>
    <t>S-REC Bank</t>
  </si>
  <si>
    <t>REC Cost ($)</t>
  </si>
  <si>
    <t>Existing renewable generation (MWh)</t>
  </si>
  <si>
    <t>Existing non-solar REC generation (MWh)</t>
  </si>
  <si>
    <t>Existing solar REC generation (MWh)</t>
  </si>
  <si>
    <t>Inputs:</t>
  </si>
  <si>
    <t>Calculates the Differences (Over/Under) as a Percentile instead of a fixed dollar Amount in a manner consistent with the existing RES rule.</t>
  </si>
  <si>
    <t>Total RES-Compliant Portfolio Revenue Requirement (MM$)</t>
  </si>
  <si>
    <t>Total Non-Renewable Generation Portfolio Revenue Requirement (MM$)</t>
  </si>
  <si>
    <t>2. Non-Renewable Generation and PPA Portfolio</t>
  </si>
  <si>
    <t>3. RES Compliant Portfolio</t>
  </si>
  <si>
    <t>4. Comparison of RES Compliant Portfolio Costs to Non-Renewable Portfolio Costs</t>
  </si>
  <si>
    <t>Expected Greenhouse Gas Emissions Compliance Costs (MM$)</t>
  </si>
  <si>
    <t>Explanation of Calculation Methods and Description of Terms Used</t>
  </si>
  <si>
    <t>1. Utility Generation Portfolio Inputs</t>
  </si>
  <si>
    <t>Describes the amount of energy a utility requires to serve its load and meet its RES requirement in a given year. Example renewable generation inputs are based on Ameren's 2015-2017 RES Compliance Report, with some simplification.</t>
  </si>
  <si>
    <t>from REC procurement</t>
  </si>
  <si>
    <t>from REC procurement and solar rebate payments</t>
  </si>
  <si>
    <t>Avoided Cost of new generation ($/MWh)</t>
  </si>
  <si>
    <t>Avoided Cost of current portfolio ($/MWh)</t>
  </si>
  <si>
    <t>New non-solar renewable generation needed to meet RES (MWh)</t>
  </si>
  <si>
    <t>S-RECs from Solar Rebates</t>
  </si>
  <si>
    <t>S-REC Bank 2008-2010</t>
  </si>
  <si>
    <t>NON-SOLAR REQUIREMENTS</t>
  </si>
  <si>
    <t>SOLAR REQUIREMENTS</t>
  </si>
  <si>
    <t>out of state</t>
  </si>
  <si>
    <t>in state</t>
  </si>
  <si>
    <t>Existing Hydro</t>
  </si>
  <si>
    <t>Existing Landfill Gas</t>
  </si>
  <si>
    <t>Existing Wind</t>
  </si>
  <si>
    <t>Existing Solar I (2012)</t>
  </si>
  <si>
    <t>Existing Solar II (2014)</t>
  </si>
  <si>
    <t>Proposed Solar III (2015)</t>
  </si>
  <si>
    <t>Base Revenue Requirement (includes all generation) (MM$)</t>
  </si>
  <si>
    <t>Difference between "Total RES-Compliant Portfolio RR" and "Total Non-Renewable Generation Portfolio RR" for that Year (MM$)</t>
  </si>
  <si>
    <t>$/MWh</t>
  </si>
  <si>
    <t>New Wind ($/MWh)</t>
  </si>
  <si>
    <t>New Solar Cost ($/MWh)</t>
  </si>
  <si>
    <t>from Wind Resources</t>
  </si>
  <si>
    <t>from Solar Resources</t>
  </si>
  <si>
    <t>from Landfill Gas Resources</t>
  </si>
  <si>
    <t>from Hydro Resources</t>
  </si>
  <si>
    <t xml:space="preserve">Renewable Resources </t>
  </si>
  <si>
    <t>MWh</t>
  </si>
  <si>
    <t>Base Revenue Requirement for Year Preceding Planning Year (includes all generation) (MM$)</t>
  </si>
  <si>
    <t>PLANNING YEAR</t>
  </si>
  <si>
    <t>Incremental ADDITION of Least-Cost Renewable Resources Sufficient to Meet RES Requirements (MM$)</t>
  </si>
  <si>
    <t>Non-Renewable Generation that Replaces Existing and RES-Added Renewable Resources (MM$)</t>
  </si>
  <si>
    <t>Remove from Rev Requirement cost of existing renewable resources added prior to Planning Year (MM$)</t>
  </si>
  <si>
    <t>S-RECs (w/o energy)</t>
  </si>
  <si>
    <t>Therefore, the proposed RES Portfolio is compliant.</t>
  </si>
  <si>
    <t xml:space="preserve">The average Renewable Energy Retail Rate Impact over the next ten years -- 2014 through 2023 -- does not exceeed the allowable Retail Rate Impact percentage of 1%.  </t>
  </si>
  <si>
    <t>4. RES RETAIL RATE IMPACT -- Comparison of RES Compliant Portfolio Costs to Non-Renewable Portfolio Costs</t>
  </si>
  <si>
    <t xml:space="preserve">Non-Renewable Generation Additions </t>
  </si>
  <si>
    <t xml:space="preserve">Non-Renewable Generation Retirements </t>
  </si>
  <si>
    <t>Coal A   (2021)</t>
  </si>
  <si>
    <t>Actual Revenue Requirement</t>
  </si>
  <si>
    <t>Natural Gas 1  (2020)</t>
  </si>
  <si>
    <r>
      <t xml:space="preserve">6. 10 Year Forward Look Including Actual Costs Incurred Prior to Planning Year </t>
    </r>
    <r>
      <rPr>
        <sz val="12"/>
        <rFont val="Calibri"/>
        <family val="2"/>
        <scheme val="minor"/>
      </rPr>
      <t>(Section 5 (G))</t>
    </r>
  </si>
  <si>
    <r>
      <t xml:space="preserve">5. 10-Yr Forward Looking Average (2014-2023) </t>
    </r>
    <r>
      <rPr>
        <sz val="12"/>
        <color theme="1"/>
        <rFont val="Calibri"/>
        <family val="2"/>
        <scheme val="minor"/>
      </rPr>
      <t>(Sections 5 (A) and (B))</t>
    </r>
  </si>
  <si>
    <t xml:space="preserve">This section calculates the total revenue requirement of a Non-Renewable Generation Portfolio by subtracting from the the existing generation and purchased power resource portfolio (i.e., Base Revenue Requirement of the Planning Year) the cost of existing renewable energy resources in the portfolio and replacing them with the avoided cost of existing generation, and adding the cost of new non-renewable generation (using natural gas as the proxy cost) that is equivalent to the NEW renewable energy that will be needed for compliance. </t>
  </si>
  <si>
    <t xml:space="preserve">This section calculates the total revenue requirement of a RES Compliant Generation Portfolio by adding to the utility's existing generation and purchased power resource portfolio (i.e., Base Revenue Requirement) an incremetnal amount of least cost renewable resources sufficient to achieve the RES portfolio requirements. </t>
  </si>
  <si>
    <t>RENEWABLE ENERGY STANDARD INCREMENTAL RETAIL RATE IMPACT
(Delta/Total Non-Renewable Generation Portfolio for that Year -- AS A PERCENTILE)</t>
  </si>
  <si>
    <r>
      <t>Subtracts the total cost (revenue requirement) of the Non-Renewable Portfolio in each year from the total cost of the RES Compliant Portfolio in that same year. Also calculates the difference between the two portfolios as a percentage of the total cost of the Non-Renewable Portfolio (the "</t>
    </r>
    <r>
      <rPr>
        <b/>
        <sz val="11"/>
        <color theme="1"/>
        <rFont val="Calibri"/>
        <family val="2"/>
        <scheme val="minor"/>
      </rPr>
      <t>Renewable Energy Standard Incremental Retail Rate Impact</t>
    </r>
    <r>
      <rPr>
        <sz val="11"/>
        <color theme="1"/>
        <rFont val="Calibri"/>
        <family val="2"/>
        <scheme val="minor"/>
      </rPr>
      <t>").</t>
    </r>
  </si>
  <si>
    <r>
      <t xml:space="preserve">This section averages the </t>
    </r>
    <r>
      <rPr>
        <b/>
        <sz val="11"/>
        <color theme="1"/>
        <rFont val="Calibri"/>
        <family val="2"/>
        <scheme val="minor"/>
      </rPr>
      <t>Renewable Energy Standard Incremental Retail Rate Impact</t>
    </r>
    <r>
      <rPr>
        <sz val="11"/>
        <color theme="1"/>
        <rFont val="Calibri"/>
        <family val="2"/>
        <scheme val="minor"/>
      </rPr>
      <t xml:space="preserve"> for the Planning Year and subsequent 9 years to determine the average of the 10 years and the likelihood that the incremental additions of renewable energy resources will exceed the 1% retail rate impact.</t>
    </r>
  </si>
  <si>
    <r>
      <t xml:space="preserve">This section averages the </t>
    </r>
    <r>
      <rPr>
        <b/>
        <sz val="11"/>
        <color theme="1"/>
        <rFont val="Calibri"/>
        <family val="2"/>
        <scheme val="minor"/>
      </rPr>
      <t xml:space="preserve">Renewable Energy Standard Incremental Retail Rate Impact </t>
    </r>
    <r>
      <rPr>
        <sz val="11"/>
        <color theme="1"/>
        <rFont val="Calibri"/>
        <family val="2"/>
        <scheme val="minor"/>
      </rPr>
      <t xml:space="preserve">for the Planning Year, the subsequent 9 years and the Actual Renewable Energy Standard Retail Rate Impact for the years prior to the Planning Year. </t>
    </r>
  </si>
  <si>
    <t>Case No.: EX-2014-0352</t>
  </si>
  <si>
    <t xml:space="preserve">Modification to Proposed Amendment Attachment A: Proposed "Retail Rate Impact Analysis using 10 Year Forward Period and Period in Which Actual Costs Have Been Incurred" </t>
  </si>
  <si>
    <t>WIND ON THE WIRES COMMENTS -- ATTACHMENT 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</si>
</sst>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0_);_(&quot;$&quot;* \(#,##0.0\);_(&quot;$&quot;* &quot;-&quot;??_);_(@_)"/>
    <numFmt numFmtId="169" formatCode="_(* #,##0_);_(* \(#,##0\);_(* &quot;-&quot;??_);_(@_)"/>
    <numFmt numFmtId="170" formatCode="0.000%"/>
  </numFmts>
  <fonts count="30" x14ac:knownFonts="1">
    <font>
      <sz val="11"/>
      <color theme="1"/>
      <name val="Calibri"/>
      <family val="2"/>
      <scheme val="minor"/>
    </font>
    <font>
      <sz val="11"/>
      <color theme="1"/>
      <name val="Calibri"/>
      <family val="2"/>
      <scheme val="minor"/>
    </font>
    <font>
      <sz val="11"/>
      <color indexed="8"/>
      <name val="Calibri"/>
      <family val="2"/>
    </font>
    <font>
      <sz val="10"/>
      <name val="Book Antiqua"/>
      <family val="1"/>
    </font>
    <font>
      <sz val="10"/>
      <name val="Arial"/>
      <family val="2"/>
    </font>
    <font>
      <b/>
      <u/>
      <sz val="11"/>
      <color theme="1"/>
      <name val="Calibri"/>
      <family val="2"/>
      <scheme val="minor"/>
    </font>
    <font>
      <b/>
      <sz val="16"/>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9"/>
      <color indexed="81"/>
      <name val="Tahoma"/>
      <family val="2"/>
    </font>
    <font>
      <b/>
      <sz val="9"/>
      <color indexed="81"/>
      <name val="Tahoma"/>
      <family val="2"/>
    </font>
    <font>
      <i/>
      <sz val="11"/>
      <color theme="1"/>
      <name val="Calibri"/>
      <family val="2"/>
      <scheme val="minor"/>
    </font>
    <font>
      <sz val="11"/>
      <name val="Calibri"/>
      <family val="2"/>
      <scheme val="minor"/>
    </font>
    <font>
      <i/>
      <sz val="12"/>
      <color theme="1"/>
      <name val="Calibri"/>
      <family val="2"/>
      <scheme val="minor"/>
    </font>
    <font>
      <b/>
      <sz val="12"/>
      <color theme="1"/>
      <name val="Calibri"/>
      <family val="2"/>
      <scheme val="minor"/>
    </font>
    <font>
      <i/>
      <sz val="11"/>
      <color rgb="FFFF0000"/>
      <name val="Calibri"/>
      <family val="2"/>
      <scheme val="minor"/>
    </font>
    <font>
      <u/>
      <sz val="11"/>
      <color theme="1"/>
      <name val="Calibri"/>
      <family val="2"/>
      <scheme val="minor"/>
    </font>
    <font>
      <b/>
      <sz val="11"/>
      <color theme="1"/>
      <name val="Arial"/>
      <family val="2"/>
    </font>
    <font>
      <strike/>
      <sz val="11"/>
      <color rgb="FFFF0000"/>
      <name val="Calibri"/>
      <family val="2"/>
      <scheme val="minor"/>
    </font>
    <font>
      <b/>
      <strike/>
      <sz val="11"/>
      <color rgb="FFFF0000"/>
      <name val="Calibri"/>
      <family val="2"/>
      <scheme val="minor"/>
    </font>
    <font>
      <b/>
      <strike/>
      <sz val="12"/>
      <color rgb="FFFF0000"/>
      <name val="Calibri"/>
      <family val="2"/>
      <scheme val="minor"/>
    </font>
    <font>
      <b/>
      <sz val="11"/>
      <color theme="1"/>
      <name val="Arial Black"/>
      <family val="2"/>
    </font>
    <font>
      <sz val="9"/>
      <color indexed="81"/>
      <name val="Tahoma"/>
      <charset val="1"/>
    </font>
    <font>
      <b/>
      <sz val="9"/>
      <color indexed="81"/>
      <name val="Tahoma"/>
      <charset val="1"/>
    </font>
    <font>
      <b/>
      <sz val="12"/>
      <name val="Calibri"/>
      <family val="2"/>
      <scheme val="minor"/>
    </font>
    <font>
      <b/>
      <sz val="14"/>
      <name val="Calibri"/>
      <family val="2"/>
      <scheme val="minor"/>
    </font>
    <font>
      <sz val="12"/>
      <name val="Calibri"/>
      <family val="2"/>
      <scheme val="minor"/>
    </font>
    <font>
      <sz val="12"/>
      <color theme="1"/>
      <name val="Calibri"/>
      <family val="2"/>
      <scheme val="minor"/>
    </font>
    <font>
      <sz val="14"/>
      <color theme="1"/>
      <name val="Arial Black"/>
      <family val="2"/>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6" tint="0.59999389629810485"/>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1">
    <xf numFmtId="0" fontId="0" fillId="0" borderId="0"/>
    <xf numFmtId="44" fontId="2"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3"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21">
    <xf numFmtId="0" fontId="0" fillId="0" borderId="0" xfId="0"/>
    <xf numFmtId="0" fontId="6" fillId="0" borderId="0" xfId="0" applyFont="1"/>
    <xf numFmtId="164" fontId="0" fillId="0" borderId="0" xfId="1" applyNumberFormat="1" applyFont="1" applyFill="1"/>
    <xf numFmtId="9" fontId="0" fillId="0" borderId="0" xfId="9" applyFont="1" applyFill="1" applyBorder="1"/>
    <xf numFmtId="169" fontId="0" fillId="0" borderId="0" xfId="10" applyNumberFormat="1" applyFont="1" applyFill="1" applyBorder="1"/>
    <xf numFmtId="170" fontId="0" fillId="0" borderId="0" xfId="9" applyNumberFormat="1" applyFont="1"/>
    <xf numFmtId="169" fontId="0" fillId="0" borderId="0" xfId="10" applyNumberFormat="1" applyFont="1" applyBorder="1"/>
    <xf numFmtId="169" fontId="0" fillId="0" borderId="0" xfId="9" applyNumberFormat="1" applyFont="1"/>
    <xf numFmtId="9" fontId="0" fillId="0" borderId="0" xfId="9" applyFont="1" applyFill="1"/>
    <xf numFmtId="169" fontId="0" fillId="0" borderId="0" xfId="10" applyNumberFormat="1" applyFont="1" applyFill="1"/>
    <xf numFmtId="169" fontId="13" fillId="0" borderId="0" xfId="10" applyNumberFormat="1" applyFont="1" applyFill="1"/>
    <xf numFmtId="9" fontId="13" fillId="0" borderId="0" xfId="9" applyFont="1" applyFill="1"/>
    <xf numFmtId="0" fontId="14" fillId="0" borderId="0" xfId="0" applyFont="1"/>
    <xf numFmtId="10" fontId="0" fillId="0" borderId="10" xfId="9" applyNumberFormat="1" applyFont="1" applyBorder="1"/>
    <xf numFmtId="0" fontId="0" fillId="0" borderId="0" xfId="0" applyFont="1"/>
    <xf numFmtId="0" fontId="0" fillId="0" borderId="0" xfId="0" applyFont="1" applyAlignment="1">
      <alignment horizontal="left" wrapText="1"/>
    </xf>
    <xf numFmtId="0" fontId="0" fillId="0" borderId="1" xfId="0" applyFont="1" applyBorder="1" applyAlignment="1">
      <alignment horizontal="center"/>
    </xf>
    <xf numFmtId="0" fontId="0" fillId="0" borderId="0" xfId="0" applyFont="1" applyFill="1" applyAlignment="1">
      <alignment horizontal="left" wrapText="1"/>
    </xf>
    <xf numFmtId="0" fontId="0" fillId="0" borderId="0" xfId="0" applyFont="1" applyFill="1"/>
    <xf numFmtId="0" fontId="0" fillId="0" borderId="0" xfId="0" applyFont="1" applyFill="1" applyAlignment="1">
      <alignment horizontal="right" wrapText="1"/>
    </xf>
    <xf numFmtId="0" fontId="0" fillId="0" borderId="0" xfId="0" applyFont="1" applyAlignment="1">
      <alignment horizontal="center"/>
    </xf>
    <xf numFmtId="10" fontId="0" fillId="0" borderId="0" xfId="0" applyNumberFormat="1" applyFont="1"/>
    <xf numFmtId="0" fontId="0" fillId="0" borderId="0" xfId="0" applyFont="1" applyFill="1" applyBorder="1"/>
    <xf numFmtId="169" fontId="0" fillId="0" borderId="0" xfId="10" applyNumberFormat="1" applyFont="1" applyFill="1" applyAlignment="1">
      <alignment horizontal="right" wrapText="1"/>
    </xf>
    <xf numFmtId="169" fontId="0" fillId="0" borderId="0" xfId="10" applyNumberFormat="1" applyFont="1" applyFill="1" applyBorder="1" applyAlignment="1">
      <alignment horizontal="right" wrapText="1"/>
    </xf>
    <xf numFmtId="169" fontId="12" fillId="0" borderId="0" xfId="10" applyNumberFormat="1" applyFont="1" applyFill="1" applyBorder="1"/>
    <xf numFmtId="0" fontId="7" fillId="0" borderId="10" xfId="0" applyFont="1" applyBorder="1" applyAlignment="1">
      <alignment horizontal="left" wrapText="1" indent="2"/>
    </xf>
    <xf numFmtId="0" fontId="8" fillId="0" borderId="2" xfId="0" applyFont="1" applyBorder="1" applyAlignment="1">
      <alignment horizontal="left" vertical="center"/>
    </xf>
    <xf numFmtId="0" fontId="0" fillId="0" borderId="2" xfId="0" applyBorder="1" applyAlignment="1">
      <alignment wrapText="1"/>
    </xf>
    <xf numFmtId="0" fontId="8" fillId="0" borderId="2" xfId="0" applyFont="1" applyBorder="1" applyAlignment="1">
      <alignment horizontal="left" vertical="center" wrapText="1"/>
    </xf>
    <xf numFmtId="0" fontId="8" fillId="0" borderId="2" xfId="0" applyFont="1" applyFill="1" applyBorder="1" applyAlignment="1">
      <alignment horizontal="left" vertical="center"/>
    </xf>
    <xf numFmtId="0" fontId="17" fillId="0" borderId="0" xfId="0" applyFont="1" applyFill="1" applyAlignment="1">
      <alignment horizontal="center" wrapText="1"/>
    </xf>
    <xf numFmtId="0" fontId="0" fillId="0" borderId="6" xfId="0" applyFont="1" applyFill="1" applyBorder="1"/>
    <xf numFmtId="0" fontId="0" fillId="0" borderId="8" xfId="0" applyFont="1" applyFill="1" applyBorder="1"/>
    <xf numFmtId="0" fontId="16" fillId="0" borderId="0" xfId="0" applyFont="1" applyFill="1" applyBorder="1" applyAlignment="1">
      <alignment horizontal="right" wrapText="1"/>
    </xf>
    <xf numFmtId="169" fontId="0" fillId="0" borderId="12" xfId="10" applyNumberFormat="1" applyFont="1" applyBorder="1"/>
    <xf numFmtId="9" fontId="0" fillId="0" borderId="12" xfId="9" applyFont="1" applyFill="1" applyBorder="1"/>
    <xf numFmtId="169" fontId="0" fillId="0" borderId="12" xfId="10" applyNumberFormat="1" applyFont="1" applyFill="1" applyBorder="1"/>
    <xf numFmtId="169" fontId="0" fillId="0" borderId="12" xfId="9" applyNumberFormat="1" applyFont="1" applyBorder="1"/>
    <xf numFmtId="169" fontId="0" fillId="0" borderId="12" xfId="10" applyNumberFormat="1" applyFont="1" applyFill="1" applyBorder="1" applyAlignment="1">
      <alignment horizontal="right" wrapText="1"/>
    </xf>
    <xf numFmtId="169" fontId="12" fillId="0" borderId="12" xfId="10" applyNumberFormat="1" applyFont="1" applyFill="1" applyBorder="1"/>
    <xf numFmtId="164" fontId="0" fillId="0" borderId="12" xfId="1" applyNumberFormat="1" applyFont="1" applyFill="1" applyBorder="1"/>
    <xf numFmtId="10" fontId="0" fillId="0" borderId="14" xfId="9" applyNumberFormat="1" applyFont="1" applyBorder="1"/>
    <xf numFmtId="10" fontId="0" fillId="0" borderId="12" xfId="0" applyNumberFormat="1" applyFont="1" applyBorder="1"/>
    <xf numFmtId="169" fontId="0" fillId="4" borderId="0" xfId="9" applyNumberFormat="1" applyFont="1" applyFill="1"/>
    <xf numFmtId="0" fontId="19" fillId="0" borderId="0" xfId="0" applyFont="1" applyFill="1"/>
    <xf numFmtId="0" fontId="19" fillId="0" borderId="0" xfId="0" applyFont="1"/>
    <xf numFmtId="0" fontId="19" fillId="0" borderId="0" xfId="0" applyFont="1" applyFill="1" applyBorder="1"/>
    <xf numFmtId="170" fontId="19" fillId="0" borderId="0" xfId="9" applyNumberFormat="1" applyFont="1" applyFill="1" applyBorder="1" applyAlignment="1">
      <alignment horizontal="right"/>
    </xf>
    <xf numFmtId="170" fontId="19" fillId="0" borderId="0" xfId="9" applyNumberFormat="1" applyFont="1"/>
    <xf numFmtId="0" fontId="7" fillId="0" borderId="0" xfId="0" applyFont="1" applyFill="1"/>
    <xf numFmtId="0" fontId="20" fillId="0" borderId="0" xfId="0" applyFont="1" applyFill="1"/>
    <xf numFmtId="170" fontId="0" fillId="0" borderId="0" xfId="9" applyNumberFormat="1" applyFont="1" applyFill="1"/>
    <xf numFmtId="10" fontId="19" fillId="0" borderId="0" xfId="0" applyNumberFormat="1" applyFont="1" applyFill="1"/>
    <xf numFmtId="10" fontId="0" fillId="0" borderId="0" xfId="0" applyNumberFormat="1" applyFont="1" applyFill="1"/>
    <xf numFmtId="0" fontId="20" fillId="0" borderId="0" xfId="0" applyFont="1" applyFill="1" applyAlignment="1">
      <alignment horizontal="left" indent="2"/>
    </xf>
    <xf numFmtId="170" fontId="19" fillId="0" borderId="0" xfId="9" applyNumberFormat="1" applyFont="1" applyFill="1"/>
    <xf numFmtId="10" fontId="19" fillId="0" borderId="0" xfId="9" applyNumberFormat="1" applyFont="1" applyFill="1"/>
    <xf numFmtId="10" fontId="0" fillId="0" borderId="0" xfId="9" applyNumberFormat="1" applyFont="1" applyFill="1"/>
    <xf numFmtId="0" fontId="21" fillId="0" borderId="0" xfId="0" applyFont="1" applyFill="1"/>
    <xf numFmtId="0" fontId="15" fillId="0" borderId="0" xfId="0" applyFont="1" applyFill="1"/>
    <xf numFmtId="10" fontId="22" fillId="2" borderId="15" xfId="0" applyNumberFormat="1" applyFont="1" applyFill="1" applyBorder="1"/>
    <xf numFmtId="0" fontId="8" fillId="0" borderId="0" xfId="0" applyFont="1" applyFill="1" applyAlignment="1">
      <alignment horizontal="left"/>
    </xf>
    <xf numFmtId="0" fontId="25" fillId="0" borderId="0" xfId="0" applyFont="1" applyFill="1"/>
    <xf numFmtId="10" fontId="22" fillId="0" borderId="0" xfId="0" applyNumberFormat="1" applyFont="1" applyFill="1" applyBorder="1"/>
    <xf numFmtId="169" fontId="0" fillId="0" borderId="0" xfId="9" applyNumberFormat="1" applyFont="1" applyFill="1"/>
    <xf numFmtId="169" fontId="0" fillId="0" borderId="12" xfId="9" applyNumberFormat="1" applyFont="1" applyFill="1" applyBorder="1"/>
    <xf numFmtId="0" fontId="0" fillId="0" borderId="0" xfId="0" applyFont="1" applyFill="1" applyAlignment="1">
      <alignment horizontal="left"/>
    </xf>
    <xf numFmtId="169" fontId="0" fillId="0" borderId="0" xfId="0" applyNumberFormat="1" applyFont="1" applyFill="1"/>
    <xf numFmtId="169" fontId="0" fillId="0" borderId="12" xfId="0" applyNumberFormat="1" applyFont="1" applyFill="1" applyBorder="1"/>
    <xf numFmtId="169" fontId="0" fillId="0" borderId="0" xfId="10" applyNumberFormat="1" applyFont="1" applyFill="1" applyAlignment="1">
      <alignment horizontal="left" wrapText="1"/>
    </xf>
    <xf numFmtId="169" fontId="0" fillId="0" borderId="0" xfId="10" applyNumberFormat="1" applyFont="1" applyFill="1" applyAlignment="1">
      <alignment horizontal="left"/>
    </xf>
    <xf numFmtId="0" fontId="9" fillId="0" borderId="0" xfId="0" applyFont="1" applyFill="1" applyAlignment="1">
      <alignment horizontal="left"/>
    </xf>
    <xf numFmtId="0" fontId="8" fillId="0" borderId="0" xfId="0" applyFont="1" applyFill="1" applyAlignment="1">
      <alignment horizontal="left" wrapText="1"/>
    </xf>
    <xf numFmtId="0" fontId="0" fillId="0" borderId="0" xfId="0" applyFont="1" applyFill="1" applyBorder="1" applyAlignment="1">
      <alignment horizontal="left" wrapText="1"/>
    </xf>
    <xf numFmtId="0" fontId="12" fillId="0" borderId="0" xfId="0" applyFont="1" applyFill="1" applyBorder="1" applyAlignment="1">
      <alignment horizontal="right" wrapText="1"/>
    </xf>
    <xf numFmtId="0" fontId="0" fillId="0" borderId="0" xfId="0" applyFont="1" applyFill="1" applyAlignment="1">
      <alignment wrapText="1"/>
    </xf>
    <xf numFmtId="169" fontId="0" fillId="0" borderId="0" xfId="10" applyNumberFormat="1" applyFont="1" applyFill="1" applyAlignment="1">
      <alignment horizontal="center" wrapText="1"/>
    </xf>
    <xf numFmtId="169" fontId="0" fillId="0" borderId="0" xfId="10" applyNumberFormat="1" applyFont="1" applyFill="1" applyAlignment="1">
      <alignment horizontal="center"/>
    </xf>
    <xf numFmtId="169" fontId="0" fillId="0" borderId="0" xfId="10" applyNumberFormat="1" applyFont="1" applyFill="1" applyAlignment="1">
      <alignment horizontal="center" vertical="center" wrapText="1"/>
    </xf>
    <xf numFmtId="169" fontId="0" fillId="0" borderId="0" xfId="10" applyNumberFormat="1" applyFont="1" applyFill="1" applyAlignment="1">
      <alignment horizontal="right"/>
    </xf>
    <xf numFmtId="169" fontId="0" fillId="0" borderId="12" xfId="10" applyNumberFormat="1" applyFont="1" applyFill="1" applyBorder="1" applyAlignment="1">
      <alignment horizontal="center" vertical="center" wrapText="1"/>
    </xf>
    <xf numFmtId="0" fontId="5" fillId="0" borderId="3" xfId="0" applyFont="1" applyFill="1" applyBorder="1"/>
    <xf numFmtId="0" fontId="0" fillId="0" borderId="4" xfId="0" applyFont="1" applyFill="1" applyBorder="1"/>
    <xf numFmtId="0" fontId="0" fillId="0" borderId="9" xfId="0" applyFont="1" applyFill="1" applyBorder="1"/>
    <xf numFmtId="0" fontId="5" fillId="0" borderId="9" xfId="0" applyFont="1" applyFill="1" applyBorder="1" applyAlignment="1">
      <alignment horizontal="center"/>
    </xf>
    <xf numFmtId="0" fontId="5" fillId="0" borderId="9" xfId="0" applyFont="1" applyFill="1" applyBorder="1"/>
    <xf numFmtId="0" fontId="5" fillId="0" borderId="4" xfId="0" applyFont="1" applyFill="1" applyBorder="1" applyAlignment="1">
      <alignment horizontal="center"/>
    </xf>
    <xf numFmtId="0" fontId="0" fillId="0" borderId="5" xfId="0" applyFont="1" applyFill="1" applyBorder="1"/>
    <xf numFmtId="169" fontId="0" fillId="0" borderId="6" xfId="10" applyNumberFormat="1" applyFont="1" applyFill="1" applyBorder="1"/>
    <xf numFmtId="0" fontId="0" fillId="0" borderId="7" xfId="0" applyFont="1" applyFill="1" applyBorder="1"/>
    <xf numFmtId="0" fontId="0" fillId="0" borderId="1" xfId="0" applyFont="1" applyFill="1" applyBorder="1"/>
    <xf numFmtId="169" fontId="0" fillId="0" borderId="1" xfId="10" applyNumberFormat="1" applyFont="1" applyFill="1" applyBorder="1"/>
    <xf numFmtId="169" fontId="0" fillId="0" borderId="8" xfId="10" applyNumberFormat="1" applyFont="1" applyFill="1" applyBorder="1"/>
    <xf numFmtId="0" fontId="18" fillId="0" borderId="11" xfId="0" applyFont="1" applyFill="1" applyBorder="1" applyAlignment="1">
      <alignment horizontal="center" wrapText="1"/>
    </xf>
    <xf numFmtId="0" fontId="0" fillId="0" borderId="12" xfId="0" applyFont="1" applyFill="1" applyBorder="1"/>
    <xf numFmtId="0" fontId="0" fillId="0" borderId="1" xfId="0" applyFont="1" applyFill="1" applyBorder="1" applyAlignment="1">
      <alignment horizontal="center"/>
    </xf>
    <xf numFmtId="0" fontId="0" fillId="0" borderId="13" xfId="0" applyFont="1" applyFill="1" applyBorder="1" applyAlignment="1">
      <alignment horizontal="center"/>
    </xf>
    <xf numFmtId="0" fontId="7" fillId="3" borderId="10" xfId="0" applyFont="1" applyFill="1" applyBorder="1" applyAlignment="1">
      <alignment horizontal="left" indent="2"/>
    </xf>
    <xf numFmtId="169" fontId="7" fillId="3" borderId="10" xfId="10" applyNumberFormat="1" applyFont="1" applyFill="1" applyBorder="1" applyAlignment="1"/>
    <xf numFmtId="169" fontId="7" fillId="3" borderId="14" xfId="10" applyNumberFormat="1" applyFont="1" applyFill="1" applyBorder="1" applyAlignment="1"/>
    <xf numFmtId="0" fontId="7" fillId="5" borderId="10" xfId="0" applyFont="1" applyFill="1" applyBorder="1" applyAlignment="1">
      <alignment horizontal="left" indent="2"/>
    </xf>
    <xf numFmtId="169" fontId="7" fillId="5" borderId="10" xfId="10" applyNumberFormat="1" applyFont="1" applyFill="1" applyBorder="1" applyAlignment="1"/>
    <xf numFmtId="169" fontId="7" fillId="5" borderId="14" xfId="10" applyNumberFormat="1" applyFont="1" applyFill="1" applyBorder="1" applyAlignment="1"/>
    <xf numFmtId="169" fontId="0" fillId="0" borderId="9" xfId="10" applyNumberFormat="1" applyFont="1" applyFill="1" applyBorder="1"/>
    <xf numFmtId="0" fontId="13" fillId="0" borderId="0" xfId="0" applyFont="1" applyFill="1"/>
    <xf numFmtId="170" fontId="13" fillId="0" borderId="0" xfId="9" applyNumberFormat="1" applyFont="1" applyFill="1" applyBorder="1"/>
    <xf numFmtId="0" fontId="13" fillId="0" borderId="0" xfId="0" applyFont="1"/>
    <xf numFmtId="0" fontId="13" fillId="0" borderId="0" xfId="0" applyFont="1" applyFill="1" applyBorder="1"/>
    <xf numFmtId="0" fontId="13" fillId="0" borderId="0" xfId="0" applyFont="1" applyFill="1" applyBorder="1" applyAlignment="1">
      <alignment horizontal="left"/>
    </xf>
    <xf numFmtId="170" fontId="13" fillId="0" borderId="0" xfId="9" applyNumberFormat="1" applyFont="1" applyFill="1" applyBorder="1" applyAlignment="1">
      <alignment horizontal="left"/>
    </xf>
    <xf numFmtId="170" fontId="13" fillId="0" borderId="0" xfId="9" applyNumberFormat="1" applyFont="1" applyFill="1" applyBorder="1" applyAlignment="1">
      <alignment horizontal="right"/>
    </xf>
    <xf numFmtId="170" fontId="13" fillId="0" borderId="0" xfId="9" applyNumberFormat="1" applyFont="1"/>
    <xf numFmtId="10" fontId="26" fillId="0" borderId="0" xfId="9" applyNumberFormat="1" applyFont="1" applyFill="1" applyBorder="1"/>
    <xf numFmtId="169" fontId="0" fillId="0" borderId="0" xfId="10" applyNumberFormat="1" applyFont="1" applyFill="1" applyBorder="1" applyAlignment="1">
      <alignment horizontal="right"/>
    </xf>
    <xf numFmtId="169" fontId="0" fillId="0" borderId="12" xfId="10" applyNumberFormat="1" applyFont="1" applyFill="1" applyBorder="1" applyAlignment="1">
      <alignment horizontal="right"/>
    </xf>
    <xf numFmtId="0" fontId="26" fillId="0" borderId="0" xfId="0" applyFont="1" applyAlignment="1">
      <alignment wrapText="1"/>
    </xf>
    <xf numFmtId="0" fontId="26" fillId="0" borderId="2" xfId="0" applyFont="1" applyBorder="1" applyAlignment="1">
      <alignment vertical="center" wrapText="1"/>
    </xf>
    <xf numFmtId="0" fontId="0" fillId="0" borderId="2" xfId="0" applyFill="1" applyBorder="1" applyAlignment="1">
      <alignment wrapText="1"/>
    </xf>
    <xf numFmtId="0" fontId="8" fillId="2" borderId="0" xfId="0" applyFont="1" applyFill="1" applyAlignment="1">
      <alignment horizontal="left" wrapText="1"/>
    </xf>
    <xf numFmtId="0" fontId="29" fillId="0" borderId="0" xfId="0" applyFont="1"/>
  </cellXfs>
  <cellStyles count="11">
    <cellStyle name="Comma" xfId="10" builtinId="3"/>
    <cellStyle name="Comma 2" xfId="2"/>
    <cellStyle name="Comma 2 10" xfId="3"/>
    <cellStyle name="Comma 3" xfId="4"/>
    <cellStyle name="Currency" xfId="1" builtinId="4"/>
    <cellStyle name="Normal" xfId="0" builtinId="0"/>
    <cellStyle name="Normal 29" xfId="5"/>
    <cellStyle name="Normal 3" xfId="6"/>
    <cellStyle name="Normal 4" xfId="7"/>
    <cellStyle name="Normal 73" xfId="8"/>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3"/>
  <sheetViews>
    <sheetView tabSelected="1" zoomScale="90" zoomScaleNormal="90" workbookViewId="0">
      <selection activeCell="I15" sqref="I15"/>
    </sheetView>
  </sheetViews>
  <sheetFormatPr defaultColWidth="8.85546875" defaultRowHeight="19.149999999999999" customHeight="1" x14ac:dyDescent="0.25"/>
  <cols>
    <col min="1" max="1" width="3.7109375" style="14" customWidth="1"/>
    <col min="2" max="2" width="91.42578125" style="14" customWidth="1"/>
    <col min="3" max="15" width="12.28515625" style="14" customWidth="1"/>
    <col min="16" max="24" width="9.7109375" style="14" customWidth="1"/>
    <col min="25" max="16384" width="8.85546875" style="14"/>
  </cols>
  <sheetData>
    <row r="1" spans="1:15" ht="34.5" customHeight="1" x14ac:dyDescent="0.45">
      <c r="B1" s="120" t="s">
        <v>75</v>
      </c>
    </row>
    <row r="2" spans="1:15" ht="38.25" customHeight="1" x14ac:dyDescent="0.45">
      <c r="B2" s="120" t="s">
        <v>77</v>
      </c>
    </row>
    <row r="3" spans="1:15" ht="24.75" customHeight="1" x14ac:dyDescent="0.35">
      <c r="B3" s="1" t="s">
        <v>76</v>
      </c>
    </row>
    <row r="4" spans="1:15" ht="19.149999999999999" customHeight="1" x14ac:dyDescent="0.35">
      <c r="A4" s="1"/>
      <c r="B4" s="12" t="s">
        <v>15</v>
      </c>
    </row>
    <row r="5" spans="1:15" ht="19.149999999999999" customHeight="1" x14ac:dyDescent="0.35">
      <c r="A5" s="1"/>
    </row>
    <row r="6" spans="1:15" ht="19.149999999999999" customHeight="1" x14ac:dyDescent="0.35">
      <c r="A6" s="1"/>
      <c r="B6" s="82" t="s">
        <v>14</v>
      </c>
      <c r="C6" s="83"/>
      <c r="D6" s="18"/>
      <c r="E6" s="82" t="s">
        <v>51</v>
      </c>
      <c r="F6" s="84"/>
      <c r="G6" s="85" t="s">
        <v>52</v>
      </c>
      <c r="H6" s="86"/>
      <c r="I6" s="87" t="s">
        <v>44</v>
      </c>
      <c r="K6" s="82" t="s">
        <v>62</v>
      </c>
      <c r="L6" s="84"/>
      <c r="M6" s="84"/>
      <c r="N6" s="85" t="s">
        <v>52</v>
      </c>
      <c r="O6" s="87" t="s">
        <v>44</v>
      </c>
    </row>
    <row r="7" spans="1:15" ht="19.149999999999999" customHeight="1" x14ac:dyDescent="0.35">
      <c r="A7" s="1"/>
      <c r="B7" s="88" t="s">
        <v>28</v>
      </c>
      <c r="C7" s="89">
        <f>(73.5*34.5+20.6*96.1)/(73.5+20.6)</f>
        <v>47.985228480340062</v>
      </c>
      <c r="D7" s="18"/>
      <c r="E7" s="88" t="s">
        <v>38</v>
      </c>
      <c r="F7" s="22"/>
      <c r="G7" s="4">
        <f>90*40%*8766</f>
        <v>315576</v>
      </c>
      <c r="H7" s="22" t="s">
        <v>34</v>
      </c>
      <c r="I7" s="32">
        <v>75</v>
      </c>
      <c r="K7" s="90" t="s">
        <v>66</v>
      </c>
      <c r="L7" s="91"/>
      <c r="M7" s="91" t="s">
        <v>35</v>
      </c>
      <c r="N7" s="91">
        <f>600*0.6*0.24*365</f>
        <v>31535.999999999996</v>
      </c>
      <c r="O7" s="33">
        <v>75</v>
      </c>
    </row>
    <row r="8" spans="1:15" ht="19.149999999999999" customHeight="1" x14ac:dyDescent="0.35">
      <c r="A8" s="1"/>
      <c r="B8" s="88" t="s">
        <v>27</v>
      </c>
      <c r="C8" s="89">
        <v>76</v>
      </c>
      <c r="D8" s="18"/>
      <c r="E8" s="88" t="s">
        <v>37</v>
      </c>
      <c r="F8" s="22"/>
      <c r="G8" s="4">
        <v>100000</v>
      </c>
      <c r="H8" s="22" t="s">
        <v>35</v>
      </c>
      <c r="I8" s="32">
        <v>71</v>
      </c>
      <c r="K8" s="84"/>
      <c r="L8" s="84"/>
      <c r="M8" s="104"/>
      <c r="N8" s="84"/>
      <c r="O8" s="84"/>
    </row>
    <row r="9" spans="1:15" ht="19.149999999999999" customHeight="1" x14ac:dyDescent="0.35">
      <c r="A9" s="1"/>
      <c r="B9" s="88" t="s">
        <v>45</v>
      </c>
      <c r="C9" s="89">
        <v>50</v>
      </c>
      <c r="D9" s="18"/>
      <c r="E9" s="88" t="s">
        <v>36</v>
      </c>
      <c r="F9" s="22"/>
      <c r="G9" s="4">
        <v>950000</v>
      </c>
      <c r="H9" s="22" t="s">
        <v>34</v>
      </c>
      <c r="I9" s="32">
        <v>11</v>
      </c>
      <c r="K9" s="82" t="s">
        <v>63</v>
      </c>
      <c r="L9" s="84"/>
      <c r="M9" s="84"/>
      <c r="N9" s="85" t="s">
        <v>52</v>
      </c>
      <c r="O9" s="87" t="s">
        <v>44</v>
      </c>
    </row>
    <row r="10" spans="1:15" ht="19.149999999999999" customHeight="1" x14ac:dyDescent="0.35">
      <c r="A10" s="1"/>
      <c r="B10" s="88" t="s">
        <v>10</v>
      </c>
      <c r="C10" s="89">
        <v>10</v>
      </c>
      <c r="D10" s="18"/>
      <c r="E10" s="88" t="s">
        <v>39</v>
      </c>
      <c r="F10" s="22"/>
      <c r="G10" s="4">
        <v>115</v>
      </c>
      <c r="H10" s="22" t="s">
        <v>35</v>
      </c>
      <c r="I10" s="32">
        <v>150</v>
      </c>
      <c r="K10" s="90" t="s">
        <v>64</v>
      </c>
      <c r="L10" s="91"/>
      <c r="M10" s="91" t="s">
        <v>35</v>
      </c>
      <c r="N10" s="91">
        <f>1000*0.8*0.24*365</f>
        <v>70080</v>
      </c>
      <c r="O10" s="33">
        <v>35</v>
      </c>
    </row>
    <row r="11" spans="1:15" ht="19.149999999999999" customHeight="1" x14ac:dyDescent="0.35">
      <c r="A11" s="1"/>
      <c r="B11" s="88" t="s">
        <v>46</v>
      </c>
      <c r="C11" s="89">
        <v>100</v>
      </c>
      <c r="D11" s="18"/>
      <c r="E11" s="88" t="s">
        <v>40</v>
      </c>
      <c r="F11" s="22"/>
      <c r="G11" s="4">
        <v>7700</v>
      </c>
      <c r="H11" s="22" t="s">
        <v>35</v>
      </c>
      <c r="I11" s="32">
        <v>130</v>
      </c>
    </row>
    <row r="12" spans="1:15" ht="19.149999999999999" customHeight="1" x14ac:dyDescent="0.35">
      <c r="A12" s="1"/>
      <c r="B12" s="88" t="s">
        <v>4</v>
      </c>
      <c r="C12" s="89">
        <v>5</v>
      </c>
      <c r="D12" s="18"/>
      <c r="E12" s="90" t="s">
        <v>41</v>
      </c>
      <c r="F12" s="91"/>
      <c r="G12" s="92">
        <v>19000</v>
      </c>
      <c r="H12" s="91" t="s">
        <v>35</v>
      </c>
      <c r="I12" s="33">
        <v>120</v>
      </c>
    </row>
    <row r="13" spans="1:15" ht="19.149999999999999" customHeight="1" x14ac:dyDescent="0.35">
      <c r="A13" s="1"/>
      <c r="B13" s="88" t="s">
        <v>7</v>
      </c>
      <c r="C13" s="89">
        <f>G9*3+G7*1.5</f>
        <v>3323364</v>
      </c>
      <c r="D13" s="18"/>
      <c r="E13" s="18"/>
      <c r="F13" s="18"/>
      <c r="G13" s="18"/>
      <c r="H13" s="18"/>
      <c r="I13" s="18"/>
    </row>
    <row r="14" spans="1:15" ht="19.149999999999999" customHeight="1" thickBot="1" x14ac:dyDescent="0.4">
      <c r="A14" s="1"/>
      <c r="B14" s="90" t="s">
        <v>31</v>
      </c>
      <c r="C14" s="93">
        <v>12606</v>
      </c>
      <c r="D14" s="18"/>
      <c r="E14" s="18"/>
      <c r="F14" s="18"/>
      <c r="G14" s="18"/>
      <c r="H14" s="18"/>
      <c r="I14" s="18"/>
    </row>
    <row r="15" spans="1:15" ht="35.25" customHeight="1" x14ac:dyDescent="0.35">
      <c r="A15" s="1"/>
      <c r="B15" s="18"/>
      <c r="C15" s="18"/>
      <c r="D15" s="18"/>
      <c r="E15" s="18"/>
      <c r="F15" s="94" t="s">
        <v>54</v>
      </c>
      <c r="G15" s="18"/>
      <c r="H15" s="18"/>
      <c r="I15" s="18"/>
    </row>
    <row r="16" spans="1:15" ht="19.149999999999999" customHeight="1" x14ac:dyDescent="0.35">
      <c r="A16" s="1"/>
      <c r="B16" s="62" t="s">
        <v>23</v>
      </c>
      <c r="C16" s="18"/>
      <c r="D16" s="18"/>
      <c r="E16" s="18"/>
      <c r="F16" s="95"/>
      <c r="G16" s="18"/>
      <c r="H16" s="18"/>
      <c r="I16" s="18"/>
    </row>
    <row r="17" spans="2:15" ht="19.149999999999999" customHeight="1" x14ac:dyDescent="0.25">
      <c r="B17" s="18"/>
      <c r="C17" s="96">
        <v>2011</v>
      </c>
      <c r="D17" s="96">
        <v>2012</v>
      </c>
      <c r="E17" s="96">
        <v>2013</v>
      </c>
      <c r="F17" s="97">
        <f>E17+1</f>
        <v>2014</v>
      </c>
      <c r="G17" s="96">
        <f>F17+1</f>
        <v>2015</v>
      </c>
      <c r="H17" s="96">
        <f t="shared" ref="H17:O17" si="0">G17+1</f>
        <v>2016</v>
      </c>
      <c r="I17" s="96">
        <f t="shared" si="0"/>
        <v>2017</v>
      </c>
      <c r="J17" s="16">
        <f>I17+1</f>
        <v>2018</v>
      </c>
      <c r="K17" s="16">
        <f t="shared" si="0"/>
        <v>2019</v>
      </c>
      <c r="L17" s="16">
        <f t="shared" si="0"/>
        <v>2020</v>
      </c>
      <c r="M17" s="16">
        <f t="shared" si="0"/>
        <v>2021</v>
      </c>
      <c r="N17" s="16">
        <f t="shared" si="0"/>
        <v>2022</v>
      </c>
      <c r="O17" s="16">
        <f t="shared" si="0"/>
        <v>2023</v>
      </c>
    </row>
    <row r="18" spans="2:15" ht="19.149999999999999" customHeight="1" x14ac:dyDescent="0.25">
      <c r="B18" s="18" t="s">
        <v>1</v>
      </c>
      <c r="C18" s="4">
        <v>36000000</v>
      </c>
      <c r="D18" s="4">
        <v>36000000</v>
      </c>
      <c r="E18" s="4">
        <v>36000000</v>
      </c>
      <c r="F18" s="37">
        <v>36000000</v>
      </c>
      <c r="G18" s="4">
        <v>36000000</v>
      </c>
      <c r="H18" s="4">
        <v>36000000</v>
      </c>
      <c r="I18" s="4">
        <v>36000000</v>
      </c>
      <c r="J18" s="4">
        <v>36000000</v>
      </c>
      <c r="K18" s="4">
        <v>36000000</v>
      </c>
      <c r="L18" s="4">
        <v>36000000</v>
      </c>
      <c r="M18" s="4">
        <v>36000000</v>
      </c>
      <c r="N18" s="4">
        <v>36000000</v>
      </c>
      <c r="O18" s="4">
        <v>36000000</v>
      </c>
    </row>
    <row r="19" spans="2:15" ht="19.149999999999999" customHeight="1" x14ac:dyDescent="0.25">
      <c r="B19" s="18" t="s">
        <v>11</v>
      </c>
      <c r="C19" s="4">
        <f>$G$7+$G$9</f>
        <v>1265576</v>
      </c>
      <c r="D19" s="4">
        <f>$G$7+$G$9+$G$8/3</f>
        <v>1298909.3333333333</v>
      </c>
      <c r="E19" s="4">
        <f>$G$7+$G$9+$G$8*2/3</f>
        <v>1332242.6666666667</v>
      </c>
      <c r="F19" s="37">
        <f>$G$7+$G$9+$G$8*2/3+$G$11</f>
        <v>1339942.6666666667</v>
      </c>
      <c r="G19" s="4">
        <f>$G$7+$G$9+$G$8*2/3+$G$11</f>
        <v>1339942.6666666667</v>
      </c>
      <c r="H19" s="4">
        <f>$G$7+$G$9+$G$8*2/3+$G$11+$G$12</f>
        <v>1358942.6666666667</v>
      </c>
      <c r="I19" s="4">
        <f>$G$7+$G$9+$G$8*2/3+$G$11+$G$12</f>
        <v>1358942.6666666667</v>
      </c>
      <c r="J19" s="6">
        <f>$G$7+$G$9+$G$8*3/3+$G$11+$G$12</f>
        <v>1392276</v>
      </c>
      <c r="K19" s="6">
        <f>$G$7+$G$9+$G$8*3/3+$G$11+$G$12</f>
        <v>1392276</v>
      </c>
      <c r="L19" s="6">
        <f>$G$7+$G$9+$G$8*3/3+$G$11+$G$12</f>
        <v>1392276</v>
      </c>
      <c r="M19" s="6">
        <f>$G$7+$G$9+$G$8*3/3+$G$11+$G$12</f>
        <v>1392276</v>
      </c>
      <c r="N19" s="6">
        <f>$G$7+$G$9+$G$8*3/3+$G$11+$G$12</f>
        <v>1392276</v>
      </c>
      <c r="O19" s="6">
        <f>$G$7+$G$9+$G$8*3/3+$G$11+$G$12</f>
        <v>1392276</v>
      </c>
    </row>
    <row r="20" spans="2:15" s="18" customFormat="1" ht="19.149999999999999" customHeight="1" x14ac:dyDescent="0.25">
      <c r="B20" s="17" t="s">
        <v>0</v>
      </c>
      <c r="C20" s="8">
        <v>0.02</v>
      </c>
      <c r="D20" s="8">
        <v>0.02</v>
      </c>
      <c r="E20" s="8">
        <v>0.02</v>
      </c>
      <c r="F20" s="36">
        <v>0.05</v>
      </c>
      <c r="G20" s="3">
        <v>0.05</v>
      </c>
      <c r="H20" s="3">
        <v>0.05</v>
      </c>
      <c r="I20" s="3">
        <v>0.05</v>
      </c>
      <c r="J20" s="3">
        <v>0.1</v>
      </c>
      <c r="K20" s="3">
        <v>0.1</v>
      </c>
      <c r="L20" s="8">
        <v>0.1</v>
      </c>
      <c r="M20" s="11">
        <v>0.15</v>
      </c>
      <c r="N20" s="11">
        <v>0.15</v>
      </c>
      <c r="O20" s="11">
        <v>0.15</v>
      </c>
    </row>
    <row r="21" spans="2:15" s="18" customFormat="1" ht="19.149999999999999" customHeight="1" x14ac:dyDescent="0.25">
      <c r="B21" s="31" t="s">
        <v>32</v>
      </c>
      <c r="C21" s="8"/>
      <c r="D21" s="8"/>
      <c r="E21" s="8"/>
      <c r="F21" s="36"/>
      <c r="G21" s="3"/>
      <c r="H21" s="3"/>
      <c r="I21" s="3"/>
      <c r="J21" s="3"/>
      <c r="K21" s="3"/>
      <c r="L21" s="8"/>
      <c r="M21" s="11"/>
      <c r="N21" s="11"/>
      <c r="O21" s="11"/>
    </row>
    <row r="22" spans="2:15" s="18" customFormat="1" ht="19.149999999999999" customHeight="1" x14ac:dyDescent="0.25">
      <c r="B22" s="17" t="s">
        <v>2</v>
      </c>
      <c r="C22" s="9">
        <f t="shared" ref="C22:O22" si="1">C18*C20*98%</f>
        <v>705600</v>
      </c>
      <c r="D22" s="9">
        <f t="shared" si="1"/>
        <v>705600</v>
      </c>
      <c r="E22" s="9">
        <f t="shared" si="1"/>
        <v>705600</v>
      </c>
      <c r="F22" s="37">
        <f t="shared" si="1"/>
        <v>1764000</v>
      </c>
      <c r="G22" s="4">
        <f t="shared" si="1"/>
        <v>1764000</v>
      </c>
      <c r="H22" s="4">
        <f t="shared" si="1"/>
        <v>1764000</v>
      </c>
      <c r="I22" s="4">
        <f t="shared" si="1"/>
        <v>1764000</v>
      </c>
      <c r="J22" s="4">
        <f t="shared" si="1"/>
        <v>3528000</v>
      </c>
      <c r="K22" s="4">
        <f t="shared" si="1"/>
        <v>3528000</v>
      </c>
      <c r="L22" s="9">
        <f t="shared" si="1"/>
        <v>3528000</v>
      </c>
      <c r="M22" s="10">
        <f t="shared" si="1"/>
        <v>5292000</v>
      </c>
      <c r="N22" s="10">
        <f t="shared" si="1"/>
        <v>5292000</v>
      </c>
      <c r="O22" s="10">
        <f t="shared" si="1"/>
        <v>5292000</v>
      </c>
    </row>
    <row r="23" spans="2:15" ht="19.149999999999999" customHeight="1" x14ac:dyDescent="0.25">
      <c r="B23" s="14" t="s">
        <v>12</v>
      </c>
      <c r="C23" s="6">
        <f>$G$7+$G$9</f>
        <v>1265576</v>
      </c>
      <c r="D23" s="6">
        <f>$G$7+$G$9+$G$8/3*1.25</f>
        <v>1307242.6666666667</v>
      </c>
      <c r="E23" s="6">
        <f>$G$7+$G$9+$G$8*2/3*1.25</f>
        <v>1348909.3333333333</v>
      </c>
      <c r="F23" s="35">
        <f>$G$7+$G$9+$G$8*2/3*1.25</f>
        <v>1348909.3333333333</v>
      </c>
      <c r="G23" s="6">
        <f>$G$7+$G$9+$G$8*2/3*1.25</f>
        <v>1348909.3333333333</v>
      </c>
      <c r="H23" s="6">
        <f>$G$7+$G$9+$G$8*2/3*1.25</f>
        <v>1348909.3333333333</v>
      </c>
      <c r="I23" s="6">
        <f>$G$7+$G$9+$G$8*2/3*1.25</f>
        <v>1348909.3333333333</v>
      </c>
      <c r="J23" s="6">
        <f>$G$7+$G$9+$G$8*3/3*1.25</f>
        <v>1390576</v>
      </c>
      <c r="K23" s="6">
        <f>$G$7+$G$9+$G$8*3/3*1.25</f>
        <v>1390576</v>
      </c>
      <c r="L23" s="6">
        <f>$G$7+$G$9+$G$8*3/3*1.25</f>
        <v>1390576</v>
      </c>
      <c r="M23" s="6">
        <f>$G$7+$G$9+$G$8*3/3*1.25</f>
        <v>1390576</v>
      </c>
      <c r="N23" s="6">
        <f>$G$7+$G$9+$G$8*3/3*1.25</f>
        <v>1390576</v>
      </c>
      <c r="O23" s="6">
        <f>$G$7+$G$9+$G$8*3/3*1.25</f>
        <v>1390576</v>
      </c>
    </row>
    <row r="24" spans="2:15" ht="19.149999999999999" customHeight="1" x14ac:dyDescent="0.25">
      <c r="B24" s="15" t="s">
        <v>8</v>
      </c>
      <c r="C24" s="7">
        <f>MAX(0,C13+C23-C22)</f>
        <v>3883340</v>
      </c>
      <c r="D24" s="7">
        <f>MAX(0,C24+D23-D22)</f>
        <v>4484982.666666667</v>
      </c>
      <c r="E24" s="7">
        <f>MAX(0,D24+E23-E22)</f>
        <v>5128292</v>
      </c>
      <c r="F24" s="38">
        <f t="shared" ref="F24:O24" si="2">MAX(0,E24+F23-F22)</f>
        <v>4713201.333333333</v>
      </c>
      <c r="G24" s="7">
        <f t="shared" si="2"/>
        <v>4298110.666666666</v>
      </c>
      <c r="H24" s="7">
        <f t="shared" si="2"/>
        <v>3883019.9999999991</v>
      </c>
      <c r="I24" s="7">
        <f t="shared" si="2"/>
        <v>3467929.3333333321</v>
      </c>
      <c r="J24" s="7">
        <f>MAX(0,I24+J23-J22)</f>
        <v>1330505.3333333321</v>
      </c>
      <c r="K24" s="7">
        <f t="shared" si="2"/>
        <v>0</v>
      </c>
      <c r="L24" s="7">
        <f t="shared" si="2"/>
        <v>0</v>
      </c>
      <c r="M24" s="7">
        <f t="shared" si="2"/>
        <v>0</v>
      </c>
      <c r="N24" s="7">
        <f t="shared" si="2"/>
        <v>0</v>
      </c>
      <c r="O24" s="7">
        <f t="shared" si="2"/>
        <v>0</v>
      </c>
    </row>
    <row r="25" spans="2:15" ht="19.149999999999999" customHeight="1" x14ac:dyDescent="0.25">
      <c r="B25" s="15" t="s">
        <v>29</v>
      </c>
      <c r="C25" s="7">
        <f>IF(C24=0,C22-C23,0)</f>
        <v>0</v>
      </c>
      <c r="D25" s="7">
        <f t="shared" ref="D25:O25" si="3">IF(D24=0,D22-D23,0)</f>
        <v>0</v>
      </c>
      <c r="E25" s="7">
        <f t="shared" si="3"/>
        <v>0</v>
      </c>
      <c r="F25" s="38">
        <f t="shared" si="3"/>
        <v>0</v>
      </c>
      <c r="G25" s="7">
        <f t="shared" si="3"/>
        <v>0</v>
      </c>
      <c r="H25" s="7">
        <f t="shared" si="3"/>
        <v>0</v>
      </c>
      <c r="I25" s="7">
        <f t="shared" si="3"/>
        <v>0</v>
      </c>
      <c r="J25" s="7">
        <f t="shared" si="3"/>
        <v>0</v>
      </c>
      <c r="K25" s="44">
        <f t="shared" si="3"/>
        <v>2137424</v>
      </c>
      <c r="L25" s="7">
        <f t="shared" si="3"/>
        <v>2137424</v>
      </c>
      <c r="M25" s="7">
        <f t="shared" si="3"/>
        <v>3901424</v>
      </c>
      <c r="N25" s="7">
        <f t="shared" si="3"/>
        <v>3901424</v>
      </c>
      <c r="O25" s="7">
        <f t="shared" si="3"/>
        <v>3901424</v>
      </c>
    </row>
    <row r="26" spans="2:15" ht="19.149999999999999" customHeight="1" x14ac:dyDescent="0.25">
      <c r="B26" s="31" t="s">
        <v>33</v>
      </c>
      <c r="C26" s="65"/>
      <c r="D26" s="65"/>
      <c r="E26" s="65"/>
      <c r="F26" s="66"/>
      <c r="G26" s="65"/>
      <c r="H26" s="65"/>
      <c r="I26" s="65"/>
      <c r="J26" s="65"/>
      <c r="K26" s="65"/>
      <c r="L26" s="65"/>
      <c r="M26" s="65"/>
      <c r="N26" s="65"/>
      <c r="O26" s="65"/>
    </row>
    <row r="27" spans="2:15" ht="19.149999999999999" customHeight="1" x14ac:dyDescent="0.25">
      <c r="B27" s="17" t="s">
        <v>3</v>
      </c>
      <c r="C27" s="4">
        <f t="shared" ref="C27:O27" si="4">C18*C20*2%</f>
        <v>14400</v>
      </c>
      <c r="D27" s="4">
        <f t="shared" si="4"/>
        <v>14400</v>
      </c>
      <c r="E27" s="4">
        <f t="shared" si="4"/>
        <v>14400</v>
      </c>
      <c r="F27" s="37">
        <f t="shared" si="4"/>
        <v>36000</v>
      </c>
      <c r="G27" s="4">
        <f t="shared" si="4"/>
        <v>36000</v>
      </c>
      <c r="H27" s="4">
        <f t="shared" si="4"/>
        <v>36000</v>
      </c>
      <c r="I27" s="4">
        <f t="shared" si="4"/>
        <v>36000</v>
      </c>
      <c r="J27" s="4">
        <f t="shared" si="4"/>
        <v>72000</v>
      </c>
      <c r="K27" s="4">
        <f t="shared" si="4"/>
        <v>72000</v>
      </c>
      <c r="L27" s="4">
        <f t="shared" si="4"/>
        <v>72000</v>
      </c>
      <c r="M27" s="4">
        <f t="shared" si="4"/>
        <v>108000</v>
      </c>
      <c r="N27" s="4">
        <f t="shared" si="4"/>
        <v>108000</v>
      </c>
      <c r="O27" s="4">
        <f t="shared" si="4"/>
        <v>108000</v>
      </c>
    </row>
    <row r="28" spans="2:15" ht="19.149999999999999" customHeight="1" x14ac:dyDescent="0.25">
      <c r="B28" s="18" t="s">
        <v>13</v>
      </c>
      <c r="C28" s="4">
        <v>0</v>
      </c>
      <c r="D28" s="4">
        <f>+$G$10*1.25</f>
        <v>143.75</v>
      </c>
      <c r="E28" s="4">
        <f>+$G$10*1.25</f>
        <v>143.75</v>
      </c>
      <c r="F28" s="37">
        <f>($G$10+$G$11)*1.25</f>
        <v>9768.75</v>
      </c>
      <c r="G28" s="4">
        <f>($G$10+$G$11)*1.25</f>
        <v>9768.75</v>
      </c>
      <c r="H28" s="4">
        <f>($G$10+$G$11+$G$12)*1.25</f>
        <v>33518.75</v>
      </c>
      <c r="I28" s="4">
        <f t="shared" ref="I28:O28" si="5">($G$10+$G$11+$G$12)*1.25</f>
        <v>33518.75</v>
      </c>
      <c r="J28" s="4">
        <f t="shared" si="5"/>
        <v>33518.75</v>
      </c>
      <c r="K28" s="4">
        <f t="shared" si="5"/>
        <v>33518.75</v>
      </c>
      <c r="L28" s="4">
        <f t="shared" si="5"/>
        <v>33518.75</v>
      </c>
      <c r="M28" s="4">
        <f t="shared" si="5"/>
        <v>33518.75</v>
      </c>
      <c r="N28" s="4">
        <f t="shared" si="5"/>
        <v>33518.75</v>
      </c>
      <c r="O28" s="4">
        <f t="shared" si="5"/>
        <v>33518.75</v>
      </c>
    </row>
    <row r="29" spans="2:15" ht="19.149999999999999" customHeight="1" x14ac:dyDescent="0.25">
      <c r="B29" s="17" t="s">
        <v>58</v>
      </c>
      <c r="C29" s="4">
        <v>17400</v>
      </c>
      <c r="D29" s="4">
        <v>1000</v>
      </c>
      <c r="E29" s="4">
        <v>18825</v>
      </c>
      <c r="F29" s="37"/>
      <c r="G29" s="4"/>
      <c r="H29" s="4"/>
      <c r="I29" s="4"/>
      <c r="J29" s="4"/>
      <c r="K29" s="4"/>
      <c r="L29" s="4"/>
      <c r="M29" s="4"/>
      <c r="N29" s="4"/>
      <c r="O29" s="4"/>
    </row>
    <row r="30" spans="2:15" ht="19.149999999999999" customHeight="1" x14ac:dyDescent="0.25">
      <c r="B30" s="17" t="s">
        <v>30</v>
      </c>
      <c r="C30" s="4">
        <f>1060*1.25</f>
        <v>1325</v>
      </c>
      <c r="D30" s="4">
        <f>2851*1.25</f>
        <v>3563.75</v>
      </c>
      <c r="E30" s="4">
        <f>8111*1.25</f>
        <v>10138.75</v>
      </c>
      <c r="F30" s="37">
        <f>(36625+6144)*1.25</f>
        <v>53461.25</v>
      </c>
      <c r="G30" s="4">
        <f>(36625+6144)*1.25</f>
        <v>53461.25</v>
      </c>
      <c r="H30" s="4">
        <f>+G30-380*1.25</f>
        <v>52986.25</v>
      </c>
      <c r="I30" s="4">
        <f>+$G$30-(380+2134)*1.25-IF(I17&gt;2020,680*1.25,0)-IF(I17&gt;2021,(680+717)*1.25,0)-IF(I17&gt;2022,(680+717+2448+5663)*1.25,0)-IF(I17&gt;2023,(680+717+2448+5663+36625+6144)*1.25,0)</f>
        <v>50318.75</v>
      </c>
      <c r="J30" s="4">
        <f t="shared" ref="J30:O30" si="6">+$G$30-(380+2134)*1.25-IF(J17&gt;2020,680*1.25,0)-IF(J17&gt;2021,(680+717)*1.25,0)-IF(J17&gt;2022,(680+717+2448+5663)*1.25,0)-IF(J17&gt;2023,(680+717+2448+5663+36625+6144)*1.25,0)</f>
        <v>50318.75</v>
      </c>
      <c r="K30" s="4">
        <f t="shared" si="6"/>
        <v>50318.75</v>
      </c>
      <c r="L30" s="4">
        <f t="shared" si="6"/>
        <v>50318.75</v>
      </c>
      <c r="M30" s="4">
        <f t="shared" si="6"/>
        <v>49468.75</v>
      </c>
      <c r="N30" s="4">
        <f t="shared" si="6"/>
        <v>47722.5</v>
      </c>
      <c r="O30" s="4">
        <f t="shared" si="6"/>
        <v>35837.5</v>
      </c>
    </row>
    <row r="31" spans="2:15" ht="19.149999999999999" customHeight="1" x14ac:dyDescent="0.25">
      <c r="B31" s="17" t="s">
        <v>9</v>
      </c>
      <c r="C31" s="65">
        <f>MAX(0,C14+C30+C29+C28-C27)</f>
        <v>16931</v>
      </c>
      <c r="D31" s="65">
        <f>MAX(0,C31+D30+D29+D28-D27)</f>
        <v>7238.5</v>
      </c>
      <c r="E31" s="65">
        <f>MAX(0,D31+E30+E29+E28-E27)</f>
        <v>21946</v>
      </c>
      <c r="F31" s="66">
        <f t="shared" ref="F31:J31" si="7">MAX(0,E31+F30+F29+F28-F27)</f>
        <v>49176</v>
      </c>
      <c r="G31" s="65">
        <f t="shared" si="7"/>
        <v>76406</v>
      </c>
      <c r="H31" s="65">
        <f t="shared" si="7"/>
        <v>126911</v>
      </c>
      <c r="I31" s="65">
        <f t="shared" si="7"/>
        <v>174748.5</v>
      </c>
      <c r="J31" s="65">
        <f t="shared" si="7"/>
        <v>186586</v>
      </c>
      <c r="K31" s="65">
        <f t="shared" ref="K31" si="8">MAX(0,J31+K30+K29+K28-K27)</f>
        <v>198423.5</v>
      </c>
      <c r="L31" s="65">
        <f t="shared" ref="L31" si="9">MAX(0,K31+L30+L29+L28-L27)</f>
        <v>210261</v>
      </c>
      <c r="M31" s="65">
        <f t="shared" ref="M31" si="10">MAX(0,L31+M30+M29+M28-M27)</f>
        <v>185248.5</v>
      </c>
      <c r="N31" s="65">
        <f t="shared" ref="N31" si="11">MAX(0,M31+N30+N29+N28-N27)</f>
        <v>158489.75</v>
      </c>
      <c r="O31" s="65">
        <f t="shared" ref="O31" si="12">MAX(0,N31+O30+O29+O28-O27)</f>
        <v>119846</v>
      </c>
    </row>
    <row r="32" spans="2:15" ht="19.149999999999999" customHeight="1" x14ac:dyDescent="0.25">
      <c r="B32" s="67" t="s">
        <v>6</v>
      </c>
      <c r="C32" s="65">
        <f>IF(C31=0,C27-C28,0)</f>
        <v>0</v>
      </c>
      <c r="D32" s="65">
        <f>IF(D31=0,D27-D28,0)</f>
        <v>0</v>
      </c>
      <c r="E32" s="65">
        <f>IF(E31=0,E27-E28,0)</f>
        <v>0</v>
      </c>
      <c r="F32" s="66">
        <f>IF(F31=0,F27-F28,0)</f>
        <v>0</v>
      </c>
      <c r="G32" s="65">
        <f>IF(G31=0,G27-G28,0)</f>
        <v>0</v>
      </c>
      <c r="H32" s="65">
        <f>IF(H31=0,H27-H28,0)</f>
        <v>0</v>
      </c>
      <c r="I32" s="65">
        <f>IF(I31=0,I27-I28,0)</f>
        <v>0</v>
      </c>
      <c r="J32" s="65">
        <f>IF(J31=0,J27-J28,0)</f>
        <v>0</v>
      </c>
      <c r="K32" s="65">
        <f>IF(K31=0,K27-K28,0)</f>
        <v>0</v>
      </c>
      <c r="L32" s="65">
        <f>IF(L31=0,L27-L28,0)</f>
        <v>0</v>
      </c>
      <c r="M32" s="65">
        <f>IF(M31=0,M27-M28,0)</f>
        <v>0</v>
      </c>
      <c r="N32" s="65">
        <f>IF(N31=0,N27-N28,0)</f>
        <v>0</v>
      </c>
      <c r="O32" s="65">
        <f>IF(O31=0,O27-O28,0)</f>
        <v>0</v>
      </c>
    </row>
    <row r="33" spans="1:15" ht="19.149999999999999" customHeight="1" x14ac:dyDescent="0.25">
      <c r="B33" s="17"/>
      <c r="C33" s="65"/>
      <c r="D33" s="65"/>
      <c r="E33" s="65"/>
      <c r="F33" s="66"/>
      <c r="G33" s="65"/>
      <c r="H33" s="65"/>
      <c r="I33" s="65"/>
      <c r="J33" s="65"/>
      <c r="K33" s="65"/>
      <c r="L33" s="65"/>
      <c r="M33" s="65"/>
      <c r="N33" s="65"/>
      <c r="O33" s="65"/>
    </row>
    <row r="34" spans="1:15" ht="19.149999999999999" customHeight="1" x14ac:dyDescent="0.3">
      <c r="B34" s="62" t="s">
        <v>18</v>
      </c>
      <c r="C34" s="18"/>
      <c r="D34" s="68"/>
      <c r="E34" s="18"/>
      <c r="F34" s="69"/>
      <c r="G34" s="68"/>
      <c r="H34" s="68"/>
      <c r="I34" s="68"/>
      <c r="J34" s="18"/>
      <c r="K34" s="18"/>
      <c r="L34" s="18"/>
      <c r="M34" s="18"/>
      <c r="N34" s="18"/>
      <c r="O34" s="18"/>
    </row>
    <row r="35" spans="1:15" ht="19.149999999999999" customHeight="1" x14ac:dyDescent="0.25">
      <c r="B35" s="67" t="s">
        <v>65</v>
      </c>
      <c r="C35" s="70">
        <f>+D35-100</f>
        <v>1800</v>
      </c>
      <c r="D35" s="70">
        <f>+E35-100</f>
        <v>1900</v>
      </c>
      <c r="E35" s="71">
        <f>2000</f>
        <v>2000</v>
      </c>
      <c r="F35" s="69"/>
      <c r="G35" s="68"/>
      <c r="H35" s="68"/>
      <c r="I35" s="68"/>
      <c r="J35" s="18"/>
      <c r="K35" s="18"/>
      <c r="L35" s="18"/>
      <c r="M35" s="18"/>
      <c r="N35" s="18"/>
      <c r="O35" s="18"/>
    </row>
    <row r="36" spans="1:15" ht="19.149999999999999" customHeight="1" x14ac:dyDescent="0.25">
      <c r="B36" s="67" t="s">
        <v>42</v>
      </c>
      <c r="C36" s="70"/>
      <c r="D36" s="70"/>
      <c r="E36" s="71"/>
      <c r="F36" s="37">
        <f>2100</f>
        <v>2100</v>
      </c>
      <c r="G36" s="9">
        <f>+F36+100</f>
        <v>2200</v>
      </c>
      <c r="H36" s="9">
        <f t="shared" ref="H36:O36" si="13">+G36+100</f>
        <v>2300</v>
      </c>
      <c r="I36" s="9">
        <f t="shared" si="13"/>
        <v>2400</v>
      </c>
      <c r="J36" s="9">
        <f>+I36+100</f>
        <v>2500</v>
      </c>
      <c r="K36" s="9">
        <f t="shared" si="13"/>
        <v>2600</v>
      </c>
      <c r="L36" s="9">
        <f>+K36+100+(N7*O7/1000000)</f>
        <v>2702.3652000000002</v>
      </c>
      <c r="M36" s="9">
        <f>+L36+100-(N10*O10)/1000000</f>
        <v>2799.9124000000002</v>
      </c>
      <c r="N36" s="9">
        <f t="shared" si="13"/>
        <v>2899.9124000000002</v>
      </c>
      <c r="O36" s="9">
        <f t="shared" si="13"/>
        <v>2999.9124000000002</v>
      </c>
    </row>
    <row r="37" spans="1:15" ht="19.149999999999999" customHeight="1" x14ac:dyDescent="0.25">
      <c r="B37" s="72" t="s">
        <v>57</v>
      </c>
      <c r="C37" s="24">
        <f>SUM(C38:C42)</f>
        <v>34.205200000000005</v>
      </c>
      <c r="D37" s="24">
        <f t="shared" ref="D37:O37" si="14">SUM(D38:D42)</f>
        <v>52.507116666666661</v>
      </c>
      <c r="E37" s="24">
        <f t="shared" si="14"/>
        <v>52.596241666666664</v>
      </c>
      <c r="F37" s="39">
        <f t="shared" si="14"/>
        <v>36.502116666666666</v>
      </c>
      <c r="G37" s="24">
        <f t="shared" si="14"/>
        <v>36.502116666666666</v>
      </c>
      <c r="H37" s="24">
        <f t="shared" si="14"/>
        <v>36.502116666666666</v>
      </c>
      <c r="I37" s="24">
        <f t="shared" si="14"/>
        <v>36.502116666666666</v>
      </c>
      <c r="J37" s="24">
        <f t="shared" si="14"/>
        <v>36.502116666666666</v>
      </c>
      <c r="K37" s="24">
        <f t="shared" si="14"/>
        <v>36.502116666666666</v>
      </c>
      <c r="L37" s="24">
        <f t="shared" si="14"/>
        <v>36.502116666666666</v>
      </c>
      <c r="M37" s="24">
        <f t="shared" si="14"/>
        <v>36.502116666666666</v>
      </c>
      <c r="N37" s="24">
        <f t="shared" si="14"/>
        <v>36.502116666666666</v>
      </c>
      <c r="O37" s="24">
        <f t="shared" si="14"/>
        <v>36.502116666666666</v>
      </c>
    </row>
    <row r="38" spans="1:15" ht="19.149999999999999" customHeight="1" x14ac:dyDescent="0.25">
      <c r="B38" s="34" t="s">
        <v>47</v>
      </c>
      <c r="C38" s="25">
        <f>($G$7*$I$7)/1000000</f>
        <v>23.668199999999999</v>
      </c>
      <c r="D38" s="25">
        <f t="shared" ref="D38:O38" si="15">($G$7*$I$7)/1000000</f>
        <v>23.668199999999999</v>
      </c>
      <c r="E38" s="25">
        <f t="shared" si="15"/>
        <v>23.668199999999999</v>
      </c>
      <c r="F38" s="40">
        <f t="shared" si="15"/>
        <v>23.668199999999999</v>
      </c>
      <c r="G38" s="25">
        <f t="shared" si="15"/>
        <v>23.668199999999999</v>
      </c>
      <c r="H38" s="25">
        <f t="shared" si="15"/>
        <v>23.668199999999999</v>
      </c>
      <c r="I38" s="25">
        <f t="shared" si="15"/>
        <v>23.668199999999999</v>
      </c>
      <c r="J38" s="25">
        <f t="shared" si="15"/>
        <v>23.668199999999999</v>
      </c>
      <c r="K38" s="25">
        <f t="shared" si="15"/>
        <v>23.668199999999999</v>
      </c>
      <c r="L38" s="25">
        <f t="shared" si="15"/>
        <v>23.668199999999999</v>
      </c>
      <c r="M38" s="25">
        <f t="shared" si="15"/>
        <v>23.668199999999999</v>
      </c>
      <c r="N38" s="25">
        <f t="shared" si="15"/>
        <v>23.668199999999999</v>
      </c>
      <c r="O38" s="25">
        <f t="shared" si="15"/>
        <v>23.668199999999999</v>
      </c>
    </row>
    <row r="39" spans="1:15" ht="19.149999999999999" customHeight="1" x14ac:dyDescent="0.25">
      <c r="A39" s="18"/>
      <c r="B39" s="34" t="s">
        <v>48</v>
      </c>
      <c r="C39" s="25">
        <v>0</v>
      </c>
      <c r="D39" s="25">
        <f>+($G$10*$I$10)/1000000</f>
        <v>1.7250000000000001E-2</v>
      </c>
      <c r="E39" s="25">
        <f t="shared" ref="E39:O39" si="16">+($G$10*$I$10)/1000000</f>
        <v>1.7250000000000001E-2</v>
      </c>
      <c r="F39" s="40">
        <f t="shared" si="16"/>
        <v>1.7250000000000001E-2</v>
      </c>
      <c r="G39" s="25">
        <f t="shared" si="16"/>
        <v>1.7250000000000001E-2</v>
      </c>
      <c r="H39" s="25">
        <f t="shared" si="16"/>
        <v>1.7250000000000001E-2</v>
      </c>
      <c r="I39" s="25">
        <f t="shared" si="16"/>
        <v>1.7250000000000001E-2</v>
      </c>
      <c r="J39" s="25">
        <f t="shared" si="16"/>
        <v>1.7250000000000001E-2</v>
      </c>
      <c r="K39" s="25">
        <f t="shared" si="16"/>
        <v>1.7250000000000001E-2</v>
      </c>
      <c r="L39" s="25">
        <f t="shared" si="16"/>
        <v>1.7250000000000001E-2</v>
      </c>
      <c r="M39" s="25">
        <f t="shared" si="16"/>
        <v>1.7250000000000001E-2</v>
      </c>
      <c r="N39" s="25">
        <f t="shared" si="16"/>
        <v>1.7250000000000001E-2</v>
      </c>
      <c r="O39" s="25">
        <f t="shared" si="16"/>
        <v>1.7250000000000001E-2</v>
      </c>
    </row>
    <row r="40" spans="1:15" ht="19.149999999999999" customHeight="1" x14ac:dyDescent="0.25">
      <c r="B40" s="34" t="s">
        <v>49</v>
      </c>
      <c r="C40" s="25"/>
      <c r="D40" s="25">
        <f>$G$8/3*$I$8/1000000</f>
        <v>2.3666666666666671</v>
      </c>
      <c r="E40" s="25">
        <f t="shared" ref="E40:O40" si="17">$G$8/3*$I$8/1000000</f>
        <v>2.3666666666666671</v>
      </c>
      <c r="F40" s="40">
        <f t="shared" si="17"/>
        <v>2.3666666666666671</v>
      </c>
      <c r="G40" s="25">
        <f t="shared" si="17"/>
        <v>2.3666666666666671</v>
      </c>
      <c r="H40" s="25">
        <f t="shared" si="17"/>
        <v>2.3666666666666671</v>
      </c>
      <c r="I40" s="25">
        <f t="shared" si="17"/>
        <v>2.3666666666666671</v>
      </c>
      <c r="J40" s="25">
        <f t="shared" si="17"/>
        <v>2.3666666666666671</v>
      </c>
      <c r="K40" s="25">
        <f t="shared" si="17"/>
        <v>2.3666666666666671</v>
      </c>
      <c r="L40" s="25">
        <f t="shared" si="17"/>
        <v>2.3666666666666671</v>
      </c>
      <c r="M40" s="25">
        <f t="shared" si="17"/>
        <v>2.3666666666666671</v>
      </c>
      <c r="N40" s="25">
        <f t="shared" si="17"/>
        <v>2.3666666666666671</v>
      </c>
      <c r="O40" s="25">
        <f t="shared" si="17"/>
        <v>2.3666666666666671</v>
      </c>
    </row>
    <row r="41" spans="1:15" ht="19.149999999999999" customHeight="1" x14ac:dyDescent="0.25">
      <c r="B41" s="34" t="s">
        <v>50</v>
      </c>
      <c r="C41" s="25">
        <f>$G$9*$I$9/1000000</f>
        <v>10.45</v>
      </c>
      <c r="D41" s="25">
        <f>$G$9*$I$9/1000000</f>
        <v>10.45</v>
      </c>
      <c r="E41" s="25">
        <f t="shared" ref="E41:O41" si="18">$G$9*$I$9/1000000</f>
        <v>10.45</v>
      </c>
      <c r="F41" s="40">
        <f t="shared" si="18"/>
        <v>10.45</v>
      </c>
      <c r="G41" s="25">
        <f t="shared" si="18"/>
        <v>10.45</v>
      </c>
      <c r="H41" s="25">
        <f t="shared" si="18"/>
        <v>10.45</v>
      </c>
      <c r="I41" s="25">
        <f t="shared" si="18"/>
        <v>10.45</v>
      </c>
      <c r="J41" s="25">
        <f t="shared" si="18"/>
        <v>10.45</v>
      </c>
      <c r="K41" s="25">
        <f t="shared" si="18"/>
        <v>10.45</v>
      </c>
      <c r="L41" s="25">
        <f t="shared" si="18"/>
        <v>10.45</v>
      </c>
      <c r="M41" s="25">
        <f t="shared" si="18"/>
        <v>10.45</v>
      </c>
      <c r="N41" s="25">
        <f t="shared" si="18"/>
        <v>10.45</v>
      </c>
      <c r="O41" s="25">
        <f t="shared" si="18"/>
        <v>10.45</v>
      </c>
    </row>
    <row r="42" spans="1:15" ht="19.149999999999999" customHeight="1" x14ac:dyDescent="0.25">
      <c r="B42" s="34" t="s">
        <v>26</v>
      </c>
      <c r="C42" s="25">
        <f>0+(C29*C12)/1000000</f>
        <v>8.6999999999999994E-2</v>
      </c>
      <c r="D42" s="25">
        <f>16+(D29*C12)/1000000</f>
        <v>16.004999999999999</v>
      </c>
      <c r="E42" s="25">
        <f>16+(E29*C12)/1000000</f>
        <v>16.094124999999998</v>
      </c>
      <c r="F42" s="40"/>
      <c r="G42" s="25">
        <v>0</v>
      </c>
      <c r="H42" s="25">
        <v>0</v>
      </c>
      <c r="I42" s="25">
        <v>0</v>
      </c>
      <c r="J42" s="25">
        <v>0</v>
      </c>
      <c r="K42" s="25">
        <v>0</v>
      </c>
      <c r="L42" s="25">
        <v>0</v>
      </c>
      <c r="M42" s="25">
        <v>0</v>
      </c>
      <c r="N42" s="25">
        <v>0</v>
      </c>
      <c r="O42" s="25">
        <v>0</v>
      </c>
    </row>
    <row r="43" spans="1:15" ht="19.149999999999999" customHeight="1" x14ac:dyDescent="0.25">
      <c r="B43" s="67" t="s">
        <v>56</v>
      </c>
      <c r="C43" s="23">
        <f>($C$7*($G$7+$G$8+$G$9)+$C$8*(C25+C32))/1000000</f>
        <v>65.527476367268861</v>
      </c>
      <c r="D43" s="23">
        <f>($C$7*($G$7+$G$8+$G$9+$G$10)+$C$8*(D25+D32))/1000000</f>
        <v>65.532994668544106</v>
      </c>
      <c r="E43" s="23">
        <f>($C$7*($G$7+$G$8+$G$9+$G$10)+$C$8*(E25+E32))/1000000</f>
        <v>65.532994668544106</v>
      </c>
      <c r="F43" s="39">
        <f>($C$7*($G$7+$G$8+$G$9+$G$10)+$C$8*(F25+F32))/1000000</f>
        <v>65.532994668544106</v>
      </c>
      <c r="G43" s="23">
        <f>($C$7*($G$7+$G$8+$G$9+$G$10+$G$11)+$C$8*(G25+G32))/1000000</f>
        <v>65.902480927842717</v>
      </c>
      <c r="H43" s="23">
        <f>($C$7*($G$7+$G$8+$G$9+$G$10+$G$11+$G$12)+$C$8*(H25+H32))/1000000</f>
        <v>66.814200268969174</v>
      </c>
      <c r="I43" s="23">
        <f>($C$7*($G$7+$G$8+$G$9+$G$10+$G$11+$G$12)+$C$8*(I25+I32))/1000000</f>
        <v>66.814200268969174</v>
      </c>
      <c r="J43" s="23">
        <f>($C$7*($G$7+$G$8+$G$9+$G$10+$G$11+$G$12)+$C$8*(J25+J32))/1000000</f>
        <v>66.814200268969174</v>
      </c>
      <c r="K43" s="23">
        <f>($C$7*($G$7+$G$8+$G$9+$G$10+$G$11+$G$12)+$C$8*(K25+K32))/1000000</f>
        <v>229.25842426896918</v>
      </c>
      <c r="L43" s="23">
        <f>($C$7*($G$7+$G$8+$G$9+$G$10+$G$11+$G$12)+$C$8*(L25+L32))/1000000</f>
        <v>229.25842426896918</v>
      </c>
      <c r="M43" s="23">
        <f>($C$7*($G$7+$G$8+$G$9+$G$10+$G$11+$G$12)+$C$8*(M25+M32))/1000000</f>
        <v>363.3224242689692</v>
      </c>
      <c r="N43" s="23">
        <f>($C$7*($G$7+$G$8+$G$9+$G$10+$G$11+$G$12)+$C$8*(N25+N32))/1000000</f>
        <v>363.3224242689692</v>
      </c>
      <c r="O43" s="23">
        <f>($C$7*($G$7+$G$8+$G$9)+$C$8*(O25+O32))/1000000</f>
        <v>362.03570036726887</v>
      </c>
    </row>
    <row r="44" spans="1:15" ht="19.149999999999999" customHeight="1" x14ac:dyDescent="0.25">
      <c r="B44" s="67" t="s">
        <v>21</v>
      </c>
      <c r="C44" s="23">
        <v>0</v>
      </c>
      <c r="D44" s="23">
        <v>0</v>
      </c>
      <c r="E44" s="23">
        <v>0</v>
      </c>
      <c r="F44" s="39">
        <v>0</v>
      </c>
      <c r="G44" s="23">
        <v>0</v>
      </c>
      <c r="H44" s="23">
        <v>0</v>
      </c>
      <c r="I44" s="23">
        <v>0</v>
      </c>
      <c r="J44" s="23">
        <v>0</v>
      </c>
      <c r="K44" s="23">
        <v>0</v>
      </c>
      <c r="L44" s="23">
        <v>0</v>
      </c>
      <c r="M44" s="23">
        <v>0</v>
      </c>
      <c r="N44" s="23">
        <v>0</v>
      </c>
      <c r="O44" s="23">
        <v>0</v>
      </c>
    </row>
    <row r="45" spans="1:15" s="18" customFormat="1" ht="19.149999999999999" customHeight="1" x14ac:dyDescent="0.25">
      <c r="B45" s="98" t="s">
        <v>17</v>
      </c>
      <c r="C45" s="99">
        <f>+C35-C37+C43+C44</f>
        <v>1831.3222763672688</v>
      </c>
      <c r="D45" s="99">
        <f t="shared" ref="D45:E45" si="19">+D35-D37+D43+D44</f>
        <v>1913.0258780018773</v>
      </c>
      <c r="E45" s="99">
        <f t="shared" si="19"/>
        <v>2012.9367530018774</v>
      </c>
      <c r="F45" s="100">
        <f>+F36-F37+F43+F44</f>
        <v>2129.0308780018777</v>
      </c>
      <c r="G45" s="99">
        <f>+G36-G37+G43+G44</f>
        <v>2229.400364261176</v>
      </c>
      <c r="H45" s="99">
        <f>+H36-H37+H43+H44</f>
        <v>2330.3120836023027</v>
      </c>
      <c r="I45" s="99">
        <f>+I36-I37+I43+I44</f>
        <v>2430.3120836023027</v>
      </c>
      <c r="J45" s="99">
        <f>+J36-J37+J43+J44</f>
        <v>2530.3120836023027</v>
      </c>
      <c r="K45" s="99">
        <f>+K36-K37+K43+K44</f>
        <v>2792.7563076023025</v>
      </c>
      <c r="L45" s="99">
        <f>+L36-L37+L43+L44</f>
        <v>2895.1215076023027</v>
      </c>
      <c r="M45" s="99">
        <f>+M36-M37+M43+M44</f>
        <v>3126.732707602303</v>
      </c>
      <c r="N45" s="99">
        <f>+N36-N37+N43+N44</f>
        <v>3226.732707602303</v>
      </c>
      <c r="O45" s="99">
        <f>+O36-O37+O43+O44</f>
        <v>3325.4459837006025</v>
      </c>
    </row>
    <row r="46" spans="1:15" ht="19.149999999999999" customHeight="1" x14ac:dyDescent="0.25">
      <c r="B46" s="19"/>
      <c r="C46" s="19"/>
      <c r="D46" s="19"/>
      <c r="E46" s="2"/>
      <c r="F46" s="41"/>
      <c r="G46" s="2"/>
      <c r="H46" s="2"/>
      <c r="I46" s="2"/>
      <c r="J46" s="2"/>
      <c r="K46" s="2"/>
      <c r="L46" s="2"/>
      <c r="M46" s="2"/>
      <c r="N46" s="2"/>
      <c r="O46" s="2"/>
    </row>
    <row r="47" spans="1:15" ht="19.149999999999999" customHeight="1" x14ac:dyDescent="0.3">
      <c r="B47" s="73" t="s">
        <v>19</v>
      </c>
      <c r="C47" s="19"/>
      <c r="D47" s="19"/>
      <c r="E47" s="2"/>
      <c r="F47" s="41"/>
      <c r="G47" s="2"/>
      <c r="H47" s="2"/>
      <c r="I47" s="2"/>
      <c r="J47" s="2"/>
      <c r="K47" s="2"/>
      <c r="L47" s="2"/>
      <c r="M47" s="2"/>
      <c r="N47" s="2"/>
      <c r="O47" s="2"/>
    </row>
    <row r="48" spans="1:15" ht="19.149999999999999" customHeight="1" x14ac:dyDescent="0.25">
      <c r="B48" s="67" t="s">
        <v>53</v>
      </c>
      <c r="C48" s="70">
        <f>+D48-100</f>
        <v>1800</v>
      </c>
      <c r="D48" s="70">
        <f>+E48-100</f>
        <v>1900</v>
      </c>
      <c r="E48" s="71">
        <f>2000</f>
        <v>2000</v>
      </c>
      <c r="F48" s="37">
        <f>+F36</f>
        <v>2100</v>
      </c>
      <c r="G48" s="9">
        <f>+F48+100</f>
        <v>2200</v>
      </c>
      <c r="H48" s="9">
        <f t="shared" ref="H48" si="20">+G48+100</f>
        <v>2300</v>
      </c>
      <c r="I48" s="9">
        <f t="shared" ref="I48" si="21">+H48+100</f>
        <v>2400</v>
      </c>
      <c r="J48" s="9">
        <f>+I48+100</f>
        <v>2500</v>
      </c>
      <c r="K48" s="9">
        <f t="shared" ref="K48" si="22">+J48+100</f>
        <v>2600</v>
      </c>
      <c r="L48" s="9">
        <f t="shared" ref="L48" si="23">+K48+100</f>
        <v>2700</v>
      </c>
      <c r="M48" s="9">
        <f t="shared" ref="M48" si="24">+L48+100</f>
        <v>2800</v>
      </c>
      <c r="N48" s="9">
        <f t="shared" ref="N48" si="25">+M48+100</f>
        <v>2900</v>
      </c>
      <c r="O48" s="9">
        <f t="shared" ref="O48" si="26">+N48+100</f>
        <v>3000</v>
      </c>
    </row>
    <row r="49" spans="2:17" ht="19.149999999999999" customHeight="1" x14ac:dyDescent="0.25">
      <c r="B49" s="74" t="s">
        <v>55</v>
      </c>
      <c r="C49" s="114">
        <f>SUM(C50:C54)</f>
        <v>0</v>
      </c>
      <c r="D49" s="114">
        <f t="shared" ref="D49:O49" si="27">SUM(D50:D54)</f>
        <v>0</v>
      </c>
      <c r="E49" s="114">
        <f t="shared" si="27"/>
        <v>0</v>
      </c>
      <c r="F49" s="115">
        <f t="shared" si="27"/>
        <v>0</v>
      </c>
      <c r="G49" s="24">
        <f t="shared" si="27"/>
        <v>1.0009999999999999</v>
      </c>
      <c r="H49" s="24">
        <f t="shared" si="27"/>
        <v>3.2810000000000001</v>
      </c>
      <c r="I49" s="24">
        <f t="shared" si="27"/>
        <v>3.2810000000000001</v>
      </c>
      <c r="J49" s="24">
        <f t="shared" si="27"/>
        <v>3.2810000000000001</v>
      </c>
      <c r="K49" s="24">
        <f t="shared" si="27"/>
        <v>110.15220000000001</v>
      </c>
      <c r="L49" s="24">
        <f t="shared" si="27"/>
        <v>110.15220000000001</v>
      </c>
      <c r="M49" s="24">
        <f t="shared" si="27"/>
        <v>198.35220000000001</v>
      </c>
      <c r="N49" s="24">
        <f t="shared" si="27"/>
        <v>198.35220000000001</v>
      </c>
      <c r="O49" s="24">
        <f t="shared" si="27"/>
        <v>198.35220000000001</v>
      </c>
      <c r="Q49" s="20"/>
    </row>
    <row r="50" spans="2:17" ht="19.149999999999999" customHeight="1" x14ac:dyDescent="0.25">
      <c r="B50" s="75" t="s">
        <v>47</v>
      </c>
      <c r="C50" s="25">
        <f>IF($C$9&lt;$C$10+$C$8,C$25*$C$9,0)/1000000</f>
        <v>0</v>
      </c>
      <c r="D50" s="25">
        <f>IF($C$9&lt;$C$10+$C$8,D$25*$C$9,0)/1000000</f>
        <v>0</v>
      </c>
      <c r="E50" s="25">
        <f>IF($C$9&lt;$C$10+$C$8,E$25*$C$9,0)/1000000</f>
        <v>0</v>
      </c>
      <c r="F50" s="40">
        <f>IF($C$9&lt;$C$10+$C$8,F$25*$C$9,0)/1000000</f>
        <v>0</v>
      </c>
      <c r="G50" s="25">
        <f>IF($C$9&lt;$C$10+$C$8,G$25*$C$9,0)/1000000</f>
        <v>0</v>
      </c>
      <c r="H50" s="25">
        <f>IF($C$9&lt;$C$10+$C$8,H$25*$C$9,0)/1000000</f>
        <v>0</v>
      </c>
      <c r="I50" s="25">
        <f>IF($C$9&lt;$C$10+$C$8,I$25*$C$9,0)/1000000</f>
        <v>0</v>
      </c>
      <c r="J50" s="25">
        <f>IF($C$9&lt;$C$10+$C$8,J$25*$C$9,0)/1000000</f>
        <v>0</v>
      </c>
      <c r="K50" s="25">
        <f>IF($C$9&lt;$C$10+$C$8,K$25*$C$9,0)/1000000</f>
        <v>106.8712</v>
      </c>
      <c r="L50" s="25">
        <f>IF($C$9&lt;$C$10+$C$8,L$25*$C$9,0)/1000000</f>
        <v>106.8712</v>
      </c>
      <c r="M50" s="25">
        <f>IF($C$9&lt;$C$10+$C$8,M$25*$C$9,0)/1000000</f>
        <v>195.0712</v>
      </c>
      <c r="N50" s="25">
        <f>IF($C$9&lt;$C$10+$C$8,N$25*$C$9,0)/1000000</f>
        <v>195.0712</v>
      </c>
      <c r="O50" s="25">
        <f>IF($C$9&lt;$C$10+$C$8,O$25*$C$9,0)/1000000</f>
        <v>195.0712</v>
      </c>
    </row>
    <row r="51" spans="2:17" ht="19.149999999999999" customHeight="1" x14ac:dyDescent="0.25">
      <c r="B51" s="75" t="s">
        <v>48</v>
      </c>
      <c r="C51" s="25">
        <f>IF($C$11&lt;$C$12+$C$8,C$32*$C$11,0)/1000000</f>
        <v>0</v>
      </c>
      <c r="D51" s="25">
        <f>IF($C$11&lt;$C$12+$C$8,D$32*$C$11,0)/1000000</f>
        <v>0</v>
      </c>
      <c r="E51" s="25">
        <f>IF($C$11&lt;$C$12+$C$8,E$32*$C$11,0)/1000000</f>
        <v>0</v>
      </c>
      <c r="F51" s="40">
        <f>+IF($C$11&lt;$C$12+$C$8,F$32*$C$11,0)/1000000</f>
        <v>0</v>
      </c>
      <c r="G51" s="25">
        <f>(+$G$11*$I$11)/1000000+IF($C$11&lt;$C$12+$C$8,G$32*$C$11,0)/1000000</f>
        <v>1.0009999999999999</v>
      </c>
      <c r="H51" s="25">
        <f>(+$G$11*$I$11+$G$12*$I$12)/1000000+IF($C$11&lt;$C$12+$C$8,H$32*$C$11,0)/1000000</f>
        <v>3.2810000000000001</v>
      </c>
      <c r="I51" s="25">
        <f t="shared" ref="I51:O51" si="28">(+$G$11*$I$11+$G$12*$I$12)/1000000+IF($C$11&lt;$C$12+$C$8,I$32*$C$11,0)/1000000</f>
        <v>3.2810000000000001</v>
      </c>
      <c r="J51" s="25">
        <f t="shared" si="28"/>
        <v>3.2810000000000001</v>
      </c>
      <c r="K51" s="25">
        <f t="shared" si="28"/>
        <v>3.2810000000000001</v>
      </c>
      <c r="L51" s="25">
        <f t="shared" si="28"/>
        <v>3.2810000000000001</v>
      </c>
      <c r="M51" s="25">
        <f t="shared" si="28"/>
        <v>3.2810000000000001</v>
      </c>
      <c r="N51" s="25">
        <f t="shared" si="28"/>
        <v>3.2810000000000001</v>
      </c>
      <c r="O51" s="25">
        <f t="shared" si="28"/>
        <v>3.2810000000000001</v>
      </c>
    </row>
    <row r="52" spans="2:17" ht="19.149999999999999" customHeight="1" x14ac:dyDescent="0.25">
      <c r="B52" s="75" t="s">
        <v>49</v>
      </c>
      <c r="C52" s="25">
        <v>0</v>
      </c>
      <c r="D52" s="25">
        <v>0</v>
      </c>
      <c r="E52" s="25">
        <v>0</v>
      </c>
      <c r="F52" s="40">
        <v>0</v>
      </c>
      <c r="G52" s="25">
        <v>0</v>
      </c>
      <c r="H52" s="25">
        <v>0</v>
      </c>
      <c r="I52" s="25">
        <v>0</v>
      </c>
      <c r="J52" s="25">
        <v>0</v>
      </c>
      <c r="K52" s="25">
        <v>0</v>
      </c>
      <c r="L52" s="25">
        <v>0</v>
      </c>
      <c r="M52" s="25">
        <v>0</v>
      </c>
      <c r="N52" s="25">
        <v>0</v>
      </c>
      <c r="O52" s="25">
        <v>0</v>
      </c>
    </row>
    <row r="53" spans="2:17" ht="19.149999999999999" customHeight="1" x14ac:dyDescent="0.25">
      <c r="B53" s="75" t="s">
        <v>50</v>
      </c>
      <c r="C53" s="25">
        <v>0</v>
      </c>
      <c r="D53" s="25">
        <v>0</v>
      </c>
      <c r="E53" s="25">
        <v>0</v>
      </c>
      <c r="F53" s="40">
        <v>0</v>
      </c>
      <c r="G53" s="25">
        <v>0</v>
      </c>
      <c r="H53" s="25">
        <v>0</v>
      </c>
      <c r="I53" s="25">
        <v>0</v>
      </c>
      <c r="J53" s="25">
        <v>0</v>
      </c>
      <c r="K53" s="25">
        <v>0</v>
      </c>
      <c r="L53" s="25">
        <v>0</v>
      </c>
      <c r="M53" s="25">
        <v>0</v>
      </c>
      <c r="N53" s="25">
        <v>0</v>
      </c>
      <c r="O53" s="25">
        <v>0</v>
      </c>
    </row>
    <row r="54" spans="2:17" ht="19.149999999999999" customHeight="1" x14ac:dyDescent="0.25">
      <c r="B54" s="75" t="s">
        <v>25</v>
      </c>
      <c r="C54" s="25">
        <f>(IF($C$9&lt;$C$10+$C$8,0,C$25*$C$10+C$25*$C$8)+IF($C$11&lt;$C$12+$C$8,0,C$32*$C$12+C$32*$C$8))/1000000</f>
        <v>0</v>
      </c>
      <c r="D54" s="25">
        <f>(IF($C$9&lt;$C$10+$C$8,0,D$25*$C$10+D$25*$C$8)+IF($C$11&lt;$C$12+$C$8,0,D$32*$C$12+D$32*$C$8))/1000000</f>
        <v>0</v>
      </c>
      <c r="E54" s="25">
        <f>(IF($C$9&lt;$C$10+$C$8,0,E$25*$C$10+E$25*$C$8)+IF($C$11&lt;$C$12+$C$8,0,E$32*$C$12+E$32*$C$8))/1000000</f>
        <v>0</v>
      </c>
      <c r="F54" s="40">
        <f>(IF($C$9&lt;$C$10+$C$8,0,F$25*$C$10+F$25*$C$8)+IF($C$11&lt;$C$12+$C$8,0,F$32*$C$12+F$32*$C$8))/1000000</f>
        <v>0</v>
      </c>
      <c r="G54" s="25">
        <f>(IF($C$9&lt;$C$10+$C$8,0,G$25*$C$10+G$25*$C$8)+IF($C$11&lt;$C$12+$C$8,0,G$32*$C$12+G$32*$C$8))/1000000</f>
        <v>0</v>
      </c>
      <c r="H54" s="25">
        <f>(IF($C$9&lt;$C$10+$C$8,0,H$25*$C$10+H$25*$C$8)+IF($C$11&lt;$C$12+$C$8,0,H$32*$C$12+H$32*$C$8))/1000000</f>
        <v>0</v>
      </c>
      <c r="I54" s="25">
        <f>(IF($C$9&lt;$C$10+$C$8,0,I$25*$C$10+I$25*$C$8)+IF($C$11&lt;$C$12+$C$8,0,I$32*$C$12+I$32*$C$8))/1000000</f>
        <v>0</v>
      </c>
      <c r="J54" s="25">
        <f>(IF($C$9&lt;$C$10+$C$8,0,J$25*$C$10+J$25*$C$8)+IF($C$11&lt;$C$12+$C$8,0,J$32*$C$12+J$32*$C$8))/1000000</f>
        <v>0</v>
      </c>
      <c r="K54" s="25">
        <f>(IF($C$9&lt;$C$10+$C$8,0,K$25*$C$10+K$25*$C$8)+IF($C$11&lt;$C$12+$C$8,0,K$32*$C$12+K$32*$C$8))/1000000</f>
        <v>0</v>
      </c>
      <c r="L54" s="25">
        <f>(IF($C$9&lt;$C$10+$C$8,0,L$25*$C$10+L$25*$C$8)+IF($C$11&lt;$C$12+$C$8,0,L$32*$C$12+L$32*$C$8))/1000000</f>
        <v>0</v>
      </c>
      <c r="M54" s="25">
        <f>(IF($C$9&lt;$C$10+$C$8,0,M$25*$C$10+M$25*$C$8)+IF($C$11&lt;$C$12+$C$8,0,M$32*$C$12+M$32*$C$8))/1000000</f>
        <v>0</v>
      </c>
      <c r="N54" s="25">
        <f>(IF($C$9&lt;$C$10+$C$8,0,N$25*$C$10+N$25*$C$8)+IF($C$11&lt;$C$12+$C$8,0,N$32*$C$12+N$32*$C$8))/1000000</f>
        <v>0</v>
      </c>
      <c r="O54" s="25">
        <f>(IF($C$9&lt;$C$10+$C$8,0,O$25*$C$10+O$25*$C$8)+IF($C$11&lt;$C$12+$C$8,0,O$32*$C$12+O$32*$C$8))/1000000</f>
        <v>0</v>
      </c>
    </row>
    <row r="55" spans="2:17" ht="19.149999999999999" customHeight="1" x14ac:dyDescent="0.25">
      <c r="B55" s="17" t="s">
        <v>5</v>
      </c>
      <c r="C55" s="4">
        <v>0</v>
      </c>
      <c r="D55" s="4">
        <v>0</v>
      </c>
      <c r="E55" s="4">
        <v>0</v>
      </c>
      <c r="F55" s="37">
        <v>60.5</v>
      </c>
      <c r="G55" s="4">
        <v>0</v>
      </c>
      <c r="H55" s="4">
        <v>0</v>
      </c>
      <c r="I55" s="4">
        <v>0</v>
      </c>
      <c r="J55" s="4">
        <v>0</v>
      </c>
      <c r="K55" s="4">
        <v>0</v>
      </c>
      <c r="L55" s="4">
        <v>0</v>
      </c>
      <c r="M55" s="4">
        <v>0</v>
      </c>
      <c r="N55" s="4">
        <v>0</v>
      </c>
      <c r="O55" s="4">
        <v>0</v>
      </c>
    </row>
    <row r="56" spans="2:17" s="18" customFormat="1" ht="19.149999999999999" customHeight="1" x14ac:dyDescent="0.25">
      <c r="B56" s="101" t="s">
        <v>16</v>
      </c>
      <c r="C56" s="102">
        <f t="shared" ref="C56:N56" si="29">C48+C49+C55</f>
        <v>1800</v>
      </c>
      <c r="D56" s="102">
        <f t="shared" si="29"/>
        <v>1900</v>
      </c>
      <c r="E56" s="102">
        <f t="shared" si="29"/>
        <v>2000</v>
      </c>
      <c r="F56" s="103">
        <f t="shared" si="29"/>
        <v>2160.5</v>
      </c>
      <c r="G56" s="102">
        <f t="shared" si="29"/>
        <v>2201.0010000000002</v>
      </c>
      <c r="H56" s="102">
        <f t="shared" si="29"/>
        <v>2303.2809999999999</v>
      </c>
      <c r="I56" s="102">
        <f t="shared" si="29"/>
        <v>2403.2809999999999</v>
      </c>
      <c r="J56" s="102">
        <f t="shared" si="29"/>
        <v>2503.2809999999999</v>
      </c>
      <c r="K56" s="102">
        <f t="shared" si="29"/>
        <v>2710.1522</v>
      </c>
      <c r="L56" s="102">
        <f t="shared" si="29"/>
        <v>2810.1522</v>
      </c>
      <c r="M56" s="102">
        <f t="shared" si="29"/>
        <v>2998.3521999999998</v>
      </c>
      <c r="N56" s="102">
        <f t="shared" si="29"/>
        <v>3098.3521999999998</v>
      </c>
      <c r="O56" s="102">
        <f>O48+O49+O55</f>
        <v>3198.3521999999998</v>
      </c>
    </row>
    <row r="57" spans="2:17" ht="19.149999999999999" customHeight="1" x14ac:dyDescent="0.25">
      <c r="B57" s="76"/>
      <c r="C57" s="77"/>
      <c r="D57" s="77"/>
      <c r="E57" s="78"/>
      <c r="F57" s="37"/>
      <c r="G57" s="79"/>
      <c r="H57" s="79"/>
      <c r="I57" s="79"/>
      <c r="J57" s="9"/>
      <c r="K57" s="9"/>
      <c r="L57" s="9"/>
      <c r="M57" s="9"/>
      <c r="N57" s="9"/>
      <c r="O57" s="9"/>
    </row>
    <row r="58" spans="2:17" ht="40.5" customHeight="1" x14ac:dyDescent="0.3">
      <c r="B58" s="73" t="s">
        <v>61</v>
      </c>
      <c r="C58" s="80"/>
      <c r="D58" s="80"/>
      <c r="E58" s="9"/>
      <c r="F58" s="37"/>
      <c r="G58" s="9"/>
      <c r="H58" s="9"/>
      <c r="I58" s="9"/>
      <c r="J58" s="9"/>
      <c r="K58" s="9"/>
      <c r="L58" s="9"/>
      <c r="M58" s="9"/>
      <c r="N58" s="9"/>
      <c r="O58" s="9"/>
    </row>
    <row r="59" spans="2:17" ht="32.25" customHeight="1" x14ac:dyDescent="0.25">
      <c r="B59" s="76" t="s">
        <v>43</v>
      </c>
      <c r="C59" s="79">
        <f t="shared" ref="C59:E59" si="30">+C56-C45</f>
        <v>-31.322276367268842</v>
      </c>
      <c r="D59" s="79">
        <f t="shared" si="30"/>
        <v>-13.025878001877345</v>
      </c>
      <c r="E59" s="79">
        <f t="shared" si="30"/>
        <v>-12.936753001877378</v>
      </c>
      <c r="F59" s="81">
        <f>+F56-F45</f>
        <v>31.469121998122318</v>
      </c>
      <c r="G59" s="79">
        <f t="shared" ref="G59:O59" si="31">+G56-G45</f>
        <v>-28.399364261175833</v>
      </c>
      <c r="H59" s="79">
        <f t="shared" si="31"/>
        <v>-27.031083602302715</v>
      </c>
      <c r="I59" s="79">
        <f t="shared" si="31"/>
        <v>-27.031083602302715</v>
      </c>
      <c r="J59" s="79">
        <f t="shared" si="31"/>
        <v>-27.031083602302715</v>
      </c>
      <c r="K59" s="79">
        <f t="shared" si="31"/>
        <v>-82.60410760230252</v>
      </c>
      <c r="L59" s="79">
        <f t="shared" si="31"/>
        <v>-84.969307602302706</v>
      </c>
      <c r="M59" s="79">
        <f t="shared" si="31"/>
        <v>-128.38050760230317</v>
      </c>
      <c r="N59" s="79">
        <f t="shared" si="31"/>
        <v>-128.38050760230317</v>
      </c>
      <c r="O59" s="79">
        <f t="shared" si="31"/>
        <v>-127.09378370060267</v>
      </c>
    </row>
    <row r="60" spans="2:17" ht="28.9" customHeight="1" x14ac:dyDescent="0.25">
      <c r="B60" s="26" t="s">
        <v>71</v>
      </c>
      <c r="C60" s="13">
        <f t="shared" ref="C60:E60" si="32">+C59/C45</f>
        <v>-1.7103639687822598E-2</v>
      </c>
      <c r="D60" s="13">
        <f t="shared" si="32"/>
        <v>-6.8090443269291532E-3</v>
      </c>
      <c r="E60" s="13">
        <f t="shared" si="32"/>
        <v>-6.4268055032453931E-3</v>
      </c>
      <c r="F60" s="42">
        <f t="shared" ref="F60:O60" si="33">+F59/F45</f>
        <v>1.4780960822727233E-2</v>
      </c>
      <c r="G60" s="13">
        <f t="shared" si="33"/>
        <v>-1.2738566260433617E-2</v>
      </c>
      <c r="H60" s="13">
        <f t="shared" si="33"/>
        <v>-1.1599769744366958E-2</v>
      </c>
      <c r="I60" s="13">
        <f t="shared" si="33"/>
        <v>-1.1122474263567087E-2</v>
      </c>
      <c r="J60" s="13">
        <f t="shared" si="33"/>
        <v>-1.0682904997165274E-2</v>
      </c>
      <c r="K60" s="13">
        <f t="shared" si="33"/>
        <v>-2.9577986227241424E-2</v>
      </c>
      <c r="L60" s="13">
        <f t="shared" si="33"/>
        <v>-2.9349133492042288E-2</v>
      </c>
      <c r="M60" s="13">
        <f t="shared" si="33"/>
        <v>-4.1058996597361917E-2</v>
      </c>
      <c r="N60" s="13">
        <f t="shared" si="33"/>
        <v>-3.9786533077200315E-2</v>
      </c>
      <c r="O60" s="13">
        <f t="shared" si="33"/>
        <v>-3.8218568072836641E-2</v>
      </c>
    </row>
    <row r="61" spans="2:17" ht="19.149999999999999" customHeight="1" x14ac:dyDescent="0.25">
      <c r="D61" s="21"/>
      <c r="E61" s="21"/>
      <c r="F61" s="43"/>
      <c r="G61" s="21"/>
      <c r="H61" s="21"/>
      <c r="I61" s="21"/>
      <c r="J61" s="21"/>
      <c r="K61" s="21"/>
      <c r="L61" s="21"/>
      <c r="M61" s="21"/>
      <c r="N61" s="21"/>
      <c r="O61" s="21"/>
    </row>
    <row r="62" spans="2:17" ht="24.75" customHeight="1" thickBot="1" x14ac:dyDescent="0.45">
      <c r="B62" s="119" t="s">
        <v>68</v>
      </c>
      <c r="C62" s="50"/>
      <c r="D62" s="50"/>
      <c r="F62" s="61">
        <f>AVERAGE(F60:O60)</f>
        <v>-2.0935397190948828E-2</v>
      </c>
      <c r="G62" s="22"/>
      <c r="H62" s="22"/>
      <c r="I62" s="22"/>
      <c r="J62" s="22"/>
      <c r="K62" s="22"/>
      <c r="L62" s="22"/>
      <c r="M62" s="22"/>
      <c r="N62" s="22"/>
      <c r="O62" s="22"/>
    </row>
    <row r="63" spans="2:17" ht="19.149999999999999" customHeight="1" x14ac:dyDescent="0.4">
      <c r="B63" s="62"/>
      <c r="C63" s="63" t="s">
        <v>60</v>
      </c>
      <c r="D63" s="50"/>
      <c r="F63" s="64"/>
      <c r="G63" s="22"/>
      <c r="H63" s="22"/>
      <c r="I63" s="22"/>
      <c r="J63" s="22"/>
      <c r="K63" s="22"/>
      <c r="L63" s="22"/>
      <c r="M63" s="22"/>
      <c r="N63" s="22"/>
      <c r="O63" s="22"/>
    </row>
    <row r="64" spans="2:17" ht="19.149999999999999" customHeight="1" x14ac:dyDescent="0.4">
      <c r="B64" s="62"/>
      <c r="C64" s="50" t="s">
        <v>59</v>
      </c>
      <c r="D64" s="50"/>
      <c r="F64" s="64"/>
      <c r="G64" s="22"/>
      <c r="H64" s="22"/>
      <c r="I64" s="22"/>
      <c r="J64" s="22"/>
      <c r="K64" s="22"/>
      <c r="L64" s="22"/>
      <c r="M64" s="22"/>
      <c r="N64" s="22"/>
      <c r="O64" s="22"/>
    </row>
    <row r="65" spans="2:24" ht="19.149999999999999" customHeight="1" x14ac:dyDescent="0.4">
      <c r="B65" s="62"/>
      <c r="C65" s="50"/>
      <c r="D65" s="50"/>
      <c r="F65" s="64"/>
      <c r="G65" s="22"/>
      <c r="H65" s="22"/>
      <c r="I65" s="22"/>
      <c r="J65" s="22"/>
      <c r="K65" s="22"/>
      <c r="L65" s="22"/>
      <c r="M65" s="22"/>
      <c r="N65" s="22"/>
      <c r="O65" s="22"/>
    </row>
    <row r="66" spans="2:24" s="46" customFormat="1" ht="36.75" customHeight="1" x14ac:dyDescent="0.3">
      <c r="B66" s="116" t="s">
        <v>67</v>
      </c>
      <c r="C66" s="113">
        <f>AVERAGE(C60:O60)</f>
        <v>-1.8437958571345035E-2</v>
      </c>
      <c r="D66" s="105"/>
      <c r="E66" s="106"/>
      <c r="G66" s="106"/>
      <c r="H66" s="106"/>
      <c r="I66" s="106"/>
      <c r="J66" s="106"/>
      <c r="K66" s="106"/>
      <c r="L66" s="106"/>
      <c r="M66" s="106"/>
      <c r="N66" s="106"/>
      <c r="O66" s="107"/>
    </row>
    <row r="67" spans="2:24" s="46" customFormat="1" ht="19.149999999999999" customHeight="1" x14ac:dyDescent="0.25">
      <c r="B67" s="108"/>
      <c r="C67" s="106"/>
      <c r="D67" s="106"/>
      <c r="E67" s="106"/>
      <c r="F67" s="106"/>
      <c r="G67" s="106"/>
      <c r="H67" s="106"/>
      <c r="I67" s="106"/>
      <c r="J67" s="106"/>
      <c r="K67" s="106"/>
      <c r="L67" s="106"/>
      <c r="M67" s="106"/>
      <c r="N67" s="106"/>
      <c r="O67" s="106"/>
    </row>
    <row r="68" spans="2:24" s="46" customFormat="1" ht="19.149999999999999" customHeight="1" x14ac:dyDescent="0.25">
      <c r="B68" s="108"/>
      <c r="C68" s="109"/>
      <c r="D68" s="110"/>
      <c r="E68" s="110"/>
      <c r="F68" s="110"/>
      <c r="G68" s="111"/>
      <c r="H68" s="111"/>
      <c r="I68" s="111"/>
      <c r="J68" s="111"/>
      <c r="K68" s="111"/>
      <c r="L68" s="111"/>
      <c r="M68" s="111"/>
      <c r="N68" s="111"/>
      <c r="O68" s="111"/>
      <c r="P68" s="48"/>
    </row>
    <row r="69" spans="2:24" s="46" customFormat="1" ht="19.149999999999999" customHeight="1" x14ac:dyDescent="0.25">
      <c r="B69" s="108"/>
      <c r="C69" s="107"/>
      <c r="D69" s="107"/>
      <c r="E69" s="112"/>
      <c r="F69" s="112"/>
      <c r="G69" s="112"/>
      <c r="H69" s="112"/>
      <c r="I69" s="112"/>
      <c r="J69" s="112"/>
      <c r="K69" s="112"/>
      <c r="L69" s="112"/>
      <c r="M69" s="112"/>
      <c r="N69" s="112"/>
      <c r="O69" s="112"/>
      <c r="P69" s="49"/>
      <c r="Q69" s="49"/>
    </row>
    <row r="70" spans="2:24" s="46" customFormat="1" ht="19.149999999999999" customHeight="1" x14ac:dyDescent="0.25">
      <c r="B70" s="47"/>
      <c r="F70" s="49"/>
      <c r="G70" s="49"/>
      <c r="H70" s="49"/>
      <c r="I70" s="49"/>
      <c r="J70" s="49"/>
      <c r="K70" s="49"/>
      <c r="L70" s="49"/>
      <c r="M70" s="49"/>
      <c r="N70" s="49"/>
      <c r="O70" s="49"/>
      <c r="P70" s="49"/>
      <c r="Q70" s="49"/>
      <c r="R70" s="49"/>
    </row>
    <row r="71" spans="2:24" s="46" customFormat="1" ht="19.149999999999999" customHeight="1" x14ac:dyDescent="0.25">
      <c r="B71" s="47"/>
      <c r="G71" s="49"/>
      <c r="H71" s="49"/>
      <c r="I71" s="49"/>
      <c r="J71" s="49"/>
      <c r="K71" s="49"/>
      <c r="L71" s="49"/>
      <c r="M71" s="49"/>
      <c r="N71" s="49"/>
      <c r="O71" s="49"/>
      <c r="P71" s="49"/>
      <c r="Q71" s="49"/>
      <c r="R71" s="49"/>
      <c r="S71" s="49"/>
    </row>
    <row r="72" spans="2:24" s="46" customFormat="1" ht="19.149999999999999" customHeight="1" x14ac:dyDescent="0.25">
      <c r="B72" s="47"/>
      <c r="H72" s="49"/>
      <c r="I72" s="49"/>
      <c r="J72" s="49"/>
      <c r="K72" s="49"/>
      <c r="L72" s="49"/>
      <c r="M72" s="49"/>
      <c r="N72" s="49"/>
      <c r="O72" s="49"/>
      <c r="P72" s="49"/>
      <c r="Q72" s="49"/>
      <c r="R72" s="49"/>
      <c r="S72" s="49"/>
      <c r="T72" s="49"/>
    </row>
    <row r="73" spans="2:24" s="46" customFormat="1" ht="19.149999999999999" customHeight="1" x14ac:dyDescent="0.25">
      <c r="B73" s="47"/>
      <c r="I73" s="49"/>
      <c r="J73" s="49"/>
      <c r="K73" s="49"/>
      <c r="L73" s="49"/>
      <c r="M73" s="49"/>
      <c r="N73" s="49"/>
      <c r="O73" s="49"/>
      <c r="P73" s="49"/>
      <c r="Q73" s="49"/>
      <c r="R73" s="49"/>
      <c r="S73" s="49"/>
      <c r="T73" s="49"/>
      <c r="U73" s="49"/>
    </row>
    <row r="74" spans="2:24" s="46" customFormat="1" ht="19.149999999999999" customHeight="1" x14ac:dyDescent="0.25">
      <c r="B74" s="47"/>
      <c r="J74" s="49"/>
      <c r="K74" s="49"/>
      <c r="L74" s="49"/>
      <c r="M74" s="49"/>
      <c r="N74" s="49"/>
      <c r="O74" s="49"/>
      <c r="P74" s="49"/>
      <c r="Q74" s="49"/>
      <c r="R74" s="49"/>
      <c r="S74" s="49"/>
      <c r="T74" s="49"/>
      <c r="U74" s="49"/>
      <c r="V74" s="49"/>
    </row>
    <row r="75" spans="2:24" s="46" customFormat="1" ht="19.149999999999999" customHeight="1" x14ac:dyDescent="0.25">
      <c r="B75" s="47"/>
      <c r="K75" s="49"/>
      <c r="L75" s="49"/>
      <c r="M75" s="49"/>
      <c r="N75" s="49"/>
      <c r="O75" s="49"/>
      <c r="P75" s="49"/>
      <c r="Q75" s="49"/>
      <c r="R75" s="49"/>
      <c r="S75" s="49"/>
      <c r="T75" s="49"/>
      <c r="U75" s="49"/>
      <c r="V75" s="49"/>
      <c r="W75" s="49"/>
    </row>
    <row r="76" spans="2:24" s="46" customFormat="1" ht="19.149999999999999" customHeight="1" x14ac:dyDescent="0.25">
      <c r="B76" s="47"/>
      <c r="L76" s="49"/>
      <c r="M76" s="49"/>
      <c r="N76" s="49"/>
      <c r="O76" s="49"/>
      <c r="P76" s="49"/>
      <c r="Q76" s="49"/>
      <c r="R76" s="49"/>
      <c r="S76" s="49"/>
      <c r="T76" s="49"/>
      <c r="U76" s="49"/>
      <c r="V76" s="49"/>
      <c r="W76" s="49"/>
      <c r="X76" s="49"/>
    </row>
    <row r="77" spans="2:24" ht="19.149999999999999" customHeight="1" x14ac:dyDescent="0.25">
      <c r="M77" s="5"/>
      <c r="N77" s="5"/>
      <c r="O77" s="5"/>
      <c r="P77" s="5"/>
      <c r="Q77" s="5"/>
      <c r="R77" s="5"/>
      <c r="S77" s="5"/>
      <c r="T77" s="5"/>
      <c r="U77" s="5"/>
      <c r="V77" s="5"/>
    </row>
    <row r="78" spans="2:24" ht="19.149999999999999" customHeight="1" x14ac:dyDescent="0.25">
      <c r="B78" s="51"/>
      <c r="C78" s="45"/>
      <c r="D78" s="18"/>
      <c r="E78" s="18"/>
      <c r="F78" s="18"/>
      <c r="G78" s="18"/>
      <c r="H78" s="18"/>
      <c r="I78" s="18"/>
      <c r="J78" s="18"/>
      <c r="K78" s="18"/>
      <c r="L78" s="18"/>
      <c r="M78" s="52"/>
      <c r="N78" s="52"/>
      <c r="O78" s="52"/>
      <c r="P78" s="52"/>
      <c r="Q78" s="52"/>
      <c r="R78" s="52"/>
      <c r="S78" s="5"/>
      <c r="T78" s="5"/>
      <c r="U78" s="5"/>
      <c r="V78" s="5"/>
    </row>
    <row r="79" spans="2:24" ht="19.149999999999999" customHeight="1" x14ac:dyDescent="0.25">
      <c r="B79" s="45"/>
      <c r="C79" s="53"/>
      <c r="D79" s="54"/>
      <c r="E79" s="53"/>
      <c r="F79" s="53"/>
      <c r="G79" s="53"/>
      <c r="H79" s="53"/>
      <c r="I79" s="53"/>
      <c r="J79" s="53"/>
      <c r="K79" s="53"/>
      <c r="L79" s="53"/>
      <c r="M79" s="53"/>
      <c r="N79" s="53"/>
      <c r="O79" s="53"/>
      <c r="P79" s="53"/>
      <c r="Q79" s="52"/>
      <c r="R79" s="52"/>
      <c r="S79" s="5"/>
      <c r="T79" s="5"/>
      <c r="U79" s="5"/>
      <c r="V79" s="5"/>
      <c r="W79" s="5"/>
    </row>
    <row r="80" spans="2:24" ht="19.149999999999999" customHeight="1" x14ac:dyDescent="0.25">
      <c r="B80" s="55"/>
      <c r="C80" s="45"/>
      <c r="D80" s="18"/>
      <c r="E80" s="53"/>
      <c r="F80" s="45"/>
      <c r="G80" s="45"/>
      <c r="H80" s="45"/>
      <c r="I80" s="45"/>
      <c r="J80" s="45"/>
      <c r="K80" s="45"/>
      <c r="L80" s="45"/>
      <c r="M80" s="45"/>
      <c r="N80" s="45"/>
      <c r="O80" s="56"/>
      <c r="P80" s="56"/>
      <c r="Q80" s="52"/>
      <c r="R80" s="52"/>
      <c r="S80" s="5"/>
      <c r="T80" s="5"/>
      <c r="U80" s="5"/>
      <c r="V80" s="5"/>
      <c r="W80" s="5"/>
      <c r="X80" s="5"/>
    </row>
    <row r="81" spans="2:18" ht="19.149999999999999" customHeight="1" x14ac:dyDescent="0.25">
      <c r="B81" s="45"/>
      <c r="C81" s="57"/>
      <c r="D81" s="58"/>
      <c r="E81" s="57"/>
      <c r="F81" s="57"/>
      <c r="G81" s="57"/>
      <c r="H81" s="57"/>
      <c r="I81" s="57"/>
      <c r="J81" s="57"/>
      <c r="K81" s="57"/>
      <c r="L81" s="57"/>
      <c r="M81" s="57"/>
      <c r="N81" s="57"/>
      <c r="O81" s="57"/>
      <c r="P81" s="57"/>
      <c r="Q81" s="18"/>
      <c r="R81" s="18"/>
    </row>
    <row r="82" spans="2:18" ht="19.149999999999999" customHeight="1" x14ac:dyDescent="0.25">
      <c r="B82" s="45"/>
      <c r="C82" s="45"/>
      <c r="D82" s="18"/>
      <c r="E82" s="18"/>
      <c r="F82" s="18"/>
      <c r="G82" s="18"/>
      <c r="H82" s="18"/>
      <c r="I82" s="18"/>
      <c r="J82" s="18"/>
      <c r="K82" s="18"/>
      <c r="L82" s="18"/>
      <c r="M82" s="18"/>
      <c r="N82" s="18"/>
      <c r="O82" s="18"/>
      <c r="P82" s="18"/>
      <c r="Q82" s="18"/>
      <c r="R82" s="18"/>
    </row>
    <row r="83" spans="2:18" ht="19.149999999999999" customHeight="1" x14ac:dyDescent="0.25">
      <c r="B83" s="59"/>
      <c r="C83" s="59"/>
      <c r="D83" s="60"/>
      <c r="E83" s="60"/>
      <c r="F83" s="60"/>
      <c r="G83" s="60"/>
      <c r="H83" s="60"/>
      <c r="I83" s="60"/>
      <c r="J83" s="60"/>
      <c r="K83" s="60"/>
      <c r="L83" s="60"/>
      <c r="M83" s="60"/>
      <c r="N83" s="60"/>
      <c r="O83" s="60"/>
      <c r="P83" s="18"/>
      <c r="Q83" s="18"/>
      <c r="R83" s="18"/>
    </row>
  </sheetData>
  <pageMargins left="0.7" right="0.7" top="0.75" bottom="0.75" header="0.3" footer="0.3"/>
  <pageSetup scale="4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13" sqref="A13"/>
    </sheetView>
  </sheetViews>
  <sheetFormatPr defaultRowHeight="15" x14ac:dyDescent="0.25"/>
  <cols>
    <col min="1" max="1" width="88.85546875" customWidth="1"/>
    <col min="2" max="2" width="77.85546875" customWidth="1"/>
  </cols>
  <sheetData>
    <row r="1" spans="1:2" ht="21" x14ac:dyDescent="0.4">
      <c r="A1" s="1" t="s">
        <v>22</v>
      </c>
    </row>
    <row r="3" spans="1:2" ht="51.75" customHeight="1" x14ac:dyDescent="0.3">
      <c r="A3" s="27" t="s">
        <v>23</v>
      </c>
      <c r="B3" s="28" t="s">
        <v>24</v>
      </c>
    </row>
    <row r="4" spans="1:2" ht="113.25" customHeight="1" x14ac:dyDescent="0.25">
      <c r="A4" s="27" t="s">
        <v>18</v>
      </c>
      <c r="B4" s="28" t="s">
        <v>69</v>
      </c>
    </row>
    <row r="5" spans="1:2" ht="66" customHeight="1" x14ac:dyDescent="0.25">
      <c r="A5" s="29" t="s">
        <v>19</v>
      </c>
      <c r="B5" s="28" t="s">
        <v>70</v>
      </c>
    </row>
    <row r="6" spans="1:2" ht="82.5" customHeight="1" x14ac:dyDescent="0.25">
      <c r="A6" s="29" t="s">
        <v>20</v>
      </c>
      <c r="B6" s="28" t="s">
        <v>72</v>
      </c>
    </row>
    <row r="7" spans="1:2" ht="68.25" customHeight="1" x14ac:dyDescent="0.25">
      <c r="A7" s="30" t="s">
        <v>68</v>
      </c>
      <c r="B7" s="28" t="s">
        <v>73</v>
      </c>
    </row>
    <row r="8" spans="1:2" ht="52.5" customHeight="1" x14ac:dyDescent="0.25">
      <c r="A8" s="117" t="s">
        <v>67</v>
      </c>
      <c r="B8" s="118" t="s">
        <v>74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2011-2023</vt:lpstr>
      <vt:lpstr>NEW Descriptions of Headings</vt:lpstr>
      <vt:lpstr>'2011-2023'!Print_Area</vt:lpstr>
    </vt:vector>
  </TitlesOfParts>
  <Company>Ameren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Tatro, Wendy K</dc:creator>
  <cp:lastModifiedBy>sbrady</cp:lastModifiedBy>
  <cp:lastPrinted>2015-05-20T20:30:32Z</cp:lastPrinted>
  <dcterms:created xsi:type="dcterms:W3CDTF">2013-11-07T20:36:37Z</dcterms:created>
  <dcterms:modified xsi:type="dcterms:W3CDTF">2015-06-01T20:30:25Z</dcterms:modified>
</cp:coreProperties>
</file>