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3920" windowHeight="6615"/>
  </bookViews>
  <sheets>
    <sheet name="cover sheet" sheetId="9" r:id="rId1"/>
    <sheet name="flow chart" sheetId="18" r:id="rId2"/>
    <sheet name="SMNG Lebanon monthly volume" sheetId="20" r:id="rId3"/>
    <sheet name="SMNG Mtn Grove monthly volume" sheetId="17" r:id="rId4"/>
    <sheet name="SMNG Branson monthly volume " sheetId="21" r:id="rId5"/>
    <sheet name="30 year normals" sheetId="2" r:id="rId6"/>
    <sheet name="Springfield monthly HDD's" sheetId="19" r:id="rId7"/>
  </sheets>
  <definedNames>
    <definedName name="_xlnm.Print_Area" localSheetId="5">'30 year normals'!$A$1:$N$44</definedName>
    <definedName name="_xlnm.Print_Area" localSheetId="0">'cover sheet'!#REF!</definedName>
    <definedName name="_xlnm.Print_Area" localSheetId="1">'flow chart'!$A$1:$J$38</definedName>
    <definedName name="_xlnm.Print_Area" localSheetId="4">'SMNG Branson monthly volume '!$A$1:$M$82</definedName>
    <definedName name="_xlnm.Print_Area" localSheetId="2">'SMNG Lebanon monthly volume'!$A$1:$M$82</definedName>
    <definedName name="_xlnm.Print_Area" localSheetId="3">'SMNG Mtn Grove monthly volume'!$A$1:$M$82</definedName>
    <definedName name="_xlnm.Print_Area" localSheetId="6">'Springfield monthly HDD''s'!$A$1:$L$59</definedName>
  </definedNames>
  <calcPr calcId="114210" calcMode="manual"/>
</workbook>
</file>

<file path=xl/calcChain.xml><?xml version="1.0" encoding="utf-8"?>
<calcChain xmlns="http://schemas.openxmlformats.org/spreadsheetml/2006/main">
  <c r="F44" i="21"/>
  <c r="G44"/>
  <c r="H44"/>
  <c r="I44"/>
  <c r="J44"/>
  <c r="K71"/>
  <c r="J71"/>
  <c r="I71"/>
  <c r="H71"/>
  <c r="G71"/>
  <c r="F71"/>
  <c r="K70"/>
  <c r="J70"/>
  <c r="I70"/>
  <c r="H70"/>
  <c r="G70"/>
  <c r="G72"/>
  <c r="F70"/>
  <c r="M70"/>
  <c r="F65"/>
  <c r="F51"/>
  <c r="F59"/>
  <c r="H50"/>
  <c r="H58"/>
  <c r="G50"/>
  <c r="G58"/>
  <c r="F50"/>
  <c r="F58"/>
  <c r="F49"/>
  <c r="F57"/>
  <c r="F48"/>
  <c r="F56"/>
  <c r="F47"/>
  <c r="F55"/>
  <c r="H43"/>
  <c r="I43"/>
  <c r="G43"/>
  <c r="G51"/>
  <c r="G59"/>
  <c r="J42"/>
  <c r="J50"/>
  <c r="J58"/>
  <c r="I42"/>
  <c r="I50"/>
  <c r="I58"/>
  <c r="H42"/>
  <c r="G42"/>
  <c r="G41"/>
  <c r="G49"/>
  <c r="G57"/>
  <c r="G40"/>
  <c r="H40"/>
  <c r="H39"/>
  <c r="G39"/>
  <c r="J32"/>
  <c r="I32"/>
  <c r="H32"/>
  <c r="G32"/>
  <c r="F32"/>
  <c r="F52"/>
  <c r="F60"/>
  <c r="J28"/>
  <c r="I28"/>
  <c r="H28"/>
  <c r="G28"/>
  <c r="F28"/>
  <c r="J24"/>
  <c r="I24"/>
  <c r="H24"/>
  <c r="G24"/>
  <c r="F24"/>
  <c r="J20"/>
  <c r="I20"/>
  <c r="H20"/>
  <c r="G20"/>
  <c r="F20"/>
  <c r="J16"/>
  <c r="I16"/>
  <c r="H16"/>
  <c r="G16"/>
  <c r="F16"/>
  <c r="J12"/>
  <c r="I12"/>
  <c r="H12"/>
  <c r="G12"/>
  <c r="F12"/>
  <c r="K71" i="20"/>
  <c r="J71"/>
  <c r="I71"/>
  <c r="H71"/>
  <c r="G71"/>
  <c r="F71"/>
  <c r="K70"/>
  <c r="J70"/>
  <c r="I70"/>
  <c r="H70"/>
  <c r="H72"/>
  <c r="G70"/>
  <c r="F70"/>
  <c r="M70"/>
  <c r="F65"/>
  <c r="F57"/>
  <c r="F52"/>
  <c r="F60"/>
  <c r="F51"/>
  <c r="F59"/>
  <c r="G50"/>
  <c r="G58"/>
  <c r="F50"/>
  <c r="F58"/>
  <c r="F49"/>
  <c r="G48"/>
  <c r="G56"/>
  <c r="F48"/>
  <c r="F56"/>
  <c r="G47"/>
  <c r="G55"/>
  <c r="F47"/>
  <c r="F55"/>
  <c r="G44"/>
  <c r="H44"/>
  <c r="I44"/>
  <c r="J44"/>
  <c r="H43"/>
  <c r="I43"/>
  <c r="G43"/>
  <c r="G51"/>
  <c r="G59"/>
  <c r="G42"/>
  <c r="H42"/>
  <c r="H41"/>
  <c r="I41"/>
  <c r="G41"/>
  <c r="G49"/>
  <c r="G57"/>
  <c r="G40"/>
  <c r="H40"/>
  <c r="H39"/>
  <c r="H65"/>
  <c r="G39"/>
  <c r="J32"/>
  <c r="I32"/>
  <c r="H32"/>
  <c r="G32"/>
  <c r="G52"/>
  <c r="G60"/>
  <c r="F32"/>
  <c r="J28"/>
  <c r="I28"/>
  <c r="H28"/>
  <c r="G28"/>
  <c r="F28"/>
  <c r="J24"/>
  <c r="I24"/>
  <c r="H24"/>
  <c r="G24"/>
  <c r="F24"/>
  <c r="J20"/>
  <c r="I20"/>
  <c r="H20"/>
  <c r="G20"/>
  <c r="F20"/>
  <c r="J16"/>
  <c r="I16"/>
  <c r="H16"/>
  <c r="G16"/>
  <c r="F16"/>
  <c r="J12"/>
  <c r="I12"/>
  <c r="H12"/>
  <c r="G12"/>
  <c r="F12"/>
  <c r="K71" i="17"/>
  <c r="G71"/>
  <c r="H71"/>
  <c r="I71"/>
  <c r="J71"/>
  <c r="F71"/>
  <c r="K70"/>
  <c r="J70"/>
  <c r="I70"/>
  <c r="H70"/>
  <c r="G70"/>
  <c r="F70"/>
  <c r="G65"/>
  <c r="G66"/>
  <c r="H65"/>
  <c r="I65"/>
  <c r="J65"/>
  <c r="J66"/>
  <c r="F65"/>
  <c r="H66"/>
  <c r="I66"/>
  <c r="G61"/>
  <c r="H61"/>
  <c r="I61"/>
  <c r="J61"/>
  <c r="F61"/>
  <c r="G58"/>
  <c r="H58"/>
  <c r="I58"/>
  <c r="J58"/>
  <c r="G59"/>
  <c r="H59"/>
  <c r="I59"/>
  <c r="J59"/>
  <c r="G60"/>
  <c r="H60"/>
  <c r="I60"/>
  <c r="J60"/>
  <c r="F60"/>
  <c r="F59"/>
  <c r="F58"/>
  <c r="G52"/>
  <c r="H52"/>
  <c r="I52"/>
  <c r="J52"/>
  <c r="F52"/>
  <c r="G51"/>
  <c r="H51"/>
  <c r="I51"/>
  <c r="J51"/>
  <c r="F51"/>
  <c r="G50"/>
  <c r="H50"/>
  <c r="I50"/>
  <c r="J50"/>
  <c r="F50"/>
  <c r="G49"/>
  <c r="H49"/>
  <c r="H57"/>
  <c r="I49"/>
  <c r="J49"/>
  <c r="F49"/>
  <c r="F57"/>
  <c r="G48"/>
  <c r="G56"/>
  <c r="H48"/>
  <c r="I48"/>
  <c r="J48"/>
  <c r="F48"/>
  <c r="F56"/>
  <c r="G42"/>
  <c r="H42"/>
  <c r="I42"/>
  <c r="J42"/>
  <c r="G43"/>
  <c r="H43"/>
  <c r="I43"/>
  <c r="J43"/>
  <c r="G44"/>
  <c r="H44"/>
  <c r="I44"/>
  <c r="J44"/>
  <c r="H41"/>
  <c r="I41"/>
  <c r="G41"/>
  <c r="G57"/>
  <c r="H40"/>
  <c r="H56"/>
  <c r="G40"/>
  <c r="H39"/>
  <c r="H47"/>
  <c r="H55"/>
  <c r="G39"/>
  <c r="G35"/>
  <c r="H35"/>
  <c r="I35"/>
  <c r="J35"/>
  <c r="F35"/>
  <c r="J32"/>
  <c r="I32"/>
  <c r="H32"/>
  <c r="G32"/>
  <c r="F32"/>
  <c r="J28"/>
  <c r="I28"/>
  <c r="H28"/>
  <c r="G28"/>
  <c r="F28"/>
  <c r="L57" i="19"/>
  <c r="L56"/>
  <c r="L55"/>
  <c r="L59"/>
  <c r="G59"/>
  <c r="H59"/>
  <c r="I59"/>
  <c r="J59"/>
  <c r="F59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14"/>
  <c r="N43" i="2"/>
  <c r="F24" i="17"/>
  <c r="G24"/>
  <c r="H24"/>
  <c r="I24"/>
  <c r="J24"/>
  <c r="F47"/>
  <c r="F55"/>
  <c r="G47"/>
  <c r="G55"/>
  <c r="F20"/>
  <c r="F16"/>
  <c r="F12"/>
  <c r="G20"/>
  <c r="G16"/>
  <c r="G12"/>
  <c r="H20"/>
  <c r="H16"/>
  <c r="H12"/>
  <c r="I20"/>
  <c r="I16"/>
  <c r="I12"/>
  <c r="J20"/>
  <c r="J16"/>
  <c r="J12"/>
  <c r="N27" i="2"/>
  <c r="N14"/>
  <c r="F72" i="20"/>
  <c r="G72"/>
  <c r="I72"/>
  <c r="J72"/>
  <c r="K72"/>
  <c r="M71"/>
  <c r="F72" i="21"/>
  <c r="H72"/>
  <c r="I72"/>
  <c r="J72"/>
  <c r="K72"/>
  <c r="M71"/>
  <c r="J52"/>
  <c r="J60"/>
  <c r="G52"/>
  <c r="G60"/>
  <c r="I52"/>
  <c r="I60"/>
  <c r="H52"/>
  <c r="H60"/>
  <c r="H41"/>
  <c r="I41"/>
  <c r="I49"/>
  <c r="I57"/>
  <c r="I40"/>
  <c r="H48"/>
  <c r="H56"/>
  <c r="G65"/>
  <c r="G48"/>
  <c r="G56"/>
  <c r="G47"/>
  <c r="G55"/>
  <c r="G61"/>
  <c r="G64"/>
  <c r="H35"/>
  <c r="J35"/>
  <c r="I35"/>
  <c r="G35"/>
  <c r="F35"/>
  <c r="I51"/>
  <c r="I59"/>
  <c r="J43"/>
  <c r="J51"/>
  <c r="J59"/>
  <c r="F61"/>
  <c r="H51"/>
  <c r="H59"/>
  <c r="I39"/>
  <c r="H47"/>
  <c r="H55"/>
  <c r="G65" i="20"/>
  <c r="F35"/>
  <c r="I35"/>
  <c r="J35"/>
  <c r="H35"/>
  <c r="G35"/>
  <c r="J43"/>
  <c r="J51"/>
  <c r="J59"/>
  <c r="I51"/>
  <c r="I59"/>
  <c r="I42"/>
  <c r="H50"/>
  <c r="H58"/>
  <c r="F61"/>
  <c r="J52"/>
  <c r="J60"/>
  <c r="I52"/>
  <c r="I60"/>
  <c r="H52"/>
  <c r="H60"/>
  <c r="J41"/>
  <c r="J49"/>
  <c r="J57"/>
  <c r="I49"/>
  <c r="I57"/>
  <c r="I40"/>
  <c r="H48"/>
  <c r="H56"/>
  <c r="G61"/>
  <c r="G64"/>
  <c r="G66"/>
  <c r="H49"/>
  <c r="H57"/>
  <c r="H51"/>
  <c r="H59"/>
  <c r="I39"/>
  <c r="H47"/>
  <c r="H55"/>
  <c r="I57" i="17"/>
  <c r="J41"/>
  <c r="J57"/>
  <c r="I40"/>
  <c r="I39"/>
  <c r="H64"/>
  <c r="G64"/>
  <c r="F64"/>
  <c r="F66"/>
  <c r="G72"/>
  <c r="M71"/>
  <c r="J72"/>
  <c r="F72"/>
  <c r="K72"/>
  <c r="M70"/>
  <c r="H72"/>
  <c r="I72"/>
  <c r="H49" i="21"/>
  <c r="H57"/>
  <c r="H61"/>
  <c r="G66"/>
  <c r="H65"/>
  <c r="J41"/>
  <c r="J49"/>
  <c r="J57"/>
  <c r="J40"/>
  <c r="J48"/>
  <c r="J56"/>
  <c r="I48"/>
  <c r="I56"/>
  <c r="G74"/>
  <c r="K35"/>
  <c r="F64"/>
  <c r="F66"/>
  <c r="I65"/>
  <c r="I47"/>
  <c r="I55"/>
  <c r="I61"/>
  <c r="J39"/>
  <c r="F75"/>
  <c r="F74"/>
  <c r="G75"/>
  <c r="K35" i="20"/>
  <c r="F64"/>
  <c r="F66"/>
  <c r="I65"/>
  <c r="I47"/>
  <c r="I55"/>
  <c r="I61"/>
  <c r="J39"/>
  <c r="J40"/>
  <c r="J48"/>
  <c r="J56"/>
  <c r="I48"/>
  <c r="I56"/>
  <c r="I50"/>
  <c r="I58"/>
  <c r="J42"/>
  <c r="J50"/>
  <c r="J58"/>
  <c r="G75"/>
  <c r="G74"/>
  <c r="F75"/>
  <c r="H61"/>
  <c r="F74"/>
  <c r="J40" i="17"/>
  <c r="J56"/>
  <c r="I56"/>
  <c r="J39"/>
  <c r="I47"/>
  <c r="I55"/>
  <c r="H75"/>
  <c r="G74"/>
  <c r="K35"/>
  <c r="G75"/>
  <c r="F74"/>
  <c r="F75"/>
  <c r="H74"/>
  <c r="I64" i="21"/>
  <c r="I66"/>
  <c r="I74"/>
  <c r="I75"/>
  <c r="J65"/>
  <c r="J47"/>
  <c r="J55"/>
  <c r="J61"/>
  <c r="K61"/>
  <c r="H64"/>
  <c r="H66"/>
  <c r="H75"/>
  <c r="H74"/>
  <c r="I64" i="20"/>
  <c r="I66"/>
  <c r="I74"/>
  <c r="I75"/>
  <c r="H64"/>
  <c r="H66"/>
  <c r="H75"/>
  <c r="H74"/>
  <c r="J65"/>
  <c r="J47"/>
  <c r="J55"/>
  <c r="J61"/>
  <c r="K61"/>
  <c r="J47" i="17"/>
  <c r="J55"/>
  <c r="K65"/>
  <c r="K64" i="21"/>
  <c r="J64"/>
  <c r="J66"/>
  <c r="J74"/>
  <c r="M74"/>
  <c r="J75"/>
  <c r="M75"/>
  <c r="K65"/>
  <c r="K74"/>
  <c r="K64" i="20"/>
  <c r="J64"/>
  <c r="J66"/>
  <c r="J74"/>
  <c r="M74"/>
  <c r="J75"/>
  <c r="M75"/>
  <c r="K65"/>
  <c r="I64" i="17"/>
  <c r="I75"/>
  <c r="I74"/>
  <c r="J64"/>
  <c r="J75"/>
  <c r="J74"/>
  <c r="K61"/>
  <c r="K66" i="21"/>
  <c r="K75"/>
  <c r="K66" i="20"/>
  <c r="K75"/>
  <c r="K74"/>
  <c r="M74" i="17"/>
  <c r="M75"/>
  <c r="K64"/>
  <c r="K66"/>
  <c r="K75"/>
  <c r="K74"/>
</calcChain>
</file>

<file path=xl/sharedStrings.xml><?xml version="1.0" encoding="utf-8"?>
<sst xmlns="http://schemas.openxmlformats.org/spreadsheetml/2006/main" count="357" uniqueCount="163">
  <si>
    <t>Monthly Time Series</t>
  </si>
  <si>
    <r>
      <t xml:space="preserve">Station: </t>
    </r>
    <r>
      <rPr>
        <sz val="12"/>
        <rFont val="Arial"/>
        <family val="2"/>
      </rPr>
      <t>ST JOSEPH ROSECRANS AP</t>
    </r>
  </si>
  <si>
    <r>
      <t xml:space="preserve">State: </t>
    </r>
    <r>
      <rPr>
        <sz val="12"/>
        <rFont val="Arial"/>
        <family val="2"/>
      </rPr>
      <t>MO</t>
    </r>
  </si>
  <si>
    <r>
      <t xml:space="preserve">ID: </t>
    </r>
    <r>
      <rPr>
        <sz val="12"/>
        <rFont val="Arial"/>
        <family val="2"/>
      </rPr>
      <t>237440</t>
    </r>
  </si>
  <si>
    <r>
      <t xml:space="preserve">Latitude: </t>
    </r>
    <r>
      <rPr>
        <sz val="12"/>
        <rFont val="Arial"/>
        <family val="2"/>
      </rPr>
      <t>39.77 degrees</t>
    </r>
  </si>
  <si>
    <r>
      <t xml:space="preserve">Longitude: </t>
    </r>
    <r>
      <rPr>
        <sz val="12"/>
        <rFont val="Arial"/>
        <family val="2"/>
      </rPr>
      <t>-94.91 degrees</t>
    </r>
  </si>
  <si>
    <r>
      <t xml:space="preserve">Elevation: </t>
    </r>
    <r>
      <rPr>
        <sz val="12"/>
        <rFont val="Arial"/>
        <family val="2"/>
      </rPr>
      <t>818 feet</t>
    </r>
  </si>
  <si>
    <t>1978-1979</t>
  </si>
  <si>
    <t>1979-1980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</si>
  <si>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</si>
  <si>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</si>
  <si>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</si>
  <si>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</si>
  <si>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</si>
  <si>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</si>
  <si>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</si>
  <si>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</si>
  <si>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</si>
  <si>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</si>
  <si>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</si>
  <si>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</si>
  <si>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</si>
  <si>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</si>
  <si>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</si>
  <si>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</si>
  <si>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</si>
  <si>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</si>
  <si>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</si>
  <si>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</si>
  <si>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</si>
  <si>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</si>
  <si>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</si>
  <si>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</si>
  <si>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</si>
  <si>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</si>
  <si>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</si>
  <si>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</si>
  <si>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</si>
  <si>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Max value</t>
  </si>
  <si>
    <t>Min value</t>
  </si>
  <si>
    <t>Mean</t>
  </si>
  <si>
    <t># years</t>
  </si>
  <si>
    <r>
      <t xml:space="preserve">CLIMOD Product: </t>
    </r>
    <r>
      <rPr>
        <sz val="12"/>
        <rFont val="Arial"/>
        <family val="2"/>
      </rPr>
      <t>Normals Lister</t>
    </r>
  </si>
  <si>
    <r>
      <t xml:space="preserve">Creation Time: </t>
    </r>
    <r>
      <rPr>
        <sz val="12"/>
        <rFont val="Arial"/>
        <family val="2"/>
      </rPr>
      <t>04/22/2009 22:10 CDT</t>
    </r>
  </si>
  <si>
    <r>
      <t xml:space="preserve">Normals Period: </t>
    </r>
    <r>
      <rPr>
        <sz val="12"/>
        <rFont val="Arial"/>
        <family val="2"/>
      </rPr>
      <t>1971-2000</t>
    </r>
  </si>
  <si>
    <t>Analysis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</si>
  <si>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</si>
  <si>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</si>
  <si>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</si>
  <si>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</si>
  <si>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</si>
  <si>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</si>
  <si>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</si>
  <si>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</si>
  <si>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</si>
  <si>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</si>
  <si>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</si>
  <si>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</si>
  <si>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</si>
  <si>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30 Yr Mean-HDD (base 65)</t>
  </si>
  <si>
    <t xml:space="preserve">Notes: </t>
  </si>
  <si>
    <t>Total</t>
  </si>
  <si>
    <t>Monthly</t>
  </si>
  <si>
    <t>total Nov - Mar</t>
  </si>
  <si>
    <t>2009-2010</t>
  </si>
  <si>
    <t>2010-2011</t>
  </si>
  <si>
    <r>
      <t xml:space="preserve">Station: </t>
    </r>
    <r>
      <rPr>
        <sz val="12"/>
        <rFont val="Arial"/>
        <family val="2"/>
      </rPr>
      <t>LAKESIDE</t>
    </r>
  </si>
  <si>
    <r>
      <t xml:space="preserve">ID: </t>
    </r>
    <r>
      <rPr>
        <sz val="12"/>
        <rFont val="Arial"/>
        <family val="2"/>
      </rPr>
      <t>234694</t>
    </r>
  </si>
  <si>
    <r>
      <t xml:space="preserve">Latitude: </t>
    </r>
    <r>
      <rPr>
        <sz val="12"/>
        <rFont val="Arial"/>
        <family val="2"/>
      </rPr>
      <t>38.20 degrees</t>
    </r>
  </si>
  <si>
    <r>
      <t xml:space="preserve">Longitude: </t>
    </r>
    <r>
      <rPr>
        <sz val="12"/>
        <rFont val="Arial"/>
        <family val="2"/>
      </rPr>
      <t>-92.62 degrees</t>
    </r>
  </si>
  <si>
    <r>
      <t xml:space="preserve">Elevation: </t>
    </r>
    <r>
      <rPr>
        <sz val="12"/>
        <rFont val="Arial"/>
        <family val="2"/>
      </rPr>
      <t>592 feet</t>
    </r>
  </si>
  <si>
    <r>
      <t xml:space="preserve">Creation Time: </t>
    </r>
    <r>
      <rPr>
        <sz val="12"/>
        <rFont val="Arial"/>
        <family val="2"/>
      </rPr>
      <t>04/20/2011 12:11 CDT</t>
    </r>
  </si>
  <si>
    <t>Lakeside</t>
  </si>
  <si>
    <t>St. Joseph Rosecrans Airport</t>
  </si>
  <si>
    <t>Thirty Year Normals for Missouri Operations</t>
  </si>
  <si>
    <t>Summit Utilities</t>
  </si>
  <si>
    <t>2011-2012 Natural Gas Supply Plan</t>
  </si>
  <si>
    <t>Monthly Natural Gas Demand for 2011 - 2012 Winter</t>
  </si>
  <si>
    <t>average usage per customer</t>
  </si>
  <si>
    <t xml:space="preserve">       Monthly usage</t>
  </si>
  <si>
    <t>Sensitivity Analysis at 2 std deviations</t>
  </si>
  <si>
    <t>30 year normal HDD's</t>
  </si>
  <si>
    <t xml:space="preserve">2 std deviations </t>
  </si>
  <si>
    <t>Weather sensitive demand</t>
  </si>
  <si>
    <t xml:space="preserve">    GS - residential</t>
  </si>
  <si>
    <t>weather sensitive demand per customer</t>
  </si>
  <si>
    <t>weather sensitive demand by customer class</t>
  </si>
  <si>
    <t>base demand per customer (note 2)</t>
  </si>
  <si>
    <t>base demand proof</t>
  </si>
  <si>
    <t>percentage above and below normal</t>
  </si>
  <si>
    <t>warm winter total</t>
  </si>
  <si>
    <t>cold winter total</t>
  </si>
  <si>
    <t>Winter</t>
  </si>
  <si>
    <t>Totals</t>
  </si>
  <si>
    <t xml:space="preserve">    Total weather sensitive demand</t>
  </si>
  <si>
    <t xml:space="preserve">   weather sensitive</t>
  </si>
  <si>
    <t xml:space="preserve">   add: base load (customer count * base)</t>
  </si>
  <si>
    <t>check</t>
  </si>
  <si>
    <t>sum</t>
  </si>
  <si>
    <t xml:space="preserve">Winter Natural Gas Retail Sales Demand for 2011-2012 </t>
  </si>
  <si>
    <t xml:space="preserve">    calculate</t>
  </si>
  <si>
    <t>Southern Missouri Natural Gas Company</t>
  </si>
  <si>
    <t>Southern Missouri Natural Gas</t>
  </si>
  <si>
    <t xml:space="preserve">              less</t>
  </si>
  <si>
    <r>
      <t xml:space="preserve">Station: </t>
    </r>
    <r>
      <rPr>
        <sz val="12"/>
        <rFont val="Arial"/>
        <family val="2"/>
      </rPr>
      <t>SPRINGFIELD RGNL AP</t>
    </r>
  </si>
  <si>
    <r>
      <t xml:space="preserve">ID: </t>
    </r>
    <r>
      <rPr>
        <sz val="12"/>
        <rFont val="Arial"/>
        <family val="2"/>
      </rPr>
      <t>237976</t>
    </r>
  </si>
  <si>
    <r>
      <t xml:space="preserve">Latitude: </t>
    </r>
    <r>
      <rPr>
        <sz val="12"/>
        <rFont val="Arial"/>
        <family val="2"/>
      </rPr>
      <t>37.24 degrees</t>
    </r>
  </si>
  <si>
    <r>
      <t xml:space="preserve">Longitude: </t>
    </r>
    <r>
      <rPr>
        <sz val="12"/>
        <rFont val="Arial"/>
        <family val="2"/>
      </rPr>
      <t>-93.39 degrees</t>
    </r>
  </si>
  <si>
    <r>
      <t xml:space="preserve">Elevation: </t>
    </r>
    <r>
      <rPr>
        <sz val="12"/>
        <rFont val="Arial"/>
        <family val="2"/>
      </rPr>
      <t>1259 feet</t>
    </r>
  </si>
  <si>
    <r>
      <t xml:space="preserve">Creation Time: </t>
    </r>
    <r>
      <rPr>
        <sz val="12"/>
        <rFont val="Arial"/>
        <family val="2"/>
      </rPr>
      <t>09/03/2011 20:38 CDT</t>
    </r>
  </si>
  <si>
    <t>Springfield</t>
  </si>
  <si>
    <t>HDD total Nov - Mar</t>
  </si>
  <si>
    <r>
      <t xml:space="preserve">Station: </t>
    </r>
    <r>
      <rPr>
        <sz val="12"/>
        <rFont val="Arial"/>
        <family val="2"/>
      </rPr>
      <t>SPRINGFIELD RGNL AP</t>
    </r>
  </si>
  <si>
    <r>
      <t xml:space="preserve">State: </t>
    </r>
    <r>
      <rPr>
        <sz val="12"/>
        <rFont val="Arial"/>
        <family val="2"/>
      </rPr>
      <t>MO</t>
    </r>
  </si>
  <si>
    <r>
      <t xml:space="preserve">ID: </t>
    </r>
    <r>
      <rPr>
        <sz val="12"/>
        <rFont val="Arial"/>
        <family val="2"/>
      </rPr>
      <t>237976</t>
    </r>
  </si>
  <si>
    <r>
      <t xml:space="preserve">Latitude: </t>
    </r>
    <r>
      <rPr>
        <sz val="12"/>
        <rFont val="Arial"/>
        <family val="2"/>
      </rPr>
      <t>37.24 degrees</t>
    </r>
  </si>
  <si>
    <r>
      <t xml:space="preserve">Longitude: </t>
    </r>
    <r>
      <rPr>
        <sz val="12"/>
        <rFont val="Arial"/>
        <family val="2"/>
      </rPr>
      <t>-93.39 degrees</t>
    </r>
  </si>
  <si>
    <r>
      <t xml:space="preserve">Elevation: </t>
    </r>
    <r>
      <rPr>
        <sz val="12"/>
        <rFont val="Arial"/>
        <family val="2"/>
      </rPr>
      <t>1259 feet</t>
    </r>
  </si>
  <si>
    <r>
      <t xml:space="preserve">Station period of record: </t>
    </r>
    <r>
      <rPr>
        <sz val="12"/>
        <rFont val="Arial"/>
        <family val="2"/>
      </rPr>
      <t>01/01/1940 - 09/02/2011</t>
    </r>
  </si>
  <si>
    <r>
      <t xml:space="preserve">CLIMOD Product: </t>
    </r>
    <r>
      <rPr>
        <sz val="12"/>
        <rFont val="Arial"/>
        <family val="2"/>
      </rPr>
      <t>Monthly Time Series</t>
    </r>
  </si>
  <si>
    <r>
      <t xml:space="preserve">Creation Time: </t>
    </r>
    <r>
      <rPr>
        <sz val="12"/>
        <rFont val="Arial"/>
        <family val="2"/>
      </rPr>
      <t>09/03/2011 20:47 CDT</t>
    </r>
  </si>
  <si>
    <r>
      <t xml:space="preserve">Element: </t>
    </r>
    <r>
      <rPr>
        <sz val="12"/>
        <rFont val="Arial"/>
        <family val="2"/>
      </rPr>
      <t>Heating Degree Days (base 65)</t>
    </r>
  </si>
  <si>
    <r>
      <t xml:space="preserve">Units: </t>
    </r>
    <r>
      <rPr>
        <sz val="12"/>
        <rFont val="Arial"/>
        <family val="2"/>
      </rPr>
      <t>degF</t>
    </r>
  </si>
  <si>
    <r>
      <t>Analysis</t>
    </r>
    <r>
      <rPr>
        <sz val="12"/>
        <rFont val="Arial"/>
        <family val="2"/>
      </rPr>
      <t>: Sum</t>
    </r>
  </si>
  <si>
    <r>
      <t xml:space="preserve">Max allowable missing days: </t>
    </r>
    <r>
      <rPr>
        <sz val="12"/>
        <rFont val="Arial"/>
        <family val="2"/>
      </rPr>
      <t>5</t>
    </r>
  </si>
  <si>
    <r>
      <t xml:space="preserve">Lowest Acceptable Quality of Data: </t>
    </r>
    <r>
      <rPr>
        <sz val="12"/>
        <rFont val="Arial"/>
        <family val="2"/>
      </rPr>
      <t>Raw data</t>
    </r>
  </si>
  <si>
    <t>Year(s)</t>
  </si>
  <si>
    <t>1973-1974</t>
  </si>
  <si>
    <t>1974-1975</t>
  </si>
  <si>
    <t>1975-1976</t>
  </si>
  <si>
    <t>1976-1977</t>
  </si>
  <si>
    <t>1977-1978</t>
  </si>
  <si>
    <t xml:space="preserve">Flags: </t>
  </si>
  <si>
    <t>a = 1, b = 2, c = 3, ..., or z = 26 or more missing days in a month or missing months in a year.</t>
  </si>
  <si>
    <t>A = Accumulation over more than one day, S = Subsequent</t>
  </si>
  <si>
    <t>Long-term means based on columns. Thus, the sum (or average) of the monthly values may not equal the annual value.</t>
  </si>
  <si>
    <t>In months with missing data, monthly sums have been adjusted to include estimates for missing days.</t>
  </si>
  <si>
    <t>5-month</t>
  </si>
  <si>
    <t>totals</t>
  </si>
  <si>
    <t>st deviation</t>
  </si>
  <si>
    <t>Base demand - Mountain Grove (note 1)</t>
  </si>
  <si>
    <t xml:space="preserve"> </t>
  </si>
  <si>
    <t>Total Mountain Grove from budget data</t>
  </si>
  <si>
    <t>Notes: (1) Base demand amounts taken from CY 2012 Budget.  Customer usage by month is pulled</t>
  </si>
  <si>
    <t xml:space="preserve">                directly. Customer count for November is pulled from current estimate and December of 2011 is equal to January 2012. </t>
  </si>
  <si>
    <t xml:space="preserve"> (2)  Base demand per customer taken from 2012 Budget.</t>
  </si>
  <si>
    <t xml:space="preserve">    GS - residential optional</t>
  </si>
  <si>
    <t xml:space="preserve">    Commercial General Service</t>
  </si>
  <si>
    <t xml:space="preserve">    Optional Commercial</t>
  </si>
  <si>
    <t xml:space="preserve">    LGS</t>
  </si>
  <si>
    <t xml:space="preserve">    LVS</t>
  </si>
  <si>
    <t>GS - residential - customer count</t>
  </si>
  <si>
    <t>GS - residential optional - customer count</t>
  </si>
  <si>
    <t>Commercial General Service - customer count</t>
  </si>
  <si>
    <t>Optional Commercial - customer count</t>
  </si>
  <si>
    <t>LGS - customer count</t>
  </si>
  <si>
    <t>LVS - customer count</t>
  </si>
  <si>
    <t>Base demand - Lebanon (note 1)</t>
  </si>
  <si>
    <t>Total Lebanon from budget data</t>
  </si>
  <si>
    <t>Base demand - Branson (note 1)</t>
  </si>
  <si>
    <t>Total Branson from budget data</t>
  </si>
  <si>
    <t>Winter Month Retail Sales Demand</t>
  </si>
  <si>
    <t xml:space="preserve">                Customer counts for Jan thru March of 2012 are pulled from budget.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</si>
</sst>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2"/>
      <name val="Arial"/>
    </font>
    <font>
      <sz val="12"/>
      <name val="Arial"/>
      <family val="2"/>
    </font>
    <font>
      <b/>
      <sz val="13.5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0" fillId="0" borderId="0" xfId="0" applyAlignment="1"/>
    <xf numFmtId="164" fontId="0" fillId="0" borderId="0" xfId="1" applyNumberFormat="1" applyFont="1"/>
    <xf numFmtId="164" fontId="0" fillId="0" borderId="0" xfId="0" applyNumberFormat="1"/>
    <xf numFmtId="0" fontId="6" fillId="0" borderId="0" xfId="0" applyFont="1" applyAlignment="1">
      <alignment horizontal="centerContinuous"/>
    </xf>
    <xf numFmtId="164" fontId="5" fillId="0" borderId="0" xfId="0" applyNumberFormat="1" applyFont="1"/>
    <xf numFmtId="164" fontId="0" fillId="0" borderId="1" xfId="1" applyNumberFormat="1" applyFont="1" applyBorder="1"/>
    <xf numFmtId="3" fontId="0" fillId="0" borderId="0" xfId="1" applyNumberFormat="1" applyFont="1" applyFill="1" applyAlignment="1">
      <alignment horizontal="center" wrapText="1"/>
    </xf>
    <xf numFmtId="3" fontId="0" fillId="2" borderId="0" xfId="1" applyNumberFormat="1" applyFont="1" applyFill="1" applyAlignment="1">
      <alignment horizontal="center" wrapText="1"/>
    </xf>
    <xf numFmtId="164" fontId="0" fillId="0" borderId="0" xfId="1" applyNumberFormat="1" applyFont="1" applyAlignment="1"/>
    <xf numFmtId="164" fontId="5" fillId="0" borderId="0" xfId="1" applyNumberFormat="1" applyFont="1" applyAlignment="1"/>
    <xf numFmtId="37" fontId="0" fillId="0" borderId="0" xfId="1" applyNumberFormat="1" applyFont="1" applyAlignment="1">
      <alignment horizontal="center"/>
    </xf>
    <xf numFmtId="37" fontId="0" fillId="0" borderId="0" xfId="0" applyNumberFormat="1" applyAlignment="1"/>
    <xf numFmtId="37" fontId="5" fillId="0" borderId="0" xfId="1" applyNumberFormat="1" applyFont="1" applyAlignment="1"/>
    <xf numFmtId="37" fontId="0" fillId="0" borderId="0" xfId="1" applyNumberFormat="1" applyFont="1" applyAlignment="1"/>
    <xf numFmtId="37" fontId="5" fillId="0" borderId="0" xfId="1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8" fillId="0" borderId="0" xfId="0" quotePrefix="1" applyFont="1"/>
    <xf numFmtId="17" fontId="8" fillId="0" borderId="1" xfId="0" applyNumberFormat="1" applyFont="1" applyBorder="1" applyAlignment="1">
      <alignment horizontal="center"/>
    </xf>
    <xf numFmtId="0" fontId="9" fillId="3" borderId="0" xfId="0" applyFont="1" applyFill="1"/>
    <xf numFmtId="0" fontId="9" fillId="0" borderId="0" xfId="0" applyFont="1"/>
    <xf numFmtId="0" fontId="10" fillId="0" borderId="0" xfId="0" applyFont="1"/>
    <xf numFmtId="164" fontId="8" fillId="0" borderId="0" xfId="1" applyNumberFormat="1" applyFont="1"/>
    <xf numFmtId="164" fontId="8" fillId="0" borderId="2" xfId="0" applyNumberFormat="1" applyFont="1" applyBorder="1"/>
    <xf numFmtId="164" fontId="8" fillId="0" borderId="2" xfId="1" applyNumberFormat="1" applyFont="1" applyBorder="1"/>
    <xf numFmtId="0" fontId="11" fillId="0" borderId="0" xfId="0" applyFont="1"/>
    <xf numFmtId="164" fontId="11" fillId="0" borderId="3" xfId="0" applyNumberFormat="1" applyFont="1" applyBorder="1"/>
    <xf numFmtId="164" fontId="10" fillId="0" borderId="0" xfId="0" applyNumberFormat="1" applyFont="1" applyBorder="1"/>
    <xf numFmtId="37" fontId="8" fillId="0" borderId="0" xfId="0" applyNumberFormat="1" applyFont="1"/>
    <xf numFmtId="0" fontId="6" fillId="3" borderId="0" xfId="0" applyFont="1" applyFill="1"/>
    <xf numFmtId="0" fontId="10" fillId="3" borderId="0" xfId="0" applyFont="1" applyFill="1"/>
    <xf numFmtId="10" fontId="0" fillId="0" borderId="0" xfId="2" applyNumberFormat="1" applyFont="1"/>
    <xf numFmtId="0" fontId="8" fillId="0" borderId="1" xfId="0" applyFont="1" applyBorder="1" applyAlignment="1">
      <alignment horizontal="center"/>
    </xf>
    <xf numFmtId="43" fontId="11" fillId="0" borderId="0" xfId="1" applyFont="1" applyBorder="1"/>
    <xf numFmtId="164" fontId="11" fillId="0" borderId="0" xfId="0" applyNumberFormat="1" applyFont="1" applyBorder="1"/>
    <xf numFmtId="164" fontId="11" fillId="0" borderId="0" xfId="1" applyNumberFormat="1" applyFont="1" applyBorder="1"/>
    <xf numFmtId="164" fontId="11" fillId="0" borderId="4" xfId="1" applyNumberFormat="1" applyFont="1" applyBorder="1"/>
    <xf numFmtId="164" fontId="0" fillId="0" borderId="4" xfId="0" applyNumberFormat="1" applyBorder="1"/>
    <xf numFmtId="0" fontId="5" fillId="0" borderId="5" xfId="0" applyFont="1" applyBorder="1"/>
    <xf numFmtId="0" fontId="5" fillId="0" borderId="6" xfId="0" applyFont="1" applyBorder="1"/>
    <xf numFmtId="164" fontId="5" fillId="0" borderId="6" xfId="1" applyNumberFormat="1" applyFont="1" applyBorder="1"/>
    <xf numFmtId="164" fontId="5" fillId="0" borderId="7" xfId="1" applyNumberFormat="1" applyFont="1" applyBorder="1"/>
    <xf numFmtId="0" fontId="5" fillId="0" borderId="8" xfId="0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9" xfId="1" applyNumberFormat="1" applyFont="1" applyBorder="1"/>
    <xf numFmtId="0" fontId="3" fillId="0" borderId="0" xfId="0" applyFont="1" applyAlignment="1">
      <alignment wrapText="1"/>
    </xf>
    <xf numFmtId="0" fontId="7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/>
    <xf numFmtId="37" fontId="3" fillId="0" borderId="0" xfId="1" applyNumberFormat="1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10" xfId="0" applyBorder="1" applyAlignment="1"/>
    <xf numFmtId="0" fontId="3" fillId="0" borderId="0" xfId="0" applyFont="1" applyAlignment="1">
      <alignment horizontal="center" wrapText="1"/>
    </xf>
    <xf numFmtId="0" fontId="3" fillId="0" borderId="10" xfId="0" applyFont="1" applyBorder="1" applyAlignment="1"/>
    <xf numFmtId="0" fontId="9" fillId="4" borderId="0" xfId="0" applyFont="1" applyFill="1"/>
    <xf numFmtId="0" fontId="8" fillId="4" borderId="0" xfId="0" applyFont="1" applyFill="1"/>
    <xf numFmtId="0" fontId="8" fillId="0" borderId="0" xfId="0" applyFont="1" applyFill="1"/>
    <xf numFmtId="164" fontId="8" fillId="0" borderId="0" xfId="0" applyNumberFormat="1" applyFont="1" applyBorder="1"/>
    <xf numFmtId="0" fontId="7" fillId="0" borderId="0" xfId="0" quotePrefix="1" applyFont="1"/>
    <xf numFmtId="164" fontId="8" fillId="2" borderId="0" xfId="1" applyNumberFormat="1" applyFont="1" applyFill="1"/>
    <xf numFmtId="164" fontId="8" fillId="5" borderId="0" xfId="1" applyNumberFormat="1" applyFont="1" applyFill="1"/>
    <xf numFmtId="43" fontId="8" fillId="2" borderId="1" xfId="1" applyFont="1" applyFill="1" applyBorder="1"/>
    <xf numFmtId="0" fontId="8" fillId="2" borderId="0" xfId="0" applyFont="1" applyFill="1"/>
    <xf numFmtId="0" fontId="8" fillId="5" borderId="0" xfId="0" applyFont="1" applyFill="1"/>
    <xf numFmtId="43" fontId="8" fillId="2" borderId="1" xfId="1" applyNumberFormat="1" applyFont="1" applyFill="1" applyBorder="1"/>
    <xf numFmtId="0" fontId="14" fillId="0" borderId="0" xfId="0" applyFont="1"/>
    <xf numFmtId="0" fontId="15" fillId="0" borderId="0" xfId="0" applyFont="1"/>
    <xf numFmtId="0" fontId="0" fillId="0" borderId="0" xfId="0" applyBorder="1" applyAlignment="1"/>
    <xf numFmtId="164" fontId="8" fillId="0" borderId="0" xfId="1" applyNumberFormat="1" applyFont="1" applyFill="1"/>
    <xf numFmtId="43" fontId="8" fillId="0" borderId="1" xfId="1" applyFont="1" applyFill="1" applyBorder="1"/>
    <xf numFmtId="164" fontId="8" fillId="0" borderId="2" xfId="0" applyNumberFormat="1" applyFont="1" applyFill="1" applyBorder="1"/>
    <xf numFmtId="164" fontId="8" fillId="0" borderId="2" xfId="1" applyNumberFormat="1" applyFont="1" applyFill="1" applyBorder="1"/>
    <xf numFmtId="43" fontId="8" fillId="0" borderId="1" xfId="1" applyNumberFormat="1" applyFont="1" applyFill="1" applyBorder="1"/>
    <xf numFmtId="164" fontId="8" fillId="0" borderId="0" xfId="0" applyNumberFormat="1" applyFont="1" applyFill="1" applyBorder="1"/>
    <xf numFmtId="164" fontId="11" fillId="0" borderId="3" xfId="0" applyNumberFormat="1" applyFont="1" applyFill="1" applyBorder="1"/>
    <xf numFmtId="164" fontId="10" fillId="0" borderId="0" xfId="0" applyNumberFormat="1" applyFont="1" applyFill="1" applyBorder="1"/>
    <xf numFmtId="0" fontId="1" fillId="0" borderId="0" xfId="0" applyFont="1"/>
    <xf numFmtId="15" fontId="12" fillId="0" borderId="0" xfId="0" quotePrefix="1" applyNumberFormat="1" applyFont="1" applyAlignment="1">
      <alignment horizontal="center"/>
    </xf>
    <xf numFmtId="15" fontId="7" fillId="0" borderId="0" xfId="0" applyNumberFormat="1" applyFont="1" applyAlignment="1">
      <alignment horizontal="center" wrapText="1"/>
    </xf>
    <xf numFmtId="15" fontId="0" fillId="0" borderId="0" xfId="0" applyNumberFormat="1"/>
    <xf numFmtId="15" fontId="8" fillId="0" borderId="0" xfId="0" applyNumberFormat="1" applyFont="1"/>
    <xf numFmtId="0" fontId="6" fillId="0" borderId="0" xfId="0" applyFont="1" applyAlignment="1">
      <alignment horizontal="center"/>
    </xf>
    <xf numFmtId="0" fontId="0" fillId="0" borderId="10" xfId="0" applyBorder="1"/>
    <xf numFmtId="0" fontId="0" fillId="0" borderId="0" xfId="0"/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4</xdr:row>
      <xdr:rowOff>158750</xdr:rowOff>
    </xdr:from>
    <xdr:to>
      <xdr:col>3</xdr:col>
      <xdr:colOff>415308</xdr:colOff>
      <xdr:row>7</xdr:row>
      <xdr:rowOff>106695</xdr:rowOff>
    </xdr:to>
    <xdr:sp macro="" textlink="">
      <xdr:nvSpPr>
        <xdr:cNvPr id="2" name="Rectangle 1"/>
        <xdr:cNvSpPr/>
      </xdr:nvSpPr>
      <xdr:spPr>
        <a:xfrm>
          <a:off x="449580" y="1036320"/>
          <a:ext cx="178308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input - customer counts for relevant months in budget</a:t>
          </a:r>
        </a:p>
        <a:p>
          <a:pPr algn="ctr"/>
          <a:endParaRPr lang="en-US" sz="1100"/>
        </a:p>
      </xdr:txBody>
    </xdr:sp>
    <xdr:clientData/>
  </xdr:twoCellAnchor>
  <xdr:twoCellAnchor>
    <xdr:from>
      <xdr:col>4</xdr:col>
      <xdr:colOff>694690</xdr:colOff>
      <xdr:row>4</xdr:row>
      <xdr:rowOff>7620</xdr:rowOff>
    </xdr:from>
    <xdr:to>
      <xdr:col>7</xdr:col>
      <xdr:colOff>680724</xdr:colOff>
      <xdr:row>7</xdr:row>
      <xdr:rowOff>128270</xdr:rowOff>
    </xdr:to>
    <xdr:sp macro="" textlink="">
      <xdr:nvSpPr>
        <xdr:cNvPr id="3" name="Rectangle 2"/>
        <xdr:cNvSpPr/>
      </xdr:nvSpPr>
      <xdr:spPr>
        <a:xfrm>
          <a:off x="3262630" y="891540"/>
          <a:ext cx="2180594" cy="6921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input - monthly usage by customer/customer class in budget</a:t>
          </a:r>
        </a:p>
        <a:p>
          <a:pPr algn="ctr"/>
          <a:endParaRPr lang="en-US" sz="1100"/>
        </a:p>
      </xdr:txBody>
    </xdr:sp>
    <xdr:clientData/>
  </xdr:twoCellAnchor>
  <xdr:twoCellAnchor>
    <xdr:from>
      <xdr:col>3</xdr:col>
      <xdr:colOff>219710</xdr:colOff>
      <xdr:row>11</xdr:row>
      <xdr:rowOff>30480</xdr:rowOff>
    </xdr:from>
    <xdr:to>
      <xdr:col>5</xdr:col>
      <xdr:colOff>575310</xdr:colOff>
      <xdr:row>13</xdr:row>
      <xdr:rowOff>181595</xdr:rowOff>
    </xdr:to>
    <xdr:sp macro="" textlink="">
      <xdr:nvSpPr>
        <xdr:cNvPr id="4" name="Rectangle 3"/>
        <xdr:cNvSpPr/>
      </xdr:nvSpPr>
      <xdr:spPr>
        <a:xfrm>
          <a:off x="2049780" y="2247900"/>
          <a:ext cx="180594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projected </a:t>
          </a:r>
          <a:r>
            <a:rPr lang="en-US" sz="1100" baseline="0"/>
            <a:t> </a:t>
          </a:r>
          <a:r>
            <a:rPr lang="en-US" sz="1100"/>
            <a:t>winter month retail</a:t>
          </a:r>
          <a:r>
            <a:rPr lang="en-US" sz="1100" baseline="0"/>
            <a:t> sales volume</a:t>
          </a:r>
          <a:endParaRPr lang="en-US" sz="1100"/>
        </a:p>
      </xdr:txBody>
    </xdr:sp>
    <xdr:clientData/>
  </xdr:twoCellAnchor>
  <xdr:twoCellAnchor>
    <xdr:from>
      <xdr:col>6</xdr:col>
      <xdr:colOff>219710</xdr:colOff>
      <xdr:row>11</xdr:row>
      <xdr:rowOff>30480</xdr:rowOff>
    </xdr:from>
    <xdr:to>
      <xdr:col>9</xdr:col>
      <xdr:colOff>38092</xdr:colOff>
      <xdr:row>13</xdr:row>
      <xdr:rowOff>181595</xdr:rowOff>
    </xdr:to>
    <xdr:sp macro="" textlink="">
      <xdr:nvSpPr>
        <xdr:cNvPr id="5" name="Rectangle 4"/>
        <xdr:cNvSpPr/>
      </xdr:nvSpPr>
      <xdr:spPr>
        <a:xfrm>
          <a:off x="4244340" y="2247900"/>
          <a:ext cx="201930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input - base monthly usage per customer from 2012</a:t>
          </a:r>
          <a:r>
            <a:rPr lang="en-US" sz="1100" baseline="0"/>
            <a:t> Budget</a:t>
          </a:r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4</xdr:col>
      <xdr:colOff>22860</xdr:colOff>
      <xdr:row>22</xdr:row>
      <xdr:rowOff>30480</xdr:rowOff>
    </xdr:from>
    <xdr:to>
      <xdr:col>5</xdr:col>
      <xdr:colOff>627404</xdr:colOff>
      <xdr:row>24</xdr:row>
      <xdr:rowOff>181595</xdr:rowOff>
    </xdr:to>
    <xdr:sp macro="" textlink="">
      <xdr:nvSpPr>
        <xdr:cNvPr id="6" name="Rectangle 5"/>
        <xdr:cNvSpPr/>
      </xdr:nvSpPr>
      <xdr:spPr>
        <a:xfrm>
          <a:off x="2590800" y="4343400"/>
          <a:ext cx="131064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input - Monthly 30 Year normal HDD's</a:t>
          </a:r>
        </a:p>
      </xdr:txBody>
    </xdr:sp>
    <xdr:clientData/>
  </xdr:twoCellAnchor>
  <xdr:twoCellAnchor>
    <xdr:from>
      <xdr:col>6</xdr:col>
      <xdr:colOff>461010</xdr:colOff>
      <xdr:row>17</xdr:row>
      <xdr:rowOff>99060</xdr:rowOff>
    </xdr:from>
    <xdr:to>
      <xdr:col>8</xdr:col>
      <xdr:colOff>506730</xdr:colOff>
      <xdr:row>20</xdr:row>
      <xdr:rowOff>59750</xdr:rowOff>
    </xdr:to>
    <xdr:sp macro="" textlink="">
      <xdr:nvSpPr>
        <xdr:cNvPr id="7" name="Rectangle 6"/>
        <xdr:cNvSpPr/>
      </xdr:nvSpPr>
      <xdr:spPr>
        <a:xfrm>
          <a:off x="4472940" y="3459480"/>
          <a:ext cx="150876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weather sensitive retail sale volume</a:t>
          </a:r>
        </a:p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3</xdr:col>
      <xdr:colOff>241300</xdr:colOff>
      <xdr:row>24</xdr:row>
      <xdr:rowOff>151115</xdr:rowOff>
    </xdr:to>
    <xdr:sp macro="" textlink="">
      <xdr:nvSpPr>
        <xdr:cNvPr id="8" name="Rectangle 7"/>
        <xdr:cNvSpPr/>
      </xdr:nvSpPr>
      <xdr:spPr>
        <a:xfrm>
          <a:off x="373380" y="4312920"/>
          <a:ext cx="169164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Standard</a:t>
          </a:r>
          <a:r>
            <a:rPr lang="en-US" sz="1100" baseline="0"/>
            <a:t> Deviation on Monthly &amp; winter HDD's</a:t>
          </a:r>
        </a:p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2</xdr:col>
      <xdr:colOff>196850</xdr:colOff>
      <xdr:row>28</xdr:row>
      <xdr:rowOff>60960</xdr:rowOff>
    </xdr:from>
    <xdr:to>
      <xdr:col>4</xdr:col>
      <xdr:colOff>604533</xdr:colOff>
      <xdr:row>31</xdr:row>
      <xdr:rowOff>15240</xdr:rowOff>
    </xdr:to>
    <xdr:sp macro="" textlink="">
      <xdr:nvSpPr>
        <xdr:cNvPr id="9" name="Rectangle 8"/>
        <xdr:cNvSpPr/>
      </xdr:nvSpPr>
      <xdr:spPr>
        <a:xfrm>
          <a:off x="1295400" y="5516880"/>
          <a:ext cx="185166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percentage</a:t>
          </a:r>
          <a:r>
            <a:rPr lang="en-US" sz="1100" baseline="0"/>
            <a:t> above and below 30 year normal HDD - 2</a:t>
          </a:r>
          <a:r>
            <a:rPr lang="el-GR" sz="1100" baseline="0"/>
            <a:t>σ</a:t>
          </a:r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/>
        </a:p>
      </xdr:txBody>
    </xdr:sp>
    <xdr:clientData/>
  </xdr:twoCellAnchor>
  <xdr:twoCellAnchor>
    <xdr:from>
      <xdr:col>2</xdr:col>
      <xdr:colOff>271780</xdr:colOff>
      <xdr:row>33</xdr:row>
      <xdr:rowOff>189230</xdr:rowOff>
    </xdr:from>
    <xdr:to>
      <xdr:col>4</xdr:col>
      <xdr:colOff>673108</xdr:colOff>
      <xdr:row>36</xdr:row>
      <xdr:rowOff>137175</xdr:rowOff>
    </xdr:to>
    <xdr:sp macro="" textlink="">
      <xdr:nvSpPr>
        <xdr:cNvPr id="10" name="Rectangle 9"/>
        <xdr:cNvSpPr/>
      </xdr:nvSpPr>
      <xdr:spPr>
        <a:xfrm>
          <a:off x="1363980" y="6591300"/>
          <a:ext cx="185166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 baseline="0"/>
            <a:t>warm and cold winter calculations at 2</a:t>
          </a:r>
          <a:r>
            <a:rPr lang="el-GR" sz="1100" baseline="0"/>
            <a:t>σ</a:t>
          </a:r>
          <a:endParaRPr lang="en-US" sz="1100" baseline="0"/>
        </a:p>
        <a:p>
          <a:pPr algn="ctr"/>
          <a:endParaRPr lang="en-US" sz="1100"/>
        </a:p>
      </xdr:txBody>
    </xdr:sp>
    <xdr:clientData/>
  </xdr:twoCellAnchor>
  <xdr:twoCellAnchor>
    <xdr:from>
      <xdr:col>2</xdr:col>
      <xdr:colOff>393700</xdr:colOff>
      <xdr:row>7</xdr:row>
      <xdr:rowOff>128270</xdr:rowOff>
    </xdr:from>
    <xdr:to>
      <xdr:col>4</xdr:col>
      <xdr:colOff>0</xdr:colOff>
      <xdr:row>10</xdr:row>
      <xdr:rowOff>181610</xdr:rowOff>
    </xdr:to>
    <xdr:cxnSp macro="">
      <xdr:nvCxnSpPr>
        <xdr:cNvPr id="11" name="Straight Arrow Connector 10"/>
        <xdr:cNvCxnSpPr/>
      </xdr:nvCxnSpPr>
      <xdr:spPr>
        <a:xfrm>
          <a:off x="1485900" y="1577340"/>
          <a:ext cx="1082040" cy="62484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30481</xdr:colOff>
      <xdr:row>7</xdr:row>
      <xdr:rowOff>128270</xdr:rowOff>
    </xdr:from>
    <xdr:to>
      <xdr:col>6</xdr:col>
      <xdr:colOff>321947</xdr:colOff>
      <xdr:row>11</xdr:row>
      <xdr:rowOff>7620</xdr:rowOff>
    </xdr:to>
    <xdr:cxnSp macro="">
      <xdr:nvCxnSpPr>
        <xdr:cNvPr id="12" name="Straight Arrow Connector 11"/>
        <xdr:cNvCxnSpPr>
          <a:stCxn id="3" idx="2"/>
        </xdr:cNvCxnSpPr>
      </xdr:nvCxnSpPr>
      <xdr:spPr>
        <a:xfrm flipH="1">
          <a:off x="3329941" y="1583690"/>
          <a:ext cx="1022986" cy="64135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499110</xdr:colOff>
      <xdr:row>13</xdr:row>
      <xdr:rowOff>166370</xdr:rowOff>
    </xdr:from>
    <xdr:to>
      <xdr:col>7</xdr:col>
      <xdr:colOff>506730</xdr:colOff>
      <xdr:row>17</xdr:row>
      <xdr:rowOff>59690</xdr:rowOff>
    </xdr:to>
    <xdr:cxnSp macro="">
      <xdr:nvCxnSpPr>
        <xdr:cNvPr id="13" name="Straight Arrow Connector 12"/>
        <xdr:cNvCxnSpPr/>
      </xdr:nvCxnSpPr>
      <xdr:spPr>
        <a:xfrm rot="16200000" flipH="1">
          <a:off x="4918710" y="3082290"/>
          <a:ext cx="655320" cy="762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24</xdr:row>
      <xdr:rowOff>151130</xdr:rowOff>
    </xdr:from>
    <xdr:to>
      <xdr:col>3</xdr:col>
      <xdr:colOff>248920</xdr:colOff>
      <xdr:row>27</xdr:row>
      <xdr:rowOff>196837</xdr:rowOff>
    </xdr:to>
    <xdr:cxnSp macro="">
      <xdr:nvCxnSpPr>
        <xdr:cNvPr id="14" name="Straight Arrow Connector 13"/>
        <xdr:cNvCxnSpPr/>
      </xdr:nvCxnSpPr>
      <xdr:spPr>
        <a:xfrm>
          <a:off x="1333500" y="4838700"/>
          <a:ext cx="739140" cy="61722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24</xdr:row>
      <xdr:rowOff>181610</xdr:rowOff>
    </xdr:from>
    <xdr:to>
      <xdr:col>4</xdr:col>
      <xdr:colOff>703484</xdr:colOff>
      <xdr:row>28</xdr:row>
      <xdr:rowOff>22860</xdr:rowOff>
    </xdr:to>
    <xdr:cxnSp macro="">
      <xdr:nvCxnSpPr>
        <xdr:cNvPr id="15" name="Straight Arrow Connector 14"/>
        <xdr:cNvCxnSpPr>
          <a:stCxn id="6" idx="2"/>
        </xdr:cNvCxnSpPr>
      </xdr:nvCxnSpPr>
      <xdr:spPr>
        <a:xfrm rot="5400000">
          <a:off x="2606040" y="4838700"/>
          <a:ext cx="609600" cy="67056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12</xdr:row>
      <xdr:rowOff>99060</xdr:rowOff>
    </xdr:from>
    <xdr:to>
      <xdr:col>9</xdr:col>
      <xdr:colOff>582884</xdr:colOff>
      <xdr:row>12</xdr:row>
      <xdr:rowOff>102870</xdr:rowOff>
    </xdr:to>
    <xdr:cxnSp macro="">
      <xdr:nvCxnSpPr>
        <xdr:cNvPr id="16" name="Straight Connector 15"/>
        <xdr:cNvCxnSpPr>
          <a:stCxn id="5" idx="3"/>
        </xdr:cNvCxnSpPr>
      </xdr:nvCxnSpPr>
      <xdr:spPr>
        <a:xfrm flipV="1">
          <a:off x="6263640" y="2506980"/>
          <a:ext cx="525780" cy="38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514350</xdr:colOff>
      <xdr:row>12</xdr:row>
      <xdr:rowOff>99060</xdr:rowOff>
    </xdr:from>
    <xdr:to>
      <xdr:col>9</xdr:col>
      <xdr:colOff>574358</xdr:colOff>
      <xdr:row>35</xdr:row>
      <xdr:rowOff>106680</xdr:rowOff>
    </xdr:to>
    <xdr:cxnSp macro="">
      <xdr:nvCxnSpPr>
        <xdr:cNvPr id="17" name="Straight Connector 16"/>
        <xdr:cNvCxnSpPr/>
      </xdr:nvCxnSpPr>
      <xdr:spPr>
        <a:xfrm rot="5400000">
          <a:off x="4552950" y="4674870"/>
          <a:ext cx="4389120" cy="5334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665480</xdr:colOff>
      <xdr:row>35</xdr:row>
      <xdr:rowOff>99060</xdr:rowOff>
    </xdr:from>
    <xdr:to>
      <xdr:col>9</xdr:col>
      <xdr:colOff>499112</xdr:colOff>
      <xdr:row>35</xdr:row>
      <xdr:rowOff>100648</xdr:rowOff>
    </xdr:to>
    <xdr:cxnSp macro="">
      <xdr:nvCxnSpPr>
        <xdr:cNvPr id="18" name="Straight Arrow Connector 17"/>
        <xdr:cNvCxnSpPr/>
      </xdr:nvCxnSpPr>
      <xdr:spPr>
        <a:xfrm rot="10800000">
          <a:off x="3208020" y="6888480"/>
          <a:ext cx="3497580" cy="1588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461010</xdr:colOff>
      <xdr:row>20</xdr:row>
      <xdr:rowOff>59690</xdr:rowOff>
    </xdr:from>
    <xdr:to>
      <xdr:col>7</xdr:col>
      <xdr:colOff>483870</xdr:colOff>
      <xdr:row>34</xdr:row>
      <xdr:rowOff>120650</xdr:rowOff>
    </xdr:to>
    <xdr:cxnSp macro="">
      <xdr:nvCxnSpPr>
        <xdr:cNvPr id="19" name="Straight Connector 18"/>
        <xdr:cNvCxnSpPr>
          <a:stCxn id="7" idx="2"/>
        </xdr:cNvCxnSpPr>
      </xdr:nvCxnSpPr>
      <xdr:spPr>
        <a:xfrm rot="5400000">
          <a:off x="3851910" y="5337810"/>
          <a:ext cx="2727960" cy="2286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665480</xdr:colOff>
      <xdr:row>34</xdr:row>
      <xdr:rowOff>137478</xdr:rowOff>
    </xdr:from>
    <xdr:to>
      <xdr:col>7</xdr:col>
      <xdr:colOff>445762</xdr:colOff>
      <xdr:row>34</xdr:row>
      <xdr:rowOff>151130</xdr:rowOff>
    </xdr:to>
    <xdr:cxnSp macro="">
      <xdr:nvCxnSpPr>
        <xdr:cNvPr id="20" name="Straight Arrow Connector 19"/>
        <xdr:cNvCxnSpPr/>
      </xdr:nvCxnSpPr>
      <xdr:spPr>
        <a:xfrm rot="10800000" flipV="1">
          <a:off x="3208020" y="6730048"/>
          <a:ext cx="1981200" cy="13652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393700</xdr:colOff>
      <xdr:row>31</xdr:row>
      <xdr:rowOff>15240</xdr:rowOff>
    </xdr:from>
    <xdr:to>
      <xdr:col>3</xdr:col>
      <xdr:colOff>401320</xdr:colOff>
      <xdr:row>33</xdr:row>
      <xdr:rowOff>120617</xdr:rowOff>
    </xdr:to>
    <xdr:cxnSp macro="">
      <xdr:nvCxnSpPr>
        <xdr:cNvPr id="21" name="Straight Arrow Connector 20"/>
        <xdr:cNvCxnSpPr>
          <a:stCxn id="9" idx="2"/>
        </xdr:cNvCxnSpPr>
      </xdr:nvCxnSpPr>
      <xdr:spPr>
        <a:xfrm rot="5400000">
          <a:off x="1979295" y="6280785"/>
          <a:ext cx="480060" cy="381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7620</xdr:rowOff>
    </xdr:from>
    <xdr:to>
      <xdr:col>3</xdr:col>
      <xdr:colOff>287029</xdr:colOff>
      <xdr:row>18</xdr:row>
      <xdr:rowOff>158735</xdr:rowOff>
    </xdr:to>
    <xdr:sp macro="" textlink="">
      <xdr:nvSpPr>
        <xdr:cNvPr id="22" name="Rectangle 21"/>
        <xdr:cNvSpPr/>
      </xdr:nvSpPr>
      <xdr:spPr>
        <a:xfrm>
          <a:off x="373380" y="3177540"/>
          <a:ext cx="1737360" cy="5257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 baseline="0"/>
            <a:t> input - Monthly &amp; Winter HDD's</a:t>
          </a:r>
        </a:p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2</xdr:col>
      <xdr:colOff>142716</xdr:colOff>
      <xdr:row>18</xdr:row>
      <xdr:rowOff>159544</xdr:rowOff>
    </xdr:from>
    <xdr:to>
      <xdr:col>2</xdr:col>
      <xdr:colOff>144304</xdr:colOff>
      <xdr:row>21</xdr:row>
      <xdr:rowOff>136684</xdr:rowOff>
    </xdr:to>
    <xdr:cxnSp macro="">
      <xdr:nvCxnSpPr>
        <xdr:cNvPr id="23" name="Straight Arrow Connector 22"/>
        <xdr:cNvCxnSpPr>
          <a:stCxn id="22" idx="2"/>
        </xdr:cNvCxnSpPr>
      </xdr:nvCxnSpPr>
      <xdr:spPr>
        <a:xfrm rot="5400000">
          <a:off x="967740" y="3977640"/>
          <a:ext cx="548640" cy="1588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2"/>
  <sheetViews>
    <sheetView tabSelected="1" zoomScale="50" zoomScaleNormal="50" workbookViewId="0">
      <selection activeCell="F18" sqref="F18"/>
    </sheetView>
  </sheetViews>
  <sheetFormatPr defaultRowHeight="15"/>
  <cols>
    <col min="1" max="1" width="76.21875" customWidth="1"/>
  </cols>
  <sheetData>
    <row r="1" spans="1:1" ht="30">
      <c r="A1" s="57"/>
    </row>
    <row r="2" spans="1:1" ht="30">
      <c r="A2" s="57"/>
    </row>
    <row r="3" spans="1:1" ht="30">
      <c r="A3" s="57"/>
    </row>
    <row r="4" spans="1:1" ht="30">
      <c r="A4" s="57"/>
    </row>
    <row r="5" spans="1:1" ht="30">
      <c r="A5" s="57"/>
    </row>
    <row r="6" spans="1:1" ht="30">
      <c r="A6" s="57" t="s">
        <v>101</v>
      </c>
    </row>
    <row r="7" spans="1:1" ht="30">
      <c r="A7" s="57" t="s">
        <v>76</v>
      </c>
    </row>
    <row r="8" spans="1:1" ht="30">
      <c r="A8" s="57" t="s">
        <v>161</v>
      </c>
    </row>
    <row r="9" spans="1:1" ht="30">
      <c r="A9" s="57"/>
    </row>
    <row r="10" spans="1:1" ht="30">
      <c r="A10" s="57"/>
    </row>
    <row r="11" spans="1:1" ht="30">
      <c r="A11" s="57"/>
    </row>
    <row r="12" spans="1:1" ht="30">
      <c r="A12" s="57"/>
    </row>
    <row r="13" spans="1:1" ht="30">
      <c r="A13" s="57"/>
    </row>
    <row r="14" spans="1:1" ht="30">
      <c r="A14" s="57"/>
    </row>
    <row r="15" spans="1:1" ht="30">
      <c r="A15" s="93">
        <v>40816</v>
      </c>
    </row>
    <row r="16" spans="1:1" ht="30">
      <c r="A16" s="57"/>
    </row>
    <row r="17" spans="1:1" ht="30">
      <c r="A17" s="57"/>
    </row>
    <row r="18" spans="1:1" ht="30">
      <c r="A18" s="57"/>
    </row>
    <row r="19" spans="1:1" ht="30">
      <c r="A19" s="57"/>
    </row>
    <row r="20" spans="1:1" ht="30">
      <c r="A20" s="57"/>
    </row>
    <row r="21" spans="1:1" ht="30">
      <c r="A21" s="57"/>
    </row>
    <row r="22" spans="1:1" ht="30">
      <c r="A22" s="57"/>
    </row>
    <row r="23" spans="1:1" ht="30">
      <c r="A23" s="57"/>
    </row>
    <row r="24" spans="1:1" ht="30">
      <c r="A24" s="57"/>
    </row>
    <row r="25" spans="1:1" ht="30">
      <c r="A25" s="57"/>
    </row>
    <row r="26" spans="1:1" ht="30">
      <c r="A26" s="57"/>
    </row>
    <row r="27" spans="1:1" ht="30">
      <c r="A27" s="57"/>
    </row>
    <row r="28" spans="1:1" ht="30">
      <c r="A28" s="57"/>
    </row>
    <row r="29" spans="1:1" ht="30">
      <c r="A29" s="57"/>
    </row>
    <row r="30" spans="1:1" ht="30">
      <c r="A30" s="57"/>
    </row>
    <row r="31" spans="1:1" ht="30">
      <c r="A31" s="57"/>
    </row>
    <row r="32" spans="1:1" ht="30">
      <c r="A32" s="57"/>
    </row>
    <row r="33" spans="1:1" ht="30">
      <c r="A33" s="57"/>
    </row>
    <row r="34" spans="1:1" ht="30">
      <c r="A34" s="57"/>
    </row>
    <row r="35" spans="1:1" ht="30">
      <c r="A35" s="57"/>
    </row>
    <row r="36" spans="1:1" ht="30">
      <c r="A36" s="57"/>
    </row>
    <row r="37" spans="1:1" ht="30">
      <c r="A37" s="57"/>
    </row>
    <row r="38" spans="1:1" ht="30">
      <c r="A38" s="57"/>
    </row>
    <row r="39" spans="1:1" ht="30">
      <c r="A39" s="57"/>
    </row>
    <row r="40" spans="1:1" ht="30">
      <c r="A40" s="57"/>
    </row>
    <row r="41" spans="1:1" ht="30">
      <c r="A41" s="57"/>
    </row>
    <row r="42" spans="1:1" ht="30">
      <c r="A42" s="57"/>
    </row>
    <row r="43" spans="1:1" ht="30">
      <c r="A43" s="57"/>
    </row>
    <row r="44" spans="1:1" ht="30">
      <c r="A44" s="57"/>
    </row>
    <row r="45" spans="1:1" ht="30">
      <c r="A45" s="57"/>
    </row>
    <row r="46" spans="1:1" ht="30">
      <c r="A46" s="57"/>
    </row>
    <row r="47" spans="1:1" ht="30">
      <c r="A47" s="57"/>
    </row>
    <row r="48" spans="1:1" ht="30">
      <c r="A48" s="57"/>
    </row>
    <row r="49" spans="1:1" ht="30">
      <c r="A49" s="57"/>
    </row>
    <row r="50" spans="1:1" ht="30">
      <c r="A50" s="57"/>
    </row>
    <row r="51" spans="1:1" ht="30">
      <c r="A51" s="57"/>
    </row>
    <row r="52" spans="1:1" ht="30">
      <c r="A52" s="57"/>
    </row>
  </sheetData>
  <phoneticPr fontId="4" type="noConversion"/>
  <pageMargins left="0.75" right="0.75" top="1" bottom="1" header="0.5" footer="0.5"/>
  <pageSetup orientation="portrait" r:id="rId1"/>
  <headerFooter alignWithMargins="0">
    <oddHeader xml:space="preserve">&amp;RAppendix 2- SMNG Winter Sensitivity Analysis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topLeftCell="A16" workbookViewId="0">
      <selection activeCell="F18" sqref="F18"/>
    </sheetView>
  </sheetViews>
  <sheetFormatPr defaultRowHeight="15"/>
  <cols>
    <col min="1" max="1" width="4.44140625" customWidth="1"/>
  </cols>
  <sheetData>
    <row r="1" spans="1:10" ht="18">
      <c r="A1" s="11" t="s">
        <v>102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>
      <c r="A2" s="11" t="s">
        <v>99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8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8">
      <c r="A4" s="11"/>
      <c r="B4" s="11"/>
      <c r="C4" s="11"/>
      <c r="D4" s="11"/>
      <c r="E4" s="11"/>
      <c r="F4" s="11"/>
      <c r="G4" s="11"/>
      <c r="H4" s="11"/>
      <c r="I4" s="11"/>
      <c r="J4" s="11"/>
    </row>
    <row r="13" spans="1:10">
      <c r="F13" t="s">
        <v>103</v>
      </c>
    </row>
    <row r="15" spans="1:10">
      <c r="A15" s="95">
        <v>40816</v>
      </c>
    </row>
    <row r="16" spans="1:10">
      <c r="E16" s="56"/>
    </row>
    <row r="21" spans="3:3">
      <c r="C21" t="s">
        <v>100</v>
      </c>
    </row>
  </sheetData>
  <phoneticPr fontId="0" type="noConversion"/>
  <pageMargins left="0.7" right="0.7" top="0.75" bottom="0.75" header="0.3" footer="0.3"/>
  <pageSetup scale="89" orientation="portrait" r:id="rId1"/>
  <headerFooter>
    <oddHeader xml:space="preserve">&amp;RAppendix 2--SMNG Winter Sensitivity Analysis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1"/>
  <sheetViews>
    <sheetView tabSelected="1" zoomScaleNormal="50" workbookViewId="0">
      <selection activeCell="F18" sqref="F18"/>
    </sheetView>
  </sheetViews>
  <sheetFormatPr defaultColWidth="8.77734375" defaultRowHeight="15"/>
  <cols>
    <col min="1" max="1" width="4.5546875" customWidth="1"/>
    <col min="2" max="3" width="8.77734375" customWidth="1"/>
    <col min="4" max="4" width="16.77734375" customWidth="1"/>
    <col min="5" max="5" width="5.6640625" customWidth="1"/>
    <col min="6" max="6" width="10.44140625" customWidth="1"/>
    <col min="7" max="7" width="10.21875" customWidth="1"/>
    <col min="8" max="10" width="9.21875" bestFit="1" customWidth="1"/>
    <col min="11" max="11" width="9.77734375" customWidth="1"/>
    <col min="12" max="12" width="2.88671875" customWidth="1"/>
  </cols>
  <sheetData>
    <row r="1" spans="1:15" ht="18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3"/>
      <c r="N1" s="23"/>
      <c r="O1" s="23"/>
    </row>
    <row r="2" spans="1:15" ht="18">
      <c r="A2" s="25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3"/>
      <c r="L2" s="23"/>
      <c r="M2" s="23"/>
      <c r="N2" s="23"/>
      <c r="O2" s="23"/>
    </row>
    <row r="3" spans="1:15" ht="18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3"/>
      <c r="L3" s="23"/>
      <c r="M3" s="23"/>
      <c r="N3" s="23"/>
      <c r="O3" s="23"/>
    </row>
    <row r="4" spans="1: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A5" s="23"/>
      <c r="B5" s="23"/>
      <c r="C5" s="23"/>
      <c r="D5" s="23"/>
      <c r="E5" s="23"/>
      <c r="F5" s="26"/>
      <c r="G5" s="23"/>
      <c r="H5" s="26"/>
      <c r="I5" s="23"/>
      <c r="J5" s="23"/>
      <c r="K5" s="24" t="s">
        <v>92</v>
      </c>
      <c r="L5" s="23"/>
      <c r="M5" s="58" t="s">
        <v>97</v>
      </c>
      <c r="N5" s="23"/>
      <c r="O5" s="23"/>
    </row>
    <row r="6" spans="1:15" ht="15.75" thickBot="1">
      <c r="A6" s="23"/>
      <c r="B6" s="23"/>
      <c r="C6" s="23"/>
      <c r="D6" s="23"/>
      <c r="E6" s="23"/>
      <c r="F6" s="27">
        <v>40848</v>
      </c>
      <c r="G6" s="27">
        <v>40878</v>
      </c>
      <c r="H6" s="27">
        <v>40909</v>
      </c>
      <c r="I6" s="27">
        <v>40940</v>
      </c>
      <c r="J6" s="27">
        <v>40969</v>
      </c>
      <c r="K6" s="41" t="s">
        <v>61</v>
      </c>
      <c r="L6" s="23"/>
      <c r="M6" s="59" t="s">
        <v>98</v>
      </c>
      <c r="N6" s="23"/>
      <c r="O6" s="23"/>
    </row>
    <row r="7" spans="1:15" ht="18">
      <c r="A7" s="70" t="s">
        <v>157</v>
      </c>
      <c r="B7" s="71"/>
      <c r="C7" s="71"/>
      <c r="D7" s="71"/>
      <c r="E7" s="71"/>
      <c r="F7" s="72"/>
      <c r="G7" s="23"/>
      <c r="H7" s="23"/>
      <c r="I7" s="23"/>
      <c r="J7" s="23"/>
      <c r="K7" s="23"/>
      <c r="L7" s="23"/>
      <c r="M7" s="23"/>
      <c r="N7" s="23"/>
      <c r="O7" s="23"/>
    </row>
    <row r="8" spans="1:15" ht="18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5.75">
      <c r="A9" s="23"/>
      <c r="B9" s="30" t="s">
        <v>141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23"/>
      <c r="B10" s="56" t="s">
        <v>151</v>
      </c>
      <c r="C10" s="23"/>
      <c r="D10" s="23"/>
      <c r="E10" s="23"/>
      <c r="F10" s="84">
        <v>2132</v>
      </c>
      <c r="G10" s="84">
        <v>2132</v>
      </c>
      <c r="H10" s="84">
        <v>2132</v>
      </c>
      <c r="I10" s="84">
        <v>2136</v>
      </c>
      <c r="J10" s="84">
        <v>2161</v>
      </c>
      <c r="K10" s="23"/>
      <c r="L10" s="23"/>
      <c r="M10" s="23"/>
      <c r="N10" s="23"/>
      <c r="O10" s="23"/>
    </row>
    <row r="11" spans="1:15" ht="15.75" thickBot="1">
      <c r="A11" s="23"/>
      <c r="B11" s="23" t="s">
        <v>78</v>
      </c>
      <c r="C11" s="23"/>
      <c r="D11" s="23"/>
      <c r="E11" s="23"/>
      <c r="F11" s="85">
        <v>5.2</v>
      </c>
      <c r="G11" s="85">
        <v>12.2</v>
      </c>
      <c r="H11" s="85">
        <v>12.6</v>
      </c>
      <c r="I11" s="85">
        <v>9.6</v>
      </c>
      <c r="J11" s="85">
        <v>6.5</v>
      </c>
      <c r="K11" s="23"/>
      <c r="L11" s="23"/>
      <c r="M11" s="23"/>
      <c r="N11" s="23"/>
      <c r="O11" s="23"/>
    </row>
    <row r="12" spans="1:15" ht="15.75" thickBot="1">
      <c r="A12" s="23"/>
      <c r="B12" s="23" t="s">
        <v>79</v>
      </c>
      <c r="C12" s="23"/>
      <c r="D12" s="23"/>
      <c r="E12" s="23"/>
      <c r="F12" s="86">
        <f>+F11*F10</f>
        <v>11086.4</v>
      </c>
      <c r="G12" s="86">
        <f>+G11*G10</f>
        <v>26010.399999999998</v>
      </c>
      <c r="H12" s="86">
        <f>+H11*H10</f>
        <v>26863.200000000001</v>
      </c>
      <c r="I12" s="86">
        <f>+I11*I10</f>
        <v>20505.599999999999</v>
      </c>
      <c r="J12" s="86">
        <f>+J11*J10</f>
        <v>14046.5</v>
      </c>
      <c r="K12" s="23"/>
      <c r="L12" s="23"/>
      <c r="M12" s="23"/>
      <c r="N12" s="23"/>
      <c r="O12" s="23"/>
    </row>
    <row r="13" spans="1:15">
      <c r="A13" s="23"/>
      <c r="B13" s="23"/>
      <c r="C13" s="23"/>
      <c r="D13" s="23"/>
      <c r="E13" s="23"/>
      <c r="F13" s="72"/>
      <c r="G13" s="72"/>
      <c r="H13" s="72"/>
      <c r="I13" s="72"/>
      <c r="J13" s="72"/>
      <c r="K13" s="23"/>
      <c r="L13" s="23"/>
      <c r="M13" s="23"/>
      <c r="N13" s="23"/>
      <c r="O13" s="23"/>
    </row>
    <row r="14" spans="1:15">
      <c r="A14" s="23"/>
      <c r="B14" s="56" t="s">
        <v>152</v>
      </c>
      <c r="C14" s="23"/>
      <c r="D14" s="23"/>
      <c r="E14" s="23"/>
      <c r="F14" s="72">
        <v>1479</v>
      </c>
      <c r="G14" s="72">
        <v>1479</v>
      </c>
      <c r="H14" s="72">
        <v>1479</v>
      </c>
      <c r="I14" s="72">
        <v>1481</v>
      </c>
      <c r="J14" s="72">
        <v>1498</v>
      </c>
      <c r="K14" s="23"/>
      <c r="L14" s="23"/>
      <c r="M14" s="23"/>
      <c r="N14" s="23"/>
      <c r="O14" s="23"/>
    </row>
    <row r="15" spans="1:15" ht="15.75" thickBot="1">
      <c r="A15" s="96">
        <v>40816</v>
      </c>
      <c r="B15" s="23" t="s">
        <v>78</v>
      </c>
      <c r="C15" s="23"/>
      <c r="D15" s="23"/>
      <c r="E15" s="23"/>
      <c r="F15" s="85">
        <v>4.3</v>
      </c>
      <c r="G15" s="85">
        <v>10.7</v>
      </c>
      <c r="H15" s="85">
        <v>11.1</v>
      </c>
      <c r="I15" s="85">
        <v>8.3000000000000007</v>
      </c>
      <c r="J15" s="85">
        <v>5.6</v>
      </c>
      <c r="K15" s="23"/>
      <c r="L15" s="23"/>
      <c r="M15" s="23"/>
      <c r="N15" s="23"/>
      <c r="O15" s="23"/>
    </row>
    <row r="16" spans="1:15" ht="15.75" thickBot="1">
      <c r="A16" s="23"/>
      <c r="B16" s="23" t="s">
        <v>79</v>
      </c>
      <c r="C16" s="23"/>
      <c r="D16" s="23"/>
      <c r="E16" s="23"/>
      <c r="F16" s="86">
        <f>+F15*F14</f>
        <v>6359.7</v>
      </c>
      <c r="G16" s="86">
        <f>+G15*G14</f>
        <v>15825.3</v>
      </c>
      <c r="H16" s="86">
        <f>+H15*H14</f>
        <v>16416.899999999998</v>
      </c>
      <c r="I16" s="86">
        <f>+I15*I14</f>
        <v>12292.300000000001</v>
      </c>
      <c r="J16" s="86">
        <f>+J15*J14</f>
        <v>8388.7999999999993</v>
      </c>
      <c r="K16" s="23"/>
      <c r="L16" s="23"/>
      <c r="M16" s="23"/>
      <c r="N16" s="23"/>
      <c r="O16" s="23"/>
    </row>
    <row r="17" spans="1:15">
      <c r="A17" s="23"/>
      <c r="B17" s="23"/>
      <c r="C17" s="23"/>
      <c r="D17" s="23"/>
      <c r="E17" s="23"/>
      <c r="F17" s="72"/>
      <c r="G17" s="72"/>
      <c r="H17" s="72"/>
      <c r="I17" s="72"/>
      <c r="J17" s="72"/>
      <c r="K17" s="23"/>
      <c r="L17" s="23"/>
      <c r="M17" s="23"/>
      <c r="N17" s="23"/>
      <c r="O17" s="23"/>
    </row>
    <row r="18" spans="1:15">
      <c r="A18" s="23"/>
      <c r="B18" s="56" t="s">
        <v>153</v>
      </c>
      <c r="C18" s="23"/>
      <c r="D18" s="23"/>
      <c r="E18" s="23"/>
      <c r="F18" s="72">
        <v>366</v>
      </c>
      <c r="G18" s="72">
        <v>366</v>
      </c>
      <c r="H18" s="72">
        <v>366</v>
      </c>
      <c r="I18" s="72">
        <v>368</v>
      </c>
      <c r="J18" s="72">
        <v>373</v>
      </c>
      <c r="K18" s="23"/>
      <c r="L18" s="23"/>
      <c r="M18" s="23"/>
      <c r="N18" s="23"/>
      <c r="O18" s="23"/>
    </row>
    <row r="19" spans="1:15" ht="15.75" thickBot="1">
      <c r="A19" s="23"/>
      <c r="B19" s="23" t="s">
        <v>78</v>
      </c>
      <c r="C19" s="23"/>
      <c r="D19" s="23"/>
      <c r="E19" s="23"/>
      <c r="F19" s="85">
        <v>14.32</v>
      </c>
      <c r="G19" s="85">
        <v>31.76</v>
      </c>
      <c r="H19" s="85">
        <v>35.53</v>
      </c>
      <c r="I19" s="85">
        <v>33.94</v>
      </c>
      <c r="J19" s="85">
        <v>17.399999999999999</v>
      </c>
      <c r="K19" s="23"/>
      <c r="L19" s="23"/>
      <c r="M19" s="23"/>
      <c r="N19" s="23"/>
      <c r="O19" s="23"/>
    </row>
    <row r="20" spans="1:15" ht="15.75" thickBot="1">
      <c r="A20" s="23"/>
      <c r="B20" s="23" t="s">
        <v>79</v>
      </c>
      <c r="C20" s="23"/>
      <c r="D20" s="23"/>
      <c r="E20" s="23"/>
      <c r="F20" s="87">
        <f>+F19*F18</f>
        <v>5241.12</v>
      </c>
      <c r="G20" s="87">
        <f>+G19*G18</f>
        <v>11624.16</v>
      </c>
      <c r="H20" s="87">
        <f>+H19*H18</f>
        <v>13003.98</v>
      </c>
      <c r="I20" s="87">
        <f>+I19*I18</f>
        <v>12489.919999999998</v>
      </c>
      <c r="J20" s="87">
        <f>+J19*J18</f>
        <v>6490.2</v>
      </c>
      <c r="K20" s="23"/>
      <c r="L20" s="23"/>
      <c r="M20" s="23"/>
      <c r="N20" s="23"/>
      <c r="O20" s="23"/>
    </row>
    <row r="21" spans="1:15">
      <c r="A21" s="23"/>
      <c r="B21" s="23"/>
      <c r="C21" s="23"/>
      <c r="D21" s="23"/>
      <c r="E21" s="23"/>
      <c r="F21" s="72"/>
      <c r="G21" s="72"/>
      <c r="H21" s="72"/>
      <c r="I21" s="72"/>
      <c r="J21" s="72"/>
      <c r="K21" s="23"/>
      <c r="L21" s="23"/>
      <c r="M21" s="23"/>
      <c r="N21" s="23"/>
      <c r="O21" s="23"/>
    </row>
    <row r="22" spans="1:15">
      <c r="A22" s="23"/>
      <c r="B22" s="56" t="s">
        <v>154</v>
      </c>
      <c r="C22" s="23"/>
      <c r="D22" s="23"/>
      <c r="E22" s="23"/>
      <c r="F22" s="72">
        <v>24</v>
      </c>
      <c r="G22" s="72">
        <v>24</v>
      </c>
      <c r="H22" s="72">
        <v>24</v>
      </c>
      <c r="I22" s="72">
        <v>24</v>
      </c>
      <c r="J22" s="72">
        <v>25</v>
      </c>
      <c r="K22" s="23"/>
      <c r="L22" s="23"/>
      <c r="M22" s="23"/>
      <c r="N22" s="23"/>
      <c r="O22" s="23"/>
    </row>
    <row r="23" spans="1:15" ht="15.75" thickBot="1">
      <c r="A23" s="23"/>
      <c r="B23" s="23" t="s">
        <v>78</v>
      </c>
      <c r="C23" s="23"/>
      <c r="D23" s="23"/>
      <c r="E23" s="23"/>
      <c r="F23" s="88">
        <v>4.76</v>
      </c>
      <c r="G23" s="88">
        <v>8.33</v>
      </c>
      <c r="H23" s="88">
        <v>9.9600000000000009</v>
      </c>
      <c r="I23" s="88">
        <v>9.0500000000000007</v>
      </c>
      <c r="J23" s="88">
        <v>3.48</v>
      </c>
      <c r="K23" s="23"/>
      <c r="L23" s="23"/>
      <c r="M23" s="23"/>
      <c r="N23" s="23"/>
      <c r="O23" s="23"/>
    </row>
    <row r="24" spans="1:15" ht="15.75" thickBot="1">
      <c r="A24" s="23"/>
      <c r="B24" s="23" t="s">
        <v>79</v>
      </c>
      <c r="C24" s="23"/>
      <c r="D24" s="23"/>
      <c r="E24" s="23"/>
      <c r="F24" s="86">
        <f>+F23*F22</f>
        <v>114.24</v>
      </c>
      <c r="G24" s="86">
        <f>+G23*G22</f>
        <v>199.92000000000002</v>
      </c>
      <c r="H24" s="86">
        <f>+H23*H22</f>
        <v>239.04000000000002</v>
      </c>
      <c r="I24" s="86">
        <f>+I23*I22</f>
        <v>217.20000000000002</v>
      </c>
      <c r="J24" s="86">
        <f>+J23*J22</f>
        <v>87</v>
      </c>
      <c r="K24" s="23"/>
      <c r="L24" s="23"/>
      <c r="M24" s="23"/>
      <c r="N24" s="23"/>
      <c r="O24" s="23"/>
    </row>
    <row r="25" spans="1:15">
      <c r="A25" s="23"/>
      <c r="B25" s="23"/>
      <c r="C25" s="23"/>
      <c r="D25" s="23"/>
      <c r="E25" s="23"/>
      <c r="F25" s="89"/>
      <c r="G25" s="89"/>
      <c r="H25" s="89"/>
      <c r="I25" s="89"/>
      <c r="J25" s="89"/>
      <c r="K25" s="23"/>
      <c r="L25" s="23"/>
      <c r="M25" s="23"/>
      <c r="N25" s="23"/>
      <c r="O25" s="23"/>
    </row>
    <row r="26" spans="1:15">
      <c r="A26" s="23"/>
      <c r="B26" s="56" t="s">
        <v>155</v>
      </c>
      <c r="C26" s="23"/>
      <c r="D26" s="23"/>
      <c r="E26" s="23"/>
      <c r="F26" s="72">
        <v>27</v>
      </c>
      <c r="G26" s="72">
        <v>27</v>
      </c>
      <c r="H26" s="72">
        <v>27</v>
      </c>
      <c r="I26" s="72">
        <v>27</v>
      </c>
      <c r="J26" s="72">
        <v>27</v>
      </c>
      <c r="K26" s="23"/>
      <c r="L26" s="23"/>
      <c r="M26" s="23"/>
      <c r="N26" s="23"/>
      <c r="O26" s="23"/>
    </row>
    <row r="27" spans="1:15" ht="15.75" thickBot="1">
      <c r="A27" s="23"/>
      <c r="B27" s="23" t="s">
        <v>78</v>
      </c>
      <c r="C27" s="23"/>
      <c r="D27" s="23"/>
      <c r="E27" s="23"/>
      <c r="F27" s="88">
        <v>525.14</v>
      </c>
      <c r="G27" s="88">
        <v>674.39</v>
      </c>
      <c r="H27" s="88">
        <v>872.91</v>
      </c>
      <c r="I27" s="88">
        <v>682.33</v>
      </c>
      <c r="J27" s="88">
        <v>571.89</v>
      </c>
      <c r="K27" s="23"/>
      <c r="L27" s="23"/>
      <c r="M27" s="23"/>
      <c r="N27" s="23"/>
      <c r="O27" s="23"/>
    </row>
    <row r="28" spans="1:15" ht="15.75" thickBot="1">
      <c r="A28" s="23"/>
      <c r="B28" s="23" t="s">
        <v>79</v>
      </c>
      <c r="C28" s="23"/>
      <c r="D28" s="23"/>
      <c r="E28" s="23"/>
      <c r="F28" s="86">
        <f>+F27*F26</f>
        <v>14178.779999999999</v>
      </c>
      <c r="G28" s="86">
        <f>+G27*G26</f>
        <v>18208.53</v>
      </c>
      <c r="H28" s="86">
        <f>+H27*H26</f>
        <v>23568.57</v>
      </c>
      <c r="I28" s="86">
        <f>+I27*I26</f>
        <v>18422.91</v>
      </c>
      <c r="J28" s="86">
        <f>+J27*J26</f>
        <v>15441.029999999999</v>
      </c>
      <c r="K28" s="23"/>
      <c r="L28" s="23"/>
      <c r="M28" s="23"/>
      <c r="N28" s="23"/>
      <c r="O28" s="23"/>
    </row>
    <row r="29" spans="1:15">
      <c r="A29" s="23"/>
      <c r="B29" s="23"/>
      <c r="C29" s="23"/>
      <c r="D29" s="23"/>
      <c r="E29" s="23"/>
      <c r="F29" s="89"/>
      <c r="G29" s="89"/>
      <c r="H29" s="89"/>
      <c r="I29" s="89"/>
      <c r="J29" s="89"/>
      <c r="K29" s="23"/>
      <c r="L29" s="23"/>
      <c r="M29" s="23"/>
      <c r="N29" s="23"/>
      <c r="O29" s="23"/>
    </row>
    <row r="30" spans="1:15">
      <c r="A30" s="23"/>
      <c r="B30" s="56" t="s">
        <v>156</v>
      </c>
      <c r="C30" s="23"/>
      <c r="D30" s="23"/>
      <c r="E30" s="23"/>
      <c r="F30" s="72">
        <v>1</v>
      </c>
      <c r="G30" s="72">
        <v>1</v>
      </c>
      <c r="H30" s="72">
        <v>1</v>
      </c>
      <c r="I30" s="72">
        <v>1</v>
      </c>
      <c r="J30" s="72">
        <v>1</v>
      </c>
      <c r="K30" s="23"/>
      <c r="L30" s="23"/>
      <c r="M30" s="23"/>
      <c r="N30" s="23"/>
      <c r="O30" s="23"/>
    </row>
    <row r="31" spans="1:15" ht="15.75" thickBot="1">
      <c r="A31" s="23"/>
      <c r="B31" s="23" t="s">
        <v>78</v>
      </c>
      <c r="C31" s="23"/>
      <c r="D31" s="23"/>
      <c r="E31" s="23"/>
      <c r="F31" s="88">
        <v>877</v>
      </c>
      <c r="G31" s="88">
        <v>3247</v>
      </c>
      <c r="H31" s="88">
        <v>3437</v>
      </c>
      <c r="I31" s="88">
        <v>3118</v>
      </c>
      <c r="J31" s="88">
        <v>1751</v>
      </c>
      <c r="K31" s="23"/>
      <c r="L31" s="23"/>
      <c r="M31" s="23"/>
      <c r="N31" s="23"/>
      <c r="O31" s="23"/>
    </row>
    <row r="32" spans="1:15" ht="15.75" thickBot="1">
      <c r="A32" s="23"/>
      <c r="B32" s="23" t="s">
        <v>79</v>
      </c>
      <c r="C32" s="23"/>
      <c r="D32" s="23"/>
      <c r="E32" s="23"/>
      <c r="F32" s="86">
        <f>+F31*F30</f>
        <v>877</v>
      </c>
      <c r="G32" s="86">
        <f>+G31*G30</f>
        <v>3247</v>
      </c>
      <c r="H32" s="86">
        <f>+H31*H30</f>
        <v>3437</v>
      </c>
      <c r="I32" s="86">
        <f>+I31*I30</f>
        <v>3118</v>
      </c>
      <c r="J32" s="86">
        <f>+J31*J30</f>
        <v>1751</v>
      </c>
      <c r="K32" s="23"/>
      <c r="L32" s="23"/>
      <c r="M32" s="23"/>
      <c r="N32" s="23"/>
      <c r="O32" s="23"/>
    </row>
    <row r="33" spans="1:15">
      <c r="A33" s="23"/>
      <c r="B33" s="23"/>
      <c r="C33" s="23"/>
      <c r="D33" s="23"/>
      <c r="E33" s="23"/>
      <c r="F33" s="89"/>
      <c r="G33" s="89"/>
      <c r="H33" s="89"/>
      <c r="I33" s="89"/>
      <c r="J33" s="89"/>
      <c r="K33" s="23"/>
      <c r="L33" s="23"/>
      <c r="M33" s="23"/>
      <c r="N33" s="23"/>
      <c r="O33" s="23"/>
    </row>
    <row r="34" spans="1:15">
      <c r="A34" s="23"/>
      <c r="B34" s="23"/>
      <c r="C34" s="23"/>
      <c r="D34" s="23"/>
      <c r="E34" s="23"/>
      <c r="F34" s="72"/>
      <c r="G34" s="72"/>
      <c r="H34" s="72"/>
      <c r="I34" s="72"/>
      <c r="J34" s="72"/>
      <c r="K34" s="23"/>
      <c r="L34" s="23"/>
      <c r="M34" s="23"/>
      <c r="N34" s="23"/>
      <c r="O34" s="23"/>
    </row>
    <row r="35" spans="1:15" ht="16.5" thickBot="1">
      <c r="A35" s="23"/>
      <c r="B35" s="34" t="s">
        <v>158</v>
      </c>
      <c r="D35" s="34"/>
      <c r="E35" s="34"/>
      <c r="F35" s="90">
        <f>+F24+F20+F16+F12+F28+F32</f>
        <v>37857.24</v>
      </c>
      <c r="G35" s="90">
        <f>+G24+G20+G16+G12+G28+G32</f>
        <v>75115.31</v>
      </c>
      <c r="H35" s="90">
        <f>+H24+H20+H16+H12+H28+H32</f>
        <v>83528.69</v>
      </c>
      <c r="I35" s="90">
        <f>+I24+I20+I16+I12+I28+I32</f>
        <v>67045.929999999993</v>
      </c>
      <c r="J35" s="90">
        <f>+J24+J20+J16+J12+J28+J32</f>
        <v>46204.53</v>
      </c>
      <c r="K35" s="12">
        <f>SUM(F35:J35)</f>
        <v>309751.69999999995</v>
      </c>
      <c r="L35" s="23"/>
      <c r="M35" s="23"/>
      <c r="N35" s="23"/>
      <c r="O35" s="23"/>
    </row>
    <row r="36" spans="1:15" ht="16.5" thickTop="1">
      <c r="A36" s="23"/>
      <c r="B36" s="23"/>
      <c r="C36" s="30"/>
      <c r="D36" s="30"/>
      <c r="E36" s="30"/>
      <c r="F36" s="91"/>
      <c r="G36" s="91"/>
      <c r="H36" s="91"/>
      <c r="I36" s="91"/>
      <c r="J36" s="91"/>
      <c r="K36" s="23"/>
      <c r="L36" s="23"/>
      <c r="M36" s="23"/>
      <c r="N36" s="23"/>
      <c r="O36" s="23"/>
    </row>
    <row r="37" spans="1:15" ht="18">
      <c r="A37" s="38" t="s">
        <v>83</v>
      </c>
      <c r="B37" s="38"/>
      <c r="C37" s="28"/>
      <c r="D37" s="28"/>
      <c r="E37" s="30"/>
      <c r="F37" s="91"/>
      <c r="G37" s="91"/>
      <c r="H37" s="91"/>
      <c r="I37" s="91"/>
      <c r="J37" s="91"/>
      <c r="K37" s="23"/>
      <c r="L37" s="23"/>
      <c r="M37" s="23"/>
      <c r="N37" s="23"/>
      <c r="O37" s="23"/>
    </row>
    <row r="38" spans="1:15" ht="15.75">
      <c r="A38" s="23"/>
      <c r="B38" s="81" t="s">
        <v>87</v>
      </c>
      <c r="C38" s="82"/>
      <c r="D38" s="82"/>
      <c r="E38" s="30"/>
      <c r="F38" s="91"/>
      <c r="G38" s="91"/>
      <c r="H38" s="91"/>
      <c r="I38" s="91"/>
      <c r="J38" s="91"/>
      <c r="K38" s="23"/>
      <c r="L38" s="23"/>
      <c r="M38" s="23"/>
      <c r="N38" s="23"/>
      <c r="O38" s="23"/>
    </row>
    <row r="39" spans="1:15" ht="15.75">
      <c r="A39" s="23"/>
      <c r="B39" s="56" t="s">
        <v>84</v>
      </c>
      <c r="C39" s="30"/>
      <c r="D39" s="30"/>
      <c r="E39" s="30"/>
      <c r="F39" s="42">
        <v>0.9</v>
      </c>
      <c r="G39" s="42">
        <f>+F39</f>
        <v>0.9</v>
      </c>
      <c r="H39" s="42">
        <f t="shared" ref="H39:J41" si="0">+G39</f>
        <v>0.9</v>
      </c>
      <c r="I39" s="42">
        <f t="shared" si="0"/>
        <v>0.9</v>
      </c>
      <c r="J39" s="42">
        <f t="shared" si="0"/>
        <v>0.9</v>
      </c>
      <c r="K39" s="23"/>
      <c r="L39" s="23"/>
      <c r="M39" s="23"/>
      <c r="N39" s="23"/>
      <c r="O39" s="23"/>
    </row>
    <row r="40" spans="1:15" ht="15.75">
      <c r="A40" s="23"/>
      <c r="B40" s="56" t="s">
        <v>146</v>
      </c>
      <c r="C40" s="30"/>
      <c r="D40" s="30"/>
      <c r="E40" s="30"/>
      <c r="F40" s="42">
        <v>0.6</v>
      </c>
      <c r="G40" s="42">
        <f>+F40</f>
        <v>0.6</v>
      </c>
      <c r="H40" s="42">
        <f t="shared" si="0"/>
        <v>0.6</v>
      </c>
      <c r="I40" s="42">
        <f t="shared" si="0"/>
        <v>0.6</v>
      </c>
      <c r="J40" s="42">
        <f t="shared" si="0"/>
        <v>0.6</v>
      </c>
      <c r="K40" s="23"/>
      <c r="L40" s="23"/>
      <c r="M40" s="23"/>
      <c r="N40" s="23"/>
      <c r="O40" s="23"/>
    </row>
    <row r="41" spans="1:15" ht="15.75">
      <c r="A41" s="23"/>
      <c r="B41" s="56" t="s">
        <v>147</v>
      </c>
      <c r="C41" s="30"/>
      <c r="D41" s="30"/>
      <c r="E41" s="30"/>
      <c r="F41" s="42">
        <v>6.02</v>
      </c>
      <c r="G41" s="42">
        <f>+F41</f>
        <v>6.02</v>
      </c>
      <c r="H41" s="42">
        <f t="shared" si="0"/>
        <v>6.02</v>
      </c>
      <c r="I41" s="42">
        <f t="shared" si="0"/>
        <v>6.02</v>
      </c>
      <c r="J41" s="42">
        <f t="shared" si="0"/>
        <v>6.02</v>
      </c>
      <c r="K41" s="23"/>
      <c r="L41" s="23"/>
      <c r="M41" s="23"/>
      <c r="N41" s="23"/>
      <c r="O41" s="23"/>
    </row>
    <row r="42" spans="1:15" ht="15.75">
      <c r="A42" s="23"/>
      <c r="B42" s="56" t="s">
        <v>148</v>
      </c>
      <c r="C42" s="30"/>
      <c r="D42" s="30"/>
      <c r="E42" s="30"/>
      <c r="F42" s="42">
        <v>0.73</v>
      </c>
      <c r="G42" s="42">
        <f t="shared" ref="G42:J44" si="1">+F42</f>
        <v>0.73</v>
      </c>
      <c r="H42" s="42">
        <f t="shared" si="1"/>
        <v>0.73</v>
      </c>
      <c r="I42" s="42">
        <f t="shared" si="1"/>
        <v>0.73</v>
      </c>
      <c r="J42" s="42">
        <f t="shared" si="1"/>
        <v>0.73</v>
      </c>
      <c r="K42" s="23"/>
      <c r="L42" s="23"/>
      <c r="M42" s="23"/>
      <c r="N42" s="23"/>
      <c r="O42" s="23"/>
    </row>
    <row r="43" spans="1:15" ht="15.75">
      <c r="A43" s="23"/>
      <c r="B43" s="56" t="s">
        <v>149</v>
      </c>
      <c r="C43" s="30"/>
      <c r="D43" s="30"/>
      <c r="E43" s="30"/>
      <c r="F43" s="42">
        <v>227.53</v>
      </c>
      <c r="G43" s="42">
        <f t="shared" si="1"/>
        <v>227.53</v>
      </c>
      <c r="H43" s="42">
        <f t="shared" si="1"/>
        <v>227.53</v>
      </c>
      <c r="I43" s="42">
        <f t="shared" si="1"/>
        <v>227.53</v>
      </c>
      <c r="J43" s="42">
        <f t="shared" si="1"/>
        <v>227.53</v>
      </c>
      <c r="K43" s="23"/>
      <c r="L43" s="23"/>
      <c r="M43" s="23"/>
      <c r="N43" s="23"/>
      <c r="O43" s="23"/>
    </row>
    <row r="44" spans="1:15" ht="15.75">
      <c r="A44" s="23"/>
      <c r="B44" s="56" t="s">
        <v>150</v>
      </c>
      <c r="C44" s="30"/>
      <c r="D44" s="30"/>
      <c r="E44" s="30"/>
      <c r="F44" s="42"/>
      <c r="G44" s="42">
        <f t="shared" si="1"/>
        <v>0</v>
      </c>
      <c r="H44" s="42">
        <f t="shared" si="1"/>
        <v>0</v>
      </c>
      <c r="I44" s="42">
        <f t="shared" si="1"/>
        <v>0</v>
      </c>
      <c r="J44" s="42">
        <f t="shared" si="1"/>
        <v>0</v>
      </c>
      <c r="K44" s="23"/>
      <c r="L44" s="23"/>
      <c r="M44" s="23"/>
      <c r="N44" s="23"/>
      <c r="O44" s="23"/>
    </row>
    <row r="45" spans="1:15" ht="15.75">
      <c r="A45" s="23"/>
      <c r="B45" s="23"/>
      <c r="C45" s="30"/>
      <c r="D45" s="30"/>
      <c r="E45" s="30"/>
      <c r="F45" s="43"/>
      <c r="G45" s="43"/>
      <c r="H45" s="43"/>
      <c r="I45" s="43"/>
      <c r="J45" s="43"/>
      <c r="K45" s="23"/>
      <c r="L45" s="23"/>
      <c r="M45" s="23"/>
      <c r="N45" s="23"/>
      <c r="O45" s="23"/>
    </row>
    <row r="46" spans="1:15" ht="15.75">
      <c r="A46" s="23"/>
      <c r="B46" s="81" t="s">
        <v>85</v>
      </c>
      <c r="C46" s="30"/>
      <c r="D46" s="30"/>
      <c r="E46" s="30"/>
      <c r="F46" s="43"/>
      <c r="G46" s="43"/>
      <c r="H46" s="43"/>
      <c r="I46" s="43"/>
      <c r="J46" s="43"/>
      <c r="K46" s="23"/>
      <c r="L46" s="23"/>
      <c r="M46" s="23"/>
      <c r="N46" s="23"/>
      <c r="O46" s="23"/>
    </row>
    <row r="47" spans="1:15" ht="15.75">
      <c r="A47" s="23"/>
      <c r="B47" s="56" t="s">
        <v>84</v>
      </c>
      <c r="C47" s="30"/>
      <c r="D47" s="30"/>
      <c r="E47" s="30"/>
      <c r="F47" s="42">
        <f>+F11-F39</f>
        <v>4.3</v>
      </c>
      <c r="G47" s="42">
        <f>+G11-G39</f>
        <v>11.299999999999999</v>
      </c>
      <c r="H47" s="42">
        <f>+H11-H39</f>
        <v>11.7</v>
      </c>
      <c r="I47" s="42">
        <f>+I11-I39</f>
        <v>8.6999999999999993</v>
      </c>
      <c r="J47" s="42">
        <f>+J11-J39</f>
        <v>5.6</v>
      </c>
      <c r="K47" s="23"/>
      <c r="L47" s="23"/>
      <c r="M47" s="23"/>
      <c r="N47" s="23"/>
      <c r="O47" s="23"/>
    </row>
    <row r="48" spans="1:15" ht="15.75">
      <c r="A48" s="23"/>
      <c r="B48" s="56" t="s">
        <v>146</v>
      </c>
      <c r="C48" s="30"/>
      <c r="D48" s="30"/>
      <c r="E48" s="30"/>
      <c r="F48" s="42">
        <f>+F15-F40</f>
        <v>3.6999999999999997</v>
      </c>
      <c r="G48" s="42">
        <f>+G15-G40</f>
        <v>10.1</v>
      </c>
      <c r="H48" s="42">
        <f>+H15-H40</f>
        <v>10.5</v>
      </c>
      <c r="I48" s="42">
        <f>+I15-I40</f>
        <v>7.7000000000000011</v>
      </c>
      <c r="J48" s="42">
        <f>+J15-J40</f>
        <v>5</v>
      </c>
      <c r="K48" s="23"/>
      <c r="L48" s="23"/>
      <c r="M48" s="23"/>
      <c r="N48" s="23"/>
      <c r="O48" s="23"/>
    </row>
    <row r="49" spans="1:15" ht="15.75">
      <c r="A49" s="23"/>
      <c r="B49" s="56" t="s">
        <v>147</v>
      </c>
      <c r="C49" s="30"/>
      <c r="D49" s="30"/>
      <c r="E49" s="30"/>
      <c r="F49" s="42">
        <f>+F19-F41</f>
        <v>8.3000000000000007</v>
      </c>
      <c r="G49" s="42">
        <f>+G19-G41</f>
        <v>25.740000000000002</v>
      </c>
      <c r="H49" s="42">
        <f>+H19-H41</f>
        <v>29.51</v>
      </c>
      <c r="I49" s="42">
        <f>+I19-I41</f>
        <v>27.919999999999998</v>
      </c>
      <c r="J49" s="42">
        <f>+J19-J41</f>
        <v>11.379999999999999</v>
      </c>
      <c r="K49" s="23"/>
      <c r="L49" s="23"/>
      <c r="M49" s="23"/>
      <c r="N49" s="23"/>
      <c r="O49" s="23"/>
    </row>
    <row r="50" spans="1:15" ht="15.75">
      <c r="A50" s="23"/>
      <c r="B50" s="56" t="s">
        <v>148</v>
      </c>
      <c r="C50" s="30"/>
      <c r="D50" s="30"/>
      <c r="E50" s="30"/>
      <c r="F50" s="42">
        <f>+F23-F42</f>
        <v>4.0299999999999994</v>
      </c>
      <c r="G50" s="42">
        <f>+G23-G42</f>
        <v>7.6</v>
      </c>
      <c r="H50" s="42">
        <f>+H23-H42</f>
        <v>9.23</v>
      </c>
      <c r="I50" s="42">
        <f>+I23-I42</f>
        <v>8.32</v>
      </c>
      <c r="J50" s="42">
        <f>+J23-J42</f>
        <v>2.75</v>
      </c>
      <c r="K50" s="23"/>
      <c r="L50" s="23"/>
      <c r="M50" s="23"/>
      <c r="N50" s="23"/>
      <c r="O50" s="23"/>
    </row>
    <row r="51" spans="1:15" ht="15.75">
      <c r="A51" s="23"/>
      <c r="B51" s="56" t="s">
        <v>149</v>
      </c>
      <c r="C51" s="30"/>
      <c r="D51" s="30"/>
      <c r="E51" s="30"/>
      <c r="F51" s="42">
        <f>+F27-F43</f>
        <v>297.61</v>
      </c>
      <c r="G51" s="42">
        <f>+G27-G43</f>
        <v>446.86</v>
      </c>
      <c r="H51" s="42">
        <f>+H27-H43</f>
        <v>645.38</v>
      </c>
      <c r="I51" s="42">
        <f>+I27-I43</f>
        <v>454.80000000000007</v>
      </c>
      <c r="J51" s="42">
        <f>+J27-J43</f>
        <v>344.36</v>
      </c>
      <c r="K51" s="23"/>
      <c r="L51" s="23"/>
      <c r="M51" s="23"/>
      <c r="N51" s="23"/>
      <c r="O51" s="23"/>
    </row>
    <row r="52" spans="1:15" ht="15.75">
      <c r="A52" s="23"/>
      <c r="B52" s="56" t="s">
        <v>150</v>
      </c>
      <c r="C52" s="30"/>
      <c r="D52" s="30"/>
      <c r="E52" s="30"/>
      <c r="F52" s="42">
        <f>+F32-F44</f>
        <v>877</v>
      </c>
      <c r="G52" s="42">
        <f>+G32-G44</f>
        <v>3247</v>
      </c>
      <c r="H52" s="42">
        <f>+H32-H44</f>
        <v>3437</v>
      </c>
      <c r="I52" s="42">
        <f>+I32-I44</f>
        <v>3118</v>
      </c>
      <c r="J52" s="42">
        <f>+J32-J44</f>
        <v>1751</v>
      </c>
      <c r="K52" s="23"/>
      <c r="L52" s="23"/>
      <c r="M52" s="23"/>
      <c r="N52" s="23"/>
      <c r="O52" s="23"/>
    </row>
    <row r="53" spans="1:15" ht="15.75">
      <c r="A53" s="23"/>
      <c r="B53" s="23"/>
      <c r="C53" s="30"/>
      <c r="D53" s="30"/>
      <c r="E53" s="30"/>
      <c r="F53" s="42"/>
      <c r="G53" s="42"/>
      <c r="H53" s="42"/>
      <c r="I53" s="42"/>
      <c r="J53" s="42"/>
      <c r="K53" s="23"/>
      <c r="L53" s="23"/>
      <c r="M53" s="23"/>
      <c r="N53" s="23"/>
      <c r="O53" s="23"/>
    </row>
    <row r="54" spans="1:15" ht="15.75">
      <c r="A54" s="23"/>
      <c r="B54" s="81" t="s">
        <v>86</v>
      </c>
      <c r="C54" s="30"/>
      <c r="D54" s="30"/>
      <c r="E54" s="30"/>
      <c r="F54" s="42"/>
      <c r="G54" s="42"/>
      <c r="H54" s="42"/>
      <c r="I54" s="42"/>
      <c r="J54" s="42"/>
      <c r="K54" s="23"/>
      <c r="L54" s="23"/>
      <c r="M54" s="23"/>
      <c r="N54" s="23"/>
      <c r="O54" s="23"/>
    </row>
    <row r="55" spans="1:15" ht="15.75">
      <c r="A55" s="23"/>
      <c r="B55" s="56" t="s">
        <v>84</v>
      </c>
      <c r="C55" s="30"/>
      <c r="D55" s="30"/>
      <c r="E55" s="30"/>
      <c r="F55" s="44">
        <f>+F47*F10</f>
        <v>9167.6</v>
      </c>
      <c r="G55" s="44">
        <f>+G47*G10</f>
        <v>24091.599999999999</v>
      </c>
      <c r="H55" s="44">
        <f>+H47*H10</f>
        <v>24944.399999999998</v>
      </c>
      <c r="I55" s="44">
        <f>+I47*I10</f>
        <v>18583.199999999997</v>
      </c>
      <c r="J55" s="44">
        <f>+J47*J10</f>
        <v>12101.599999999999</v>
      </c>
      <c r="K55" s="31"/>
      <c r="L55" s="23"/>
      <c r="M55" s="23"/>
      <c r="N55" s="23"/>
      <c r="O55" s="23"/>
    </row>
    <row r="56" spans="1:15" ht="15.75">
      <c r="A56" s="23"/>
      <c r="B56" s="56" t="s">
        <v>146</v>
      </c>
      <c r="C56" s="30"/>
      <c r="D56" s="30"/>
      <c r="E56" s="30"/>
      <c r="F56" s="44">
        <f>+F48*F14</f>
        <v>5472.2999999999993</v>
      </c>
      <c r="G56" s="44">
        <f>+G48*G14</f>
        <v>14937.9</v>
      </c>
      <c r="H56" s="44">
        <f>+H48*H14</f>
        <v>15529.5</v>
      </c>
      <c r="I56" s="44">
        <f>+I48*I14</f>
        <v>11403.7</v>
      </c>
      <c r="J56" s="44">
        <f>+J48*J14</f>
        <v>7490</v>
      </c>
      <c r="K56" s="31"/>
      <c r="L56" s="23"/>
      <c r="M56" s="23"/>
      <c r="N56" s="23"/>
      <c r="O56" s="23"/>
    </row>
    <row r="57" spans="1:15" ht="15.75">
      <c r="A57" s="23"/>
      <c r="B57" s="56" t="s">
        <v>147</v>
      </c>
      <c r="C57" s="30"/>
      <c r="D57" s="30"/>
      <c r="E57" s="30"/>
      <c r="F57" s="44">
        <f>+F49*F18</f>
        <v>3037.8</v>
      </c>
      <c r="G57" s="44">
        <f>+G49*G18</f>
        <v>9420.84</v>
      </c>
      <c r="H57" s="44">
        <f>+H49*H18</f>
        <v>10800.66</v>
      </c>
      <c r="I57" s="44">
        <f>+I49*I18</f>
        <v>10274.56</v>
      </c>
      <c r="J57" s="44">
        <f>+J49*J18</f>
        <v>4244.74</v>
      </c>
      <c r="K57" s="31"/>
      <c r="L57" s="23"/>
      <c r="M57" s="23"/>
      <c r="N57" s="23"/>
      <c r="O57" s="23"/>
    </row>
    <row r="58" spans="1:15" ht="15.75">
      <c r="A58" s="23"/>
      <c r="B58" s="56" t="s">
        <v>148</v>
      </c>
      <c r="C58" s="30"/>
      <c r="D58" s="30"/>
      <c r="E58" s="30"/>
      <c r="F58" s="44">
        <f>+F50*F22</f>
        <v>96.719999999999985</v>
      </c>
      <c r="G58" s="44">
        <f>+G50*G22</f>
        <v>182.39999999999998</v>
      </c>
      <c r="H58" s="44">
        <f>+H50*H22</f>
        <v>221.52</v>
      </c>
      <c r="I58" s="44">
        <f>+I50*I22</f>
        <v>199.68</v>
      </c>
      <c r="J58" s="44">
        <f>+J50*J22</f>
        <v>68.75</v>
      </c>
      <c r="K58" s="31"/>
      <c r="L58" s="23"/>
      <c r="M58" s="23"/>
      <c r="N58" s="23"/>
      <c r="O58" s="23"/>
    </row>
    <row r="59" spans="1:15" ht="15.75">
      <c r="A59" s="23"/>
      <c r="B59" s="56" t="s">
        <v>149</v>
      </c>
      <c r="C59" s="30"/>
      <c r="D59" s="30"/>
      <c r="E59" s="30"/>
      <c r="F59" s="44">
        <f>+F51*F26</f>
        <v>8035.47</v>
      </c>
      <c r="G59" s="44">
        <f>+G51*G26</f>
        <v>12065.220000000001</v>
      </c>
      <c r="H59" s="44">
        <f>+H51*H26</f>
        <v>17425.259999999998</v>
      </c>
      <c r="I59" s="44">
        <f>+I51*I26</f>
        <v>12279.600000000002</v>
      </c>
      <c r="J59" s="44">
        <f>+J51*J26</f>
        <v>9297.7200000000012</v>
      </c>
      <c r="K59" s="31"/>
      <c r="L59" s="23"/>
      <c r="M59" s="23"/>
      <c r="N59" s="23"/>
      <c r="O59" s="23"/>
    </row>
    <row r="60" spans="1:15" ht="16.5" thickBot="1">
      <c r="A60" s="23"/>
      <c r="B60" s="56" t="s">
        <v>150</v>
      </c>
      <c r="C60" s="30"/>
      <c r="D60" s="30"/>
      <c r="E60" s="30"/>
      <c r="F60" s="44">
        <f>+F52*F30</f>
        <v>877</v>
      </c>
      <c r="G60" s="44">
        <f>+G52*G30</f>
        <v>3247</v>
      </c>
      <c r="H60" s="44">
        <f>+H52*H30</f>
        <v>3437</v>
      </c>
      <c r="I60" s="44">
        <f>+I52*I30</f>
        <v>3118</v>
      </c>
      <c r="J60" s="44">
        <f>+J52*J30</f>
        <v>1751</v>
      </c>
      <c r="K60" s="31"/>
      <c r="L60" s="23"/>
      <c r="M60" s="23"/>
      <c r="N60" s="23"/>
      <c r="O60" s="23"/>
    </row>
    <row r="61" spans="1:15" ht="16.5" thickBot="1">
      <c r="A61" s="23"/>
      <c r="B61" s="34" t="s">
        <v>94</v>
      </c>
      <c r="D61" s="30"/>
      <c r="E61" s="30"/>
      <c r="F61" s="45">
        <f>SUM(F55:F60)</f>
        <v>26686.890000000003</v>
      </c>
      <c r="G61" s="45">
        <f>SUM(G55:G60)</f>
        <v>63944.959999999999</v>
      </c>
      <c r="H61" s="45">
        <f>SUM(H55:H60)</f>
        <v>72358.34</v>
      </c>
      <c r="I61" s="45">
        <f>SUM(I55:I60)</f>
        <v>55858.740000000005</v>
      </c>
      <c r="J61" s="45">
        <f>SUM(J55:J60)</f>
        <v>34953.81</v>
      </c>
      <c r="K61" s="12">
        <f>SUM(F61:J61)</f>
        <v>253802.74</v>
      </c>
      <c r="L61" s="23"/>
      <c r="M61" s="23"/>
      <c r="N61" s="23"/>
      <c r="O61" s="23"/>
    </row>
    <row r="62" spans="1:15" ht="16.5" thickTop="1">
      <c r="A62" s="23"/>
      <c r="B62" s="34"/>
      <c r="D62" s="30"/>
      <c r="E62" s="30"/>
      <c r="F62" s="44"/>
      <c r="G62" s="44"/>
      <c r="H62" s="44"/>
      <c r="I62" s="44"/>
      <c r="J62" s="44"/>
      <c r="K62" s="12"/>
      <c r="L62" s="23"/>
      <c r="M62" s="23"/>
      <c r="N62" s="23"/>
      <c r="O62" s="23"/>
    </row>
    <row r="63" spans="1:15">
      <c r="B63" s="23" t="s">
        <v>88</v>
      </c>
      <c r="L63" s="23"/>
      <c r="M63" s="23"/>
      <c r="N63" s="23"/>
      <c r="O63" s="23"/>
    </row>
    <row r="64" spans="1:15">
      <c r="B64" s="23" t="s">
        <v>95</v>
      </c>
      <c r="F64" s="10">
        <f t="shared" ref="F64:K64" si="2">+F61</f>
        <v>26686.890000000003</v>
      </c>
      <c r="G64" s="10">
        <f t="shared" si="2"/>
        <v>63944.959999999999</v>
      </c>
      <c r="H64" s="10">
        <f t="shared" si="2"/>
        <v>72358.34</v>
      </c>
      <c r="I64" s="10">
        <f t="shared" si="2"/>
        <v>55858.740000000005</v>
      </c>
      <c r="J64" s="10">
        <f t="shared" si="2"/>
        <v>34953.81</v>
      </c>
      <c r="K64" s="10">
        <f t="shared" si="2"/>
        <v>253802.74</v>
      </c>
      <c r="L64" s="23"/>
      <c r="M64" s="23"/>
      <c r="N64" s="23"/>
      <c r="O64" s="23"/>
    </row>
    <row r="65" spans="1:15" ht="15.75" thickBot="1">
      <c r="B65" s="23" t="s">
        <v>96</v>
      </c>
      <c r="F65" s="13">
        <f>+F39*F10+F40*F14+F41*F18+F42*F22+F43*F26+F44</f>
        <v>11170.35</v>
      </c>
      <c r="G65" s="13">
        <f>+G39*G10+G40*G14+G41*G18+G42*G22+G43*G26+G44</f>
        <v>11170.35</v>
      </c>
      <c r="H65" s="13">
        <f>+H39*H10+H40*H14+H41*H18+H42*H22+H43*H26+H44</f>
        <v>11170.35</v>
      </c>
      <c r="I65" s="13">
        <f>+I39*I10+I40*I14+I41*I18+I42*I22+I43*I26+I44</f>
        <v>11187.19</v>
      </c>
      <c r="J65" s="13">
        <f>+J39*J10+J40*J14+J41*J18+J42*J22+J43*J26+J44</f>
        <v>11250.720000000001</v>
      </c>
      <c r="K65" s="13">
        <f>SUM(F65:J65)</f>
        <v>55948.960000000006</v>
      </c>
      <c r="L65" s="23"/>
      <c r="M65" s="23"/>
      <c r="N65" s="23"/>
      <c r="O65" s="23"/>
    </row>
    <row r="66" spans="1:15" ht="15.75" thickBot="1">
      <c r="F66" s="46">
        <f t="shared" ref="F66:K66" si="3">+F65+F64</f>
        <v>37857.240000000005</v>
      </c>
      <c r="G66" s="46">
        <f t="shared" si="3"/>
        <v>75115.31</v>
      </c>
      <c r="H66" s="46">
        <f t="shared" si="3"/>
        <v>83528.69</v>
      </c>
      <c r="I66" s="46">
        <f t="shared" si="3"/>
        <v>67045.930000000008</v>
      </c>
      <c r="J66" s="46">
        <f t="shared" si="3"/>
        <v>46204.53</v>
      </c>
      <c r="K66" s="46">
        <f t="shared" si="3"/>
        <v>309751.7</v>
      </c>
      <c r="L66" s="23"/>
      <c r="M66" s="23"/>
      <c r="N66" s="23"/>
      <c r="O66" s="23"/>
    </row>
    <row r="67" spans="1:15" ht="15.75" thickTop="1">
      <c r="F67" s="10"/>
      <c r="G67" s="10"/>
      <c r="H67" s="10"/>
      <c r="I67" s="10"/>
      <c r="J67" s="10"/>
      <c r="K67" s="10"/>
      <c r="L67" s="23"/>
      <c r="M67" s="23"/>
      <c r="N67" s="23"/>
      <c r="O67" s="23"/>
    </row>
    <row r="68" spans="1:15" ht="18">
      <c r="A68" s="38" t="s">
        <v>80</v>
      </c>
      <c r="B68" s="38"/>
      <c r="C68" s="28"/>
      <c r="D68" s="28"/>
      <c r="E68" s="39"/>
      <c r="F68" s="36"/>
      <c r="G68" s="36"/>
      <c r="H68" s="36"/>
      <c r="I68" s="36"/>
      <c r="J68" s="36"/>
      <c r="K68" s="23"/>
      <c r="L68" s="23"/>
      <c r="M68" s="24" t="s">
        <v>62</v>
      </c>
      <c r="O68" s="23"/>
    </row>
    <row r="69" spans="1: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4" t="s">
        <v>93</v>
      </c>
      <c r="O69" s="23"/>
    </row>
    <row r="70" spans="1:15">
      <c r="A70" s="23"/>
      <c r="B70" s="23" t="s">
        <v>81</v>
      </c>
      <c r="C70" s="23"/>
      <c r="D70" s="23"/>
      <c r="E70" s="23"/>
      <c r="F70" s="37">
        <f ca="1">+'30 year normals'!L40</f>
        <v>578</v>
      </c>
      <c r="G70" s="37">
        <f ca="1">+'30 year normals'!M40</f>
        <v>899</v>
      </c>
      <c r="H70" s="37">
        <f ca="1">+'30 year normals'!B40</f>
        <v>1034</v>
      </c>
      <c r="I70" s="37">
        <f ca="1">+'30 year normals'!C40</f>
        <v>790</v>
      </c>
      <c r="J70" s="37">
        <f ca="1">+'30 year normals'!D40</f>
        <v>581</v>
      </c>
      <c r="K70" s="31">
        <f ca="1">+'30 year normals'!N43</f>
        <v>3882</v>
      </c>
      <c r="L70" s="23"/>
      <c r="M70" s="37">
        <f>SUM(F70:J70)</f>
        <v>3882</v>
      </c>
      <c r="O70" s="23"/>
    </row>
    <row r="71" spans="1:15">
      <c r="B71" s="23" t="s">
        <v>82</v>
      </c>
      <c r="F71" s="9">
        <f ca="1">+'Springfield monthly HDD''s'!F59*2</f>
        <v>212.72821229844496</v>
      </c>
      <c r="G71" s="9">
        <f ca="1">+'Springfield monthly HDD''s'!G59*2</f>
        <v>294.51567804683123</v>
      </c>
      <c r="H71" s="9">
        <f ca="1">+'Springfield monthly HDD''s'!H59*2</f>
        <v>340.34211671530812</v>
      </c>
      <c r="I71" s="9">
        <f ca="1">+'Springfield monthly HDD''s'!I59*2</f>
        <v>281.25841297958516</v>
      </c>
      <c r="J71" s="9">
        <f ca="1">+'Springfield monthly HDD''s'!J59*2</f>
        <v>213.01785166554743</v>
      </c>
      <c r="K71" s="9">
        <f ca="1">+'Springfield monthly HDD''s'!L59*2</f>
        <v>747.07517041888616</v>
      </c>
      <c r="M71" s="37">
        <f>SUM(F71:J71)</f>
        <v>1341.8622717057169</v>
      </c>
    </row>
    <row r="72" spans="1:15">
      <c r="B72" s="23" t="s">
        <v>89</v>
      </c>
      <c r="F72" s="40">
        <f t="shared" ref="F72:K72" si="4">+F71/F70</f>
        <v>0.36804188978969715</v>
      </c>
      <c r="G72" s="40">
        <f t="shared" si="4"/>
        <v>0.32760364632572997</v>
      </c>
      <c r="H72" s="40">
        <f t="shared" si="4"/>
        <v>0.32915098328366355</v>
      </c>
      <c r="I72" s="40">
        <f t="shared" si="4"/>
        <v>0.35602330756909512</v>
      </c>
      <c r="J72" s="40">
        <f t="shared" si="4"/>
        <v>0.36664002007839486</v>
      </c>
      <c r="K72" s="40">
        <f t="shared" si="4"/>
        <v>0.19244594807287124</v>
      </c>
    </row>
    <row r="73" spans="1:15" ht="15.75" thickBot="1">
      <c r="B73" s="23"/>
      <c r="F73" s="40"/>
      <c r="G73" s="40"/>
      <c r="H73" s="40"/>
      <c r="I73" s="40"/>
      <c r="J73" s="40"/>
    </row>
    <row r="74" spans="1:15" ht="15.75">
      <c r="B74" s="47" t="s">
        <v>90</v>
      </c>
      <c r="C74" s="48"/>
      <c r="D74" s="48"/>
      <c r="E74" s="48"/>
      <c r="F74" s="49">
        <f t="shared" ref="F74:K74" si="5">+(1-F72)*F61+F65</f>
        <v>28035.346571790236</v>
      </c>
      <c r="G74" s="49">
        <f t="shared" si="5"/>
        <v>54166.707939847052</v>
      </c>
      <c r="H74" s="49">
        <f t="shared" si="5"/>
        <v>59711.871240226355</v>
      </c>
      <c r="I74" s="49">
        <f t="shared" si="5"/>
        <v>47158.91662855789</v>
      </c>
      <c r="J74" s="49">
        <f t="shared" si="5"/>
        <v>33389.064399783601</v>
      </c>
      <c r="K74" s="50">
        <f t="shared" si="5"/>
        <v>260908.39107720752</v>
      </c>
      <c r="M74" s="37">
        <f>SUM(F74:J74)</f>
        <v>222461.90678020514</v>
      </c>
    </row>
    <row r="75" spans="1:15" ht="16.5" thickBot="1">
      <c r="B75" s="51" t="s">
        <v>91</v>
      </c>
      <c r="C75" s="52"/>
      <c r="D75" s="52"/>
      <c r="E75" s="52"/>
      <c r="F75" s="53">
        <f t="shared" ref="F75:K75" si="6">+(1+F72)*F61+F65</f>
        <v>47679.133428209774</v>
      </c>
      <c r="G75" s="53">
        <f t="shared" si="6"/>
        <v>96063.912060152958</v>
      </c>
      <c r="H75" s="53">
        <f t="shared" si="6"/>
        <v>107345.50875977366</v>
      </c>
      <c r="I75" s="53">
        <f t="shared" si="6"/>
        <v>86932.943371442117</v>
      </c>
      <c r="J75" s="53">
        <f t="shared" si="6"/>
        <v>59019.995600216396</v>
      </c>
      <c r="K75" s="54">
        <f t="shared" si="6"/>
        <v>358595.00892279245</v>
      </c>
      <c r="M75" s="37">
        <f>SUM(F75:J75)</f>
        <v>397041.49321979488</v>
      </c>
    </row>
    <row r="77" spans="1:15">
      <c r="A77" s="56" t="s">
        <v>143</v>
      </c>
    </row>
    <row r="78" spans="1:15">
      <c r="A78" s="56" t="s">
        <v>144</v>
      </c>
    </row>
    <row r="79" spans="1:15">
      <c r="A79" s="92" t="s">
        <v>162</v>
      </c>
    </row>
    <row r="81" spans="2:2">
      <c r="B81" s="74" t="s">
        <v>145</v>
      </c>
    </row>
  </sheetData>
  <phoneticPr fontId="0" type="noConversion"/>
  <pageMargins left="0.7" right="0.7" top="0.75" bottom="0.75" header="0.3" footer="0.3"/>
  <pageSetup scale="53" orientation="portrait" r:id="rId1"/>
  <headerFooter>
    <oddHeader>&amp;RAppendix 2--SMNG Winter Sensitivity Analysis</oddHeader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1"/>
  <sheetViews>
    <sheetView tabSelected="1" zoomScaleNormal="50" workbookViewId="0">
      <selection activeCell="F18" sqref="F18"/>
    </sheetView>
  </sheetViews>
  <sheetFormatPr defaultColWidth="8.77734375" defaultRowHeight="15"/>
  <cols>
    <col min="1" max="1" width="4.5546875" customWidth="1"/>
    <col min="2" max="3" width="8.77734375" customWidth="1"/>
    <col min="4" max="4" width="16.77734375" customWidth="1"/>
    <col min="5" max="5" width="5.6640625" customWidth="1"/>
    <col min="6" max="6" width="10.44140625" customWidth="1"/>
    <col min="7" max="7" width="10.21875" customWidth="1"/>
    <col min="8" max="10" width="9.21875" bestFit="1" customWidth="1"/>
    <col min="11" max="11" width="9.77734375" customWidth="1"/>
    <col min="12" max="12" width="2.88671875" customWidth="1"/>
  </cols>
  <sheetData>
    <row r="1" spans="1:15" ht="18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3"/>
      <c r="N1" s="23"/>
      <c r="O1" s="23"/>
    </row>
    <row r="2" spans="1:15" ht="18">
      <c r="A2" s="25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3"/>
      <c r="L2" s="23"/>
      <c r="M2" s="23"/>
      <c r="N2" s="23"/>
      <c r="O2" s="23"/>
    </row>
    <row r="3" spans="1:15" ht="18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3"/>
      <c r="L3" s="23"/>
      <c r="M3" s="23"/>
      <c r="N3" s="23"/>
      <c r="O3" s="23"/>
    </row>
    <row r="4" spans="1: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A5" s="23"/>
      <c r="B5" s="23"/>
      <c r="C5" s="23"/>
      <c r="D5" s="23"/>
      <c r="E5" s="23"/>
      <c r="F5" s="26"/>
      <c r="G5" s="23"/>
      <c r="H5" s="26"/>
      <c r="I5" s="23"/>
      <c r="J5" s="23"/>
      <c r="K5" s="24" t="s">
        <v>92</v>
      </c>
      <c r="L5" s="23"/>
      <c r="M5" s="58" t="s">
        <v>97</v>
      </c>
      <c r="N5" s="23"/>
      <c r="O5" s="23"/>
    </row>
    <row r="6" spans="1:15" ht="15.75" thickBot="1">
      <c r="A6" s="23"/>
      <c r="B6" s="23"/>
      <c r="C6" s="23"/>
      <c r="D6" s="23"/>
      <c r="E6" s="23"/>
      <c r="F6" s="27">
        <v>40848</v>
      </c>
      <c r="G6" s="27">
        <v>40878</v>
      </c>
      <c r="H6" s="27">
        <v>40909</v>
      </c>
      <c r="I6" s="27">
        <v>40940</v>
      </c>
      <c r="J6" s="27">
        <v>40969</v>
      </c>
      <c r="K6" s="41" t="s">
        <v>61</v>
      </c>
      <c r="L6" s="23"/>
      <c r="M6" s="59" t="s">
        <v>98</v>
      </c>
      <c r="N6" s="23"/>
      <c r="O6" s="23"/>
    </row>
    <row r="7" spans="1:15" ht="18">
      <c r="A7" s="70" t="s">
        <v>140</v>
      </c>
      <c r="B7" s="71"/>
      <c r="C7" s="71"/>
      <c r="D7" s="71"/>
      <c r="E7" s="71"/>
      <c r="F7" s="72"/>
      <c r="G7" s="23"/>
      <c r="H7" s="23"/>
      <c r="I7" s="23"/>
      <c r="J7" s="23"/>
      <c r="K7" s="23"/>
      <c r="L7" s="23"/>
      <c r="M7" s="23"/>
      <c r="N7" s="23"/>
      <c r="O7" s="23"/>
    </row>
    <row r="8" spans="1:15" ht="18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5.75">
      <c r="A9" s="23"/>
      <c r="B9" s="30" t="s">
        <v>141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23"/>
      <c r="B10" s="56" t="s">
        <v>151</v>
      </c>
      <c r="C10" s="23"/>
      <c r="D10" s="23"/>
      <c r="E10" s="23"/>
      <c r="F10" s="76">
        <v>2796</v>
      </c>
      <c r="G10" s="75">
        <v>2796</v>
      </c>
      <c r="H10" s="75">
        <v>2796</v>
      </c>
      <c r="I10" s="75">
        <v>2832</v>
      </c>
      <c r="J10" s="75">
        <v>2882</v>
      </c>
      <c r="K10" s="23"/>
      <c r="L10" s="23"/>
      <c r="M10" s="23"/>
      <c r="N10" s="23"/>
      <c r="O10" s="23"/>
    </row>
    <row r="11" spans="1:15" ht="15.75" thickBot="1">
      <c r="A11" s="23"/>
      <c r="B11" s="23" t="s">
        <v>78</v>
      </c>
      <c r="C11" s="23"/>
      <c r="D11" s="23"/>
      <c r="E11" s="23"/>
      <c r="F11" s="77">
        <v>5.2</v>
      </c>
      <c r="G11" s="77">
        <v>12.2</v>
      </c>
      <c r="H11" s="77">
        <v>12.6</v>
      </c>
      <c r="I11" s="77">
        <v>9.6</v>
      </c>
      <c r="J11" s="77">
        <v>6.5</v>
      </c>
      <c r="K11" s="23"/>
      <c r="L11" s="23"/>
      <c r="M11" s="23"/>
      <c r="N11" s="23"/>
      <c r="O11" s="23"/>
    </row>
    <row r="12" spans="1:15" ht="15.75" thickBot="1">
      <c r="A12" s="23"/>
      <c r="B12" s="23" t="s">
        <v>79</v>
      </c>
      <c r="C12" s="23"/>
      <c r="D12" s="23"/>
      <c r="E12" s="23"/>
      <c r="F12" s="32">
        <f>+F11*F10</f>
        <v>14539.2</v>
      </c>
      <c r="G12" s="32">
        <f>+G11*G10</f>
        <v>34111.199999999997</v>
      </c>
      <c r="H12" s="32">
        <f>+H11*H10</f>
        <v>35229.599999999999</v>
      </c>
      <c r="I12" s="32">
        <f>+I11*I10</f>
        <v>27187.200000000001</v>
      </c>
      <c r="J12" s="32">
        <f>+J11*J10</f>
        <v>18733</v>
      </c>
      <c r="K12" s="23"/>
      <c r="L12" s="23"/>
      <c r="M12" s="23"/>
      <c r="N12" s="23"/>
      <c r="O12" s="23"/>
    </row>
    <row r="13" spans="1: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23"/>
      <c r="B14" s="56" t="s">
        <v>152</v>
      </c>
      <c r="C14" s="23"/>
      <c r="D14" s="23"/>
      <c r="E14" s="23"/>
      <c r="F14" s="79">
        <v>1711</v>
      </c>
      <c r="G14" s="78">
        <v>1711</v>
      </c>
      <c r="H14" s="78">
        <v>1711</v>
      </c>
      <c r="I14" s="78">
        <v>1720</v>
      </c>
      <c r="J14" s="78">
        <v>1744</v>
      </c>
      <c r="K14" s="23"/>
      <c r="L14" s="23"/>
      <c r="M14" s="23"/>
      <c r="N14" s="23"/>
      <c r="O14" s="23"/>
    </row>
    <row r="15" spans="1:15" ht="15.75" thickBot="1">
      <c r="A15" s="96">
        <v>40816</v>
      </c>
      <c r="B15" s="23" t="s">
        <v>78</v>
      </c>
      <c r="C15" s="23"/>
      <c r="D15" s="23"/>
      <c r="E15" s="23"/>
      <c r="F15" s="77">
        <v>4.3</v>
      </c>
      <c r="G15" s="77">
        <v>10.7</v>
      </c>
      <c r="H15" s="77">
        <v>11.1</v>
      </c>
      <c r="I15" s="77">
        <v>8.3000000000000007</v>
      </c>
      <c r="J15" s="77">
        <v>5.6</v>
      </c>
      <c r="K15" s="23"/>
      <c r="L15" s="23"/>
      <c r="M15" s="23"/>
      <c r="N15" s="23"/>
      <c r="O15" s="23"/>
    </row>
    <row r="16" spans="1:15" ht="15.75" thickBot="1">
      <c r="A16" s="23"/>
      <c r="B16" s="23" t="s">
        <v>79</v>
      </c>
      <c r="C16" s="23"/>
      <c r="D16" s="23"/>
      <c r="E16" s="23"/>
      <c r="F16" s="32">
        <f>+F15*F14</f>
        <v>7357.2999999999993</v>
      </c>
      <c r="G16" s="32">
        <f>+G15*G14</f>
        <v>18307.699999999997</v>
      </c>
      <c r="H16" s="32">
        <f>+H15*H14</f>
        <v>18992.099999999999</v>
      </c>
      <c r="I16" s="32">
        <f>+I15*I14</f>
        <v>14276.000000000002</v>
      </c>
      <c r="J16" s="32">
        <f>+J15*J14</f>
        <v>9766.4</v>
      </c>
      <c r="K16" s="23"/>
      <c r="L16" s="23"/>
      <c r="M16" s="23"/>
      <c r="N16" s="23"/>
      <c r="O16" s="23"/>
    </row>
    <row r="17" spans="1: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>
      <c r="A18" s="23"/>
      <c r="B18" s="56" t="s">
        <v>153</v>
      </c>
      <c r="C18" s="23"/>
      <c r="D18" s="23"/>
      <c r="E18" s="23"/>
      <c r="F18" s="79">
        <v>578</v>
      </c>
      <c r="G18" s="78">
        <v>578</v>
      </c>
      <c r="H18" s="78">
        <v>578</v>
      </c>
      <c r="I18" s="78">
        <v>583</v>
      </c>
      <c r="J18" s="78">
        <v>592</v>
      </c>
      <c r="K18" s="23"/>
      <c r="L18" s="23"/>
      <c r="M18" s="23"/>
      <c r="N18" s="23"/>
      <c r="O18" s="23"/>
    </row>
    <row r="19" spans="1:15" ht="15.75" thickBot="1">
      <c r="A19" s="23"/>
      <c r="B19" s="23" t="s">
        <v>78</v>
      </c>
      <c r="C19" s="23"/>
      <c r="D19" s="23"/>
      <c r="E19" s="23"/>
      <c r="F19" s="77">
        <v>14.32</v>
      </c>
      <c r="G19" s="77">
        <v>31.76</v>
      </c>
      <c r="H19" s="77">
        <v>35.53</v>
      </c>
      <c r="I19" s="77">
        <v>33.94</v>
      </c>
      <c r="J19" s="77">
        <v>17.399999999999999</v>
      </c>
      <c r="K19" s="23"/>
      <c r="L19" s="23"/>
      <c r="M19" s="23"/>
      <c r="N19" s="23"/>
      <c r="O19" s="23"/>
    </row>
    <row r="20" spans="1:15" ht="15.75" thickBot="1">
      <c r="A20" s="23"/>
      <c r="B20" s="23" t="s">
        <v>79</v>
      </c>
      <c r="C20" s="23"/>
      <c r="D20" s="23"/>
      <c r="E20" s="23"/>
      <c r="F20" s="33">
        <f>+F19*F18</f>
        <v>8276.9600000000009</v>
      </c>
      <c r="G20" s="33">
        <f>+G19*G18</f>
        <v>18357.280000000002</v>
      </c>
      <c r="H20" s="33">
        <f>+H19*H18</f>
        <v>20536.34</v>
      </c>
      <c r="I20" s="33">
        <f>+I19*I18</f>
        <v>19787.02</v>
      </c>
      <c r="J20" s="33">
        <f>+J19*J18</f>
        <v>10300.799999999999</v>
      </c>
      <c r="K20" s="23"/>
      <c r="L20" s="23"/>
      <c r="M20" s="23"/>
      <c r="N20" s="23"/>
      <c r="O20" s="23"/>
    </row>
    <row r="21" spans="1: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>
      <c r="A22" s="23"/>
      <c r="B22" s="56" t="s">
        <v>154</v>
      </c>
      <c r="C22" s="23"/>
      <c r="D22" s="23"/>
      <c r="E22" s="23"/>
      <c r="F22" s="79">
        <v>44</v>
      </c>
      <c r="G22" s="78">
        <v>44</v>
      </c>
      <c r="H22" s="78">
        <v>44</v>
      </c>
      <c r="I22" s="78">
        <v>44</v>
      </c>
      <c r="J22" s="78">
        <v>45</v>
      </c>
      <c r="K22" s="23"/>
      <c r="L22" s="23"/>
      <c r="M22" s="23"/>
      <c r="N22" s="23"/>
      <c r="O22" s="23"/>
    </row>
    <row r="23" spans="1:15" ht="15.75" thickBot="1">
      <c r="A23" s="23"/>
      <c r="B23" s="23" t="s">
        <v>78</v>
      </c>
      <c r="C23" s="23"/>
      <c r="D23" s="23"/>
      <c r="E23" s="23"/>
      <c r="F23" s="80">
        <v>4.76</v>
      </c>
      <c r="G23" s="80">
        <v>8.33</v>
      </c>
      <c r="H23" s="80">
        <v>9.9600000000000009</v>
      </c>
      <c r="I23" s="80">
        <v>9.0500000000000007</v>
      </c>
      <c r="J23" s="80">
        <v>3.48</v>
      </c>
      <c r="K23" s="23"/>
      <c r="L23" s="23"/>
      <c r="M23" s="23"/>
      <c r="N23" s="23"/>
      <c r="O23" s="23"/>
    </row>
    <row r="24" spans="1:15" ht="15.75" thickBot="1">
      <c r="A24" s="23"/>
      <c r="B24" s="23" t="s">
        <v>79</v>
      </c>
      <c r="C24" s="23"/>
      <c r="D24" s="23"/>
      <c r="E24" s="23"/>
      <c r="F24" s="32">
        <f>+F23*F22</f>
        <v>209.44</v>
      </c>
      <c r="G24" s="32">
        <f>+G23*G22</f>
        <v>366.52</v>
      </c>
      <c r="H24" s="32">
        <f>+H23*H22</f>
        <v>438.24</v>
      </c>
      <c r="I24" s="32">
        <f>+I23*I22</f>
        <v>398.20000000000005</v>
      </c>
      <c r="J24" s="32">
        <f>+J23*J22</f>
        <v>156.6</v>
      </c>
      <c r="K24" s="23"/>
      <c r="L24" s="23"/>
      <c r="M24" s="23"/>
      <c r="N24" s="23"/>
      <c r="O24" s="23"/>
    </row>
    <row r="25" spans="1:15">
      <c r="A25" s="23"/>
      <c r="B25" s="23"/>
      <c r="C25" s="23"/>
      <c r="D25" s="23"/>
      <c r="E25" s="23"/>
      <c r="F25" s="73"/>
      <c r="G25" s="73"/>
      <c r="H25" s="73"/>
      <c r="I25" s="73"/>
      <c r="J25" s="73"/>
      <c r="K25" s="23"/>
      <c r="L25" s="23"/>
      <c r="M25" s="23"/>
      <c r="N25" s="23"/>
      <c r="O25" s="23"/>
    </row>
    <row r="26" spans="1:15">
      <c r="A26" s="23"/>
      <c r="B26" s="56" t="s">
        <v>155</v>
      </c>
      <c r="C26" s="23"/>
      <c r="D26" s="23"/>
      <c r="E26" s="23"/>
      <c r="F26" s="79">
        <v>6</v>
      </c>
      <c r="G26" s="78">
        <v>6</v>
      </c>
      <c r="H26" s="78">
        <v>6</v>
      </c>
      <c r="I26" s="78">
        <v>6</v>
      </c>
      <c r="J26" s="78">
        <v>6</v>
      </c>
      <c r="K26" s="23"/>
      <c r="L26" s="23"/>
      <c r="M26" s="23"/>
      <c r="N26" s="23"/>
      <c r="O26" s="23"/>
    </row>
    <row r="27" spans="1:15" ht="15.75" thickBot="1">
      <c r="A27" s="23"/>
      <c r="B27" s="23" t="s">
        <v>78</v>
      </c>
      <c r="C27" s="23"/>
      <c r="D27" s="23"/>
      <c r="E27" s="23"/>
      <c r="F27" s="80">
        <v>379.92</v>
      </c>
      <c r="G27" s="80">
        <v>786.59</v>
      </c>
      <c r="H27" s="80">
        <v>1154.4100000000001</v>
      </c>
      <c r="I27" s="80">
        <v>1048.21</v>
      </c>
      <c r="J27" s="80">
        <v>803.32</v>
      </c>
      <c r="K27" s="23"/>
      <c r="L27" s="23"/>
      <c r="M27" s="23"/>
      <c r="N27" s="23"/>
      <c r="O27" s="23"/>
    </row>
    <row r="28" spans="1:15" ht="15.75" thickBot="1">
      <c r="A28" s="23"/>
      <c r="B28" s="23" t="s">
        <v>79</v>
      </c>
      <c r="C28" s="23"/>
      <c r="D28" s="23"/>
      <c r="E28" s="23"/>
      <c r="F28" s="32">
        <f>+F27*F26</f>
        <v>2279.52</v>
      </c>
      <c r="G28" s="32">
        <f>+G27*G26</f>
        <v>4719.54</v>
      </c>
      <c r="H28" s="32">
        <f>+H27*H26</f>
        <v>6926.4600000000009</v>
      </c>
      <c r="I28" s="32">
        <f>+I27*I26</f>
        <v>6289.26</v>
      </c>
      <c r="J28" s="32">
        <f>+J27*J26</f>
        <v>4819.92</v>
      </c>
      <c r="K28" s="23"/>
      <c r="L28" s="23"/>
      <c r="M28" s="23"/>
      <c r="N28" s="23"/>
      <c r="O28" s="23"/>
    </row>
    <row r="29" spans="1:15">
      <c r="A29" s="23"/>
      <c r="B29" s="23"/>
      <c r="C29" s="23"/>
      <c r="D29" s="23"/>
      <c r="E29" s="23"/>
      <c r="F29" s="73"/>
      <c r="G29" s="73"/>
      <c r="H29" s="73"/>
      <c r="I29" s="73"/>
      <c r="J29" s="73"/>
      <c r="K29" s="23"/>
      <c r="L29" s="23"/>
      <c r="M29" s="23"/>
      <c r="N29" s="23"/>
      <c r="O29" s="23"/>
    </row>
    <row r="30" spans="1:15">
      <c r="A30" s="23"/>
      <c r="B30" s="56" t="s">
        <v>156</v>
      </c>
      <c r="C30" s="23"/>
      <c r="D30" s="23"/>
      <c r="E30" s="23"/>
      <c r="F30" s="79">
        <v>1</v>
      </c>
      <c r="G30" s="78">
        <v>1</v>
      </c>
      <c r="H30" s="78">
        <v>1</v>
      </c>
      <c r="I30" s="78">
        <v>1</v>
      </c>
      <c r="J30" s="78">
        <v>1</v>
      </c>
      <c r="K30" s="23"/>
      <c r="L30" s="23"/>
      <c r="M30" s="23"/>
      <c r="N30" s="23"/>
      <c r="O30" s="23"/>
    </row>
    <row r="31" spans="1:15" ht="15.75" thickBot="1">
      <c r="A31" s="23"/>
      <c r="B31" s="23" t="s">
        <v>78</v>
      </c>
      <c r="C31" s="23"/>
      <c r="D31" s="23"/>
      <c r="E31" s="23"/>
      <c r="F31" s="80">
        <v>925</v>
      </c>
      <c r="G31" s="80">
        <v>4091</v>
      </c>
      <c r="H31" s="80">
        <v>4693</v>
      </c>
      <c r="I31" s="80">
        <v>3835</v>
      </c>
      <c r="J31" s="80">
        <v>1950</v>
      </c>
      <c r="K31" s="23"/>
      <c r="L31" s="23"/>
      <c r="M31" s="23"/>
      <c r="N31" s="23"/>
      <c r="O31" s="23"/>
    </row>
    <row r="32" spans="1:15" ht="15.75" thickBot="1">
      <c r="A32" s="23"/>
      <c r="B32" s="23" t="s">
        <v>79</v>
      </c>
      <c r="C32" s="23"/>
      <c r="D32" s="23"/>
      <c r="E32" s="23"/>
      <c r="F32" s="32">
        <f>+F31*F30</f>
        <v>925</v>
      </c>
      <c r="G32" s="32">
        <f>+G31*G30</f>
        <v>4091</v>
      </c>
      <c r="H32" s="32">
        <f>+H31*H30</f>
        <v>4693</v>
      </c>
      <c r="I32" s="32">
        <f>+I31*I30</f>
        <v>3835</v>
      </c>
      <c r="J32" s="32">
        <f>+J31*J30</f>
        <v>1950</v>
      </c>
      <c r="K32" s="23"/>
      <c r="L32" s="23"/>
      <c r="M32" s="23"/>
      <c r="N32" s="23"/>
      <c r="O32" s="23"/>
    </row>
    <row r="33" spans="1:15">
      <c r="A33" s="23"/>
      <c r="B33" s="23"/>
      <c r="C33" s="23"/>
      <c r="D33" s="23"/>
      <c r="E33" s="23"/>
      <c r="F33" s="73"/>
      <c r="G33" s="73"/>
      <c r="H33" s="73"/>
      <c r="I33" s="73"/>
      <c r="J33" s="73"/>
      <c r="K33" s="23"/>
      <c r="L33" s="23"/>
      <c r="M33" s="23"/>
      <c r="N33" s="23"/>
      <c r="O33" s="23"/>
    </row>
    <row r="34" spans="1: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6.5" thickBot="1">
      <c r="A35" s="23"/>
      <c r="B35" s="34" t="s">
        <v>142</v>
      </c>
      <c r="D35" s="34"/>
      <c r="E35" s="34"/>
      <c r="F35" s="35">
        <f>+F24+F20+F16+F12+F28+F32</f>
        <v>33587.42</v>
      </c>
      <c r="G35" s="35">
        <f>+G24+G20+G16+G12+G28+G32</f>
        <v>79953.239999999991</v>
      </c>
      <c r="H35" s="35">
        <f>+H24+H20+H16+H12+H28+H32</f>
        <v>86815.74</v>
      </c>
      <c r="I35" s="35">
        <f>+I24+I20+I16+I12+I28+I32</f>
        <v>71772.679999999993</v>
      </c>
      <c r="J35" s="35">
        <f>+J24+J20+J16+J12+J28+J32</f>
        <v>45726.720000000001</v>
      </c>
      <c r="K35" s="12">
        <f>SUM(F35:J35)</f>
        <v>317855.79999999993</v>
      </c>
      <c r="L35" s="23"/>
      <c r="M35" s="23"/>
      <c r="N35" s="23"/>
      <c r="O35" s="23"/>
    </row>
    <row r="36" spans="1:15" ht="16.5" thickTop="1">
      <c r="A36" s="23"/>
      <c r="B36" s="23"/>
      <c r="C36" s="30"/>
      <c r="D36" s="30"/>
      <c r="E36" s="30"/>
      <c r="F36" s="36"/>
      <c r="G36" s="36"/>
      <c r="H36" s="36"/>
      <c r="I36" s="36"/>
      <c r="J36" s="36"/>
      <c r="K36" s="23"/>
      <c r="L36" s="23"/>
      <c r="M36" s="23"/>
      <c r="N36" s="23"/>
      <c r="O36" s="23"/>
    </row>
    <row r="37" spans="1:15" ht="18">
      <c r="A37" s="38" t="s">
        <v>83</v>
      </c>
      <c r="B37" s="38"/>
      <c r="C37" s="28"/>
      <c r="D37" s="28"/>
      <c r="E37" s="30"/>
      <c r="F37" s="36"/>
      <c r="G37" s="36"/>
      <c r="H37" s="36"/>
      <c r="I37" s="36"/>
      <c r="J37" s="36"/>
      <c r="K37" s="23"/>
      <c r="L37" s="23"/>
      <c r="M37" s="23"/>
      <c r="N37" s="23"/>
      <c r="O37" s="23"/>
    </row>
    <row r="38" spans="1:15" ht="15.75">
      <c r="A38" s="23"/>
      <c r="B38" s="81" t="s">
        <v>87</v>
      </c>
      <c r="C38" s="82"/>
      <c r="D38" s="82"/>
      <c r="E38" s="30"/>
      <c r="F38" s="36"/>
      <c r="G38" s="36"/>
      <c r="H38" s="36"/>
      <c r="I38" s="36"/>
      <c r="J38" s="36"/>
      <c r="K38" s="23"/>
      <c r="L38" s="23"/>
      <c r="M38" s="23"/>
      <c r="N38" s="23"/>
      <c r="O38" s="23"/>
    </row>
    <row r="39" spans="1:15" ht="15.75">
      <c r="A39" s="23"/>
      <c r="B39" s="56" t="s">
        <v>84</v>
      </c>
      <c r="C39" s="30"/>
      <c r="D39" s="30"/>
      <c r="E39" s="30"/>
      <c r="F39" s="42">
        <v>0.9</v>
      </c>
      <c r="G39" s="42">
        <f t="shared" ref="G39:J44" si="0">+F39</f>
        <v>0.9</v>
      </c>
      <c r="H39" s="42">
        <f t="shared" si="0"/>
        <v>0.9</v>
      </c>
      <c r="I39" s="42">
        <f t="shared" si="0"/>
        <v>0.9</v>
      </c>
      <c r="J39" s="42">
        <f t="shared" si="0"/>
        <v>0.9</v>
      </c>
      <c r="K39" s="23"/>
      <c r="L39" s="23"/>
      <c r="M39" s="23"/>
      <c r="N39" s="23"/>
      <c r="O39" s="23"/>
    </row>
    <row r="40" spans="1:15" ht="15.75">
      <c r="A40" s="23"/>
      <c r="B40" s="56" t="s">
        <v>146</v>
      </c>
      <c r="C40" s="30"/>
      <c r="D40" s="30"/>
      <c r="E40" s="30"/>
      <c r="F40" s="42">
        <v>0.6</v>
      </c>
      <c r="G40" s="42">
        <f t="shared" si="0"/>
        <v>0.6</v>
      </c>
      <c r="H40" s="42">
        <f t="shared" si="0"/>
        <v>0.6</v>
      </c>
      <c r="I40" s="42">
        <f t="shared" si="0"/>
        <v>0.6</v>
      </c>
      <c r="J40" s="42">
        <f t="shared" si="0"/>
        <v>0.6</v>
      </c>
      <c r="K40" s="23"/>
      <c r="L40" s="23"/>
      <c r="M40" s="23"/>
      <c r="N40" s="23"/>
      <c r="O40" s="23"/>
    </row>
    <row r="41" spans="1:15" ht="15.75">
      <c r="A41" s="23"/>
      <c r="B41" s="56" t="s">
        <v>147</v>
      </c>
      <c r="C41" s="30"/>
      <c r="D41" s="30"/>
      <c r="E41" s="30"/>
      <c r="F41" s="42">
        <v>6.02</v>
      </c>
      <c r="G41" s="42">
        <f t="shared" si="0"/>
        <v>6.02</v>
      </c>
      <c r="H41" s="42">
        <f t="shared" si="0"/>
        <v>6.02</v>
      </c>
      <c r="I41" s="42">
        <f t="shared" si="0"/>
        <v>6.02</v>
      </c>
      <c r="J41" s="42">
        <f t="shared" si="0"/>
        <v>6.02</v>
      </c>
      <c r="K41" s="23"/>
      <c r="L41" s="23"/>
      <c r="M41" s="23"/>
      <c r="N41" s="23"/>
      <c r="O41" s="23"/>
    </row>
    <row r="42" spans="1:15" ht="15.75">
      <c r="A42" s="23"/>
      <c r="B42" s="56" t="s">
        <v>148</v>
      </c>
      <c r="C42" s="30"/>
      <c r="D42" s="30"/>
      <c r="E42" s="30"/>
      <c r="F42" s="42">
        <v>0.73</v>
      </c>
      <c r="G42" s="42">
        <f t="shared" si="0"/>
        <v>0.73</v>
      </c>
      <c r="H42" s="42">
        <f t="shared" si="0"/>
        <v>0.73</v>
      </c>
      <c r="I42" s="42">
        <f t="shared" si="0"/>
        <v>0.73</v>
      </c>
      <c r="J42" s="42">
        <f t="shared" si="0"/>
        <v>0.73</v>
      </c>
      <c r="K42" s="23"/>
      <c r="L42" s="23"/>
      <c r="M42" s="23"/>
      <c r="N42" s="23"/>
      <c r="O42" s="23"/>
    </row>
    <row r="43" spans="1:15" ht="15.75">
      <c r="A43" s="23"/>
      <c r="B43" s="56" t="s">
        <v>149</v>
      </c>
      <c r="C43" s="30"/>
      <c r="D43" s="30"/>
      <c r="E43" s="30"/>
      <c r="F43" s="42">
        <v>180.06</v>
      </c>
      <c r="G43" s="42">
        <f t="shared" si="0"/>
        <v>180.06</v>
      </c>
      <c r="H43" s="42">
        <f t="shared" si="0"/>
        <v>180.06</v>
      </c>
      <c r="I43" s="42">
        <f t="shared" si="0"/>
        <v>180.06</v>
      </c>
      <c r="J43" s="42">
        <f t="shared" si="0"/>
        <v>180.06</v>
      </c>
      <c r="K43" s="23"/>
      <c r="L43" s="23"/>
      <c r="M43" s="23"/>
      <c r="N43" s="23"/>
      <c r="O43" s="23"/>
    </row>
    <row r="44" spans="1:15" ht="15.75">
      <c r="A44" s="23"/>
      <c r="B44" s="56" t="s">
        <v>150</v>
      </c>
      <c r="C44" s="30"/>
      <c r="D44" s="30"/>
      <c r="E44" s="30"/>
      <c r="F44" s="42"/>
      <c r="G44" s="42">
        <f t="shared" si="0"/>
        <v>0</v>
      </c>
      <c r="H44" s="42">
        <f t="shared" si="0"/>
        <v>0</v>
      </c>
      <c r="I44" s="42">
        <f t="shared" si="0"/>
        <v>0</v>
      </c>
      <c r="J44" s="42">
        <f t="shared" si="0"/>
        <v>0</v>
      </c>
      <c r="K44" s="23"/>
      <c r="L44" s="23"/>
      <c r="M44" s="23"/>
      <c r="N44" s="23"/>
      <c r="O44" s="23"/>
    </row>
    <row r="45" spans="1:15" ht="15.75">
      <c r="A45" s="23"/>
      <c r="B45" s="23"/>
      <c r="C45" s="30"/>
      <c r="D45" s="30"/>
      <c r="E45" s="30"/>
      <c r="F45" s="43"/>
      <c r="G45" s="43"/>
      <c r="H45" s="43"/>
      <c r="I45" s="43"/>
      <c r="J45" s="43"/>
      <c r="K45" s="23"/>
      <c r="L45" s="23"/>
      <c r="M45" s="23"/>
      <c r="N45" s="23"/>
      <c r="O45" s="23"/>
    </row>
    <row r="46" spans="1:15" ht="15.75">
      <c r="A46" s="23"/>
      <c r="B46" s="81" t="s">
        <v>85</v>
      </c>
      <c r="C46" s="30"/>
      <c r="D46" s="30"/>
      <c r="E46" s="30"/>
      <c r="F46" s="43"/>
      <c r="G46" s="43"/>
      <c r="H46" s="43"/>
      <c r="I46" s="43"/>
      <c r="J46" s="43"/>
      <c r="K46" s="23"/>
      <c r="L46" s="23"/>
      <c r="M46" s="23"/>
      <c r="N46" s="23"/>
      <c r="O46" s="23"/>
    </row>
    <row r="47" spans="1:15" ht="15.75">
      <c r="A47" s="23"/>
      <c r="B47" s="56" t="s">
        <v>84</v>
      </c>
      <c r="C47" s="30"/>
      <c r="D47" s="30"/>
      <c r="E47" s="30"/>
      <c r="F47" s="42">
        <f>+F11-F39</f>
        <v>4.3</v>
      </c>
      <c r="G47" s="42">
        <f>+G11-G39</f>
        <v>11.299999999999999</v>
      </c>
      <c r="H47" s="42">
        <f>+H11-H39</f>
        <v>11.7</v>
      </c>
      <c r="I47" s="42">
        <f>+I11-I39</f>
        <v>8.6999999999999993</v>
      </c>
      <c r="J47" s="42">
        <f>+J11-J39</f>
        <v>5.6</v>
      </c>
      <c r="K47" s="23"/>
      <c r="L47" s="23"/>
      <c r="M47" s="23"/>
      <c r="N47" s="23"/>
      <c r="O47" s="23"/>
    </row>
    <row r="48" spans="1:15" ht="15.75">
      <c r="A48" s="23"/>
      <c r="B48" s="56" t="s">
        <v>146</v>
      </c>
      <c r="C48" s="30"/>
      <c r="D48" s="30"/>
      <c r="E48" s="30"/>
      <c r="F48" s="42">
        <f>+F15-F40</f>
        <v>3.6999999999999997</v>
      </c>
      <c r="G48" s="42">
        <f>+G15-G40</f>
        <v>10.1</v>
      </c>
      <c r="H48" s="42">
        <f>+H15-H40</f>
        <v>10.5</v>
      </c>
      <c r="I48" s="42">
        <f>+I15-I40</f>
        <v>7.7000000000000011</v>
      </c>
      <c r="J48" s="42">
        <f>+J15-J40</f>
        <v>5</v>
      </c>
      <c r="K48" s="23"/>
      <c r="L48" s="23"/>
      <c r="M48" s="23"/>
      <c r="N48" s="23"/>
      <c r="O48" s="23"/>
    </row>
    <row r="49" spans="1:15" ht="15.75">
      <c r="A49" s="23"/>
      <c r="B49" s="56" t="s">
        <v>147</v>
      </c>
      <c r="C49" s="30"/>
      <c r="D49" s="30"/>
      <c r="E49" s="30"/>
      <c r="F49" s="42">
        <f>+F19-F41</f>
        <v>8.3000000000000007</v>
      </c>
      <c r="G49" s="42">
        <f>+G19-G41</f>
        <v>25.740000000000002</v>
      </c>
      <c r="H49" s="42">
        <f>+H19-H41</f>
        <v>29.51</v>
      </c>
      <c r="I49" s="42">
        <f>+I19-I41</f>
        <v>27.919999999999998</v>
      </c>
      <c r="J49" s="42">
        <f>+J19-J41</f>
        <v>11.379999999999999</v>
      </c>
      <c r="K49" s="23"/>
      <c r="L49" s="23"/>
      <c r="M49" s="23"/>
      <c r="N49" s="23"/>
      <c r="O49" s="23"/>
    </row>
    <row r="50" spans="1:15" ht="15.75">
      <c r="A50" s="23"/>
      <c r="B50" s="56" t="s">
        <v>148</v>
      </c>
      <c r="C50" s="30"/>
      <c r="D50" s="30"/>
      <c r="E50" s="30"/>
      <c r="F50" s="42">
        <f>+F23-F42</f>
        <v>4.0299999999999994</v>
      </c>
      <c r="G50" s="42">
        <f>+G23-G42</f>
        <v>7.6</v>
      </c>
      <c r="H50" s="42">
        <f>+H23-H42</f>
        <v>9.23</v>
      </c>
      <c r="I50" s="42">
        <f>+I23-I42</f>
        <v>8.32</v>
      </c>
      <c r="J50" s="42">
        <f>+J23-J42</f>
        <v>2.75</v>
      </c>
      <c r="K50" s="23"/>
      <c r="L50" s="23"/>
      <c r="M50" s="23"/>
      <c r="N50" s="23"/>
      <c r="O50" s="23"/>
    </row>
    <row r="51" spans="1:15" ht="15.75">
      <c r="A51" s="23"/>
      <c r="B51" s="56" t="s">
        <v>149</v>
      </c>
      <c r="C51" s="30"/>
      <c r="D51" s="30"/>
      <c r="E51" s="30"/>
      <c r="F51" s="42">
        <f>+F27-F43</f>
        <v>199.86</v>
      </c>
      <c r="G51" s="42">
        <f>+G27-G43</f>
        <v>606.53</v>
      </c>
      <c r="H51" s="42">
        <f>+H27-H43</f>
        <v>974.35000000000014</v>
      </c>
      <c r="I51" s="42">
        <f>+I27-I43</f>
        <v>868.15000000000009</v>
      </c>
      <c r="J51" s="42">
        <f>+J27-J43</f>
        <v>623.26</v>
      </c>
      <c r="K51" s="23"/>
      <c r="L51" s="23"/>
      <c r="M51" s="23"/>
      <c r="N51" s="23"/>
      <c r="O51" s="23"/>
    </row>
    <row r="52" spans="1:15" ht="15.75">
      <c r="A52" s="23"/>
      <c r="B52" s="56" t="s">
        <v>150</v>
      </c>
      <c r="C52" s="30"/>
      <c r="D52" s="30"/>
      <c r="E52" s="30"/>
      <c r="F52" s="42">
        <f>+F32-F44</f>
        <v>925</v>
      </c>
      <c r="G52" s="42">
        <f>+G32-G44</f>
        <v>4091</v>
      </c>
      <c r="H52" s="42">
        <f>+H32-H44</f>
        <v>4693</v>
      </c>
      <c r="I52" s="42">
        <f>+I32-I44</f>
        <v>3835</v>
      </c>
      <c r="J52" s="42">
        <f>+J32-J44</f>
        <v>1950</v>
      </c>
      <c r="K52" s="23"/>
      <c r="L52" s="23"/>
      <c r="M52" s="23"/>
      <c r="N52" s="23"/>
      <c r="O52" s="23"/>
    </row>
    <row r="53" spans="1:15" ht="15.75">
      <c r="A53" s="23"/>
      <c r="B53" s="23"/>
      <c r="C53" s="30"/>
      <c r="D53" s="30"/>
      <c r="E53" s="30"/>
      <c r="F53" s="42"/>
      <c r="G53" s="42"/>
      <c r="H53" s="42"/>
      <c r="I53" s="42"/>
      <c r="J53" s="42"/>
      <c r="K53" s="23"/>
      <c r="L53" s="23"/>
      <c r="M53" s="23"/>
      <c r="N53" s="23"/>
      <c r="O53" s="23"/>
    </row>
    <row r="54" spans="1:15" ht="15.75">
      <c r="A54" s="23"/>
      <c r="B54" s="81" t="s">
        <v>86</v>
      </c>
      <c r="C54" s="30"/>
      <c r="D54" s="30"/>
      <c r="E54" s="30"/>
      <c r="F54" s="42"/>
      <c r="G54" s="42"/>
      <c r="H54" s="42"/>
      <c r="I54" s="42"/>
      <c r="J54" s="42"/>
      <c r="K54" s="23"/>
      <c r="L54" s="23"/>
      <c r="M54" s="23"/>
      <c r="N54" s="23"/>
      <c r="O54" s="23"/>
    </row>
    <row r="55" spans="1:15" ht="15.75">
      <c r="A55" s="23"/>
      <c r="B55" s="56" t="s">
        <v>84</v>
      </c>
      <c r="C55" s="30"/>
      <c r="D55" s="30"/>
      <c r="E55" s="30"/>
      <c r="F55" s="44">
        <f>+F47*F10</f>
        <v>12022.8</v>
      </c>
      <c r="G55" s="44">
        <f>+G47*G10</f>
        <v>31594.799999999996</v>
      </c>
      <c r="H55" s="44">
        <f>+H47*H10</f>
        <v>32713.199999999997</v>
      </c>
      <c r="I55" s="44">
        <f>+I47*I10</f>
        <v>24638.399999999998</v>
      </c>
      <c r="J55" s="44">
        <f>+J47*J10</f>
        <v>16139.199999999999</v>
      </c>
      <c r="K55" s="31"/>
      <c r="L55" s="23"/>
      <c r="M55" s="23"/>
      <c r="N55" s="23"/>
      <c r="O55" s="23"/>
    </row>
    <row r="56" spans="1:15" ht="15.75">
      <c r="A56" s="23"/>
      <c r="B56" s="56" t="s">
        <v>146</v>
      </c>
      <c r="C56" s="30"/>
      <c r="D56" s="30"/>
      <c r="E56" s="30"/>
      <c r="F56" s="44">
        <f>+F48*F14</f>
        <v>6330.7</v>
      </c>
      <c r="G56" s="44">
        <f>+G48*G14</f>
        <v>17281.099999999999</v>
      </c>
      <c r="H56" s="44">
        <f>+H48*H14</f>
        <v>17965.5</v>
      </c>
      <c r="I56" s="44">
        <f>+I48*I14</f>
        <v>13244.000000000002</v>
      </c>
      <c r="J56" s="44">
        <f>+J48*J14</f>
        <v>8720</v>
      </c>
      <c r="K56" s="31"/>
      <c r="L56" s="23"/>
      <c r="M56" s="23"/>
      <c r="N56" s="23"/>
      <c r="O56" s="23"/>
    </row>
    <row r="57" spans="1:15" ht="15.75">
      <c r="A57" s="23"/>
      <c r="B57" s="56" t="s">
        <v>147</v>
      </c>
      <c r="C57" s="30"/>
      <c r="D57" s="30"/>
      <c r="E57" s="30"/>
      <c r="F57" s="44">
        <f>+F49*F18</f>
        <v>4797.4000000000005</v>
      </c>
      <c r="G57" s="44">
        <f>+G49*G18</f>
        <v>14877.720000000001</v>
      </c>
      <c r="H57" s="44">
        <f>+H49*H18</f>
        <v>17056.780000000002</v>
      </c>
      <c r="I57" s="44">
        <f>+I49*I18</f>
        <v>16277.359999999999</v>
      </c>
      <c r="J57" s="44">
        <f>+J49*J18</f>
        <v>6736.9599999999991</v>
      </c>
      <c r="K57" s="31"/>
      <c r="L57" s="23"/>
      <c r="M57" s="23"/>
      <c r="N57" s="23"/>
      <c r="O57" s="23"/>
    </row>
    <row r="58" spans="1:15" ht="15.75">
      <c r="A58" s="23"/>
      <c r="B58" s="56" t="s">
        <v>148</v>
      </c>
      <c r="C58" s="30"/>
      <c r="D58" s="30"/>
      <c r="E58" s="30"/>
      <c r="F58" s="44">
        <f>+F50*F22</f>
        <v>177.31999999999996</v>
      </c>
      <c r="G58" s="44">
        <f>+G50*G22</f>
        <v>334.4</v>
      </c>
      <c r="H58" s="44">
        <f>+H50*H22</f>
        <v>406.12</v>
      </c>
      <c r="I58" s="44">
        <f>+I50*I22</f>
        <v>366.08000000000004</v>
      </c>
      <c r="J58" s="44">
        <f>+J50*J22</f>
        <v>123.75</v>
      </c>
      <c r="K58" s="31"/>
      <c r="L58" s="23"/>
      <c r="M58" s="23"/>
      <c r="N58" s="23"/>
      <c r="O58" s="23"/>
    </row>
    <row r="59" spans="1:15" ht="15.75">
      <c r="A59" s="23"/>
      <c r="B59" s="56" t="s">
        <v>149</v>
      </c>
      <c r="C59" s="30"/>
      <c r="D59" s="30"/>
      <c r="E59" s="30"/>
      <c r="F59" s="44">
        <f>+F51*F26</f>
        <v>1199.1600000000001</v>
      </c>
      <c r="G59" s="44">
        <f>+G51*G26</f>
        <v>3639.18</v>
      </c>
      <c r="H59" s="44">
        <f>+H51*H26</f>
        <v>5846.1</v>
      </c>
      <c r="I59" s="44">
        <f>+I51*I26</f>
        <v>5208.9000000000005</v>
      </c>
      <c r="J59" s="44">
        <f>+J51*J26</f>
        <v>3739.56</v>
      </c>
      <c r="K59" s="31"/>
      <c r="L59" s="23"/>
      <c r="M59" s="23"/>
      <c r="N59" s="23"/>
      <c r="O59" s="23"/>
    </row>
    <row r="60" spans="1:15" ht="16.5" thickBot="1">
      <c r="A60" s="23"/>
      <c r="B60" s="56" t="s">
        <v>150</v>
      </c>
      <c r="C60" s="30"/>
      <c r="D60" s="30"/>
      <c r="E60" s="30"/>
      <c r="F60" s="44">
        <f>+F52*F30</f>
        <v>925</v>
      </c>
      <c r="G60" s="44">
        <f>+G52*G30</f>
        <v>4091</v>
      </c>
      <c r="H60" s="44">
        <f>+H52*H30</f>
        <v>4693</v>
      </c>
      <c r="I60" s="44">
        <f>+I52*I30</f>
        <v>3835</v>
      </c>
      <c r="J60" s="44">
        <f>+J52*J30</f>
        <v>1950</v>
      </c>
      <c r="K60" s="31"/>
      <c r="L60" s="23"/>
      <c r="M60" s="23"/>
      <c r="N60" s="23"/>
      <c r="O60" s="23"/>
    </row>
    <row r="61" spans="1:15" ht="16.5" thickBot="1">
      <c r="A61" s="23"/>
      <c r="B61" s="34" t="s">
        <v>94</v>
      </c>
      <c r="D61" s="30"/>
      <c r="E61" s="30"/>
      <c r="F61" s="45">
        <f>SUM(F55:F60)</f>
        <v>25452.38</v>
      </c>
      <c r="G61" s="45">
        <f>SUM(G55:G60)</f>
        <v>71818.2</v>
      </c>
      <c r="H61" s="45">
        <f>SUM(H55:H60)</f>
        <v>78680.7</v>
      </c>
      <c r="I61" s="45">
        <f>SUM(I55:I60)</f>
        <v>63569.740000000005</v>
      </c>
      <c r="J61" s="45">
        <f>SUM(J55:J60)</f>
        <v>37409.469999999994</v>
      </c>
      <c r="K61" s="12">
        <f>SUM(F61:J61)</f>
        <v>276930.49</v>
      </c>
      <c r="L61" s="23"/>
      <c r="M61" s="23"/>
      <c r="N61" s="23"/>
      <c r="O61" s="23"/>
    </row>
    <row r="62" spans="1:15" ht="16.5" thickTop="1">
      <c r="A62" s="23"/>
      <c r="B62" s="34"/>
      <c r="D62" s="30"/>
      <c r="E62" s="30"/>
      <c r="F62" s="44"/>
      <c r="G62" s="44"/>
      <c r="H62" s="44"/>
      <c r="I62" s="44"/>
      <c r="J62" s="44"/>
      <c r="K62" s="12"/>
      <c r="L62" s="23"/>
      <c r="M62" s="23"/>
      <c r="N62" s="23"/>
      <c r="O62" s="23"/>
    </row>
    <row r="63" spans="1:15">
      <c r="B63" s="23" t="s">
        <v>88</v>
      </c>
      <c r="L63" s="23"/>
      <c r="M63" s="23"/>
      <c r="N63" s="23"/>
      <c r="O63" s="23"/>
    </row>
    <row r="64" spans="1:15">
      <c r="B64" s="23" t="s">
        <v>95</v>
      </c>
      <c r="F64" s="10">
        <f t="shared" ref="F64:K64" si="1">+F61</f>
        <v>25452.38</v>
      </c>
      <c r="G64" s="10">
        <f t="shared" si="1"/>
        <v>71818.2</v>
      </c>
      <c r="H64" s="10">
        <f t="shared" si="1"/>
        <v>78680.7</v>
      </c>
      <c r="I64" s="10">
        <f t="shared" si="1"/>
        <v>63569.740000000005</v>
      </c>
      <c r="J64" s="10">
        <f t="shared" si="1"/>
        <v>37409.469999999994</v>
      </c>
      <c r="K64" s="10">
        <f t="shared" si="1"/>
        <v>276930.49</v>
      </c>
      <c r="L64" s="23"/>
      <c r="M64" s="23"/>
      <c r="N64" s="23"/>
      <c r="O64" s="23"/>
    </row>
    <row r="65" spans="1:15" ht="15.75" thickBot="1">
      <c r="B65" s="23" t="s">
        <v>96</v>
      </c>
      <c r="F65" s="13">
        <f>+F39*F10+F40*F14+F41*F18+F42*F22+F43*F26+F44</f>
        <v>8135.0399999999991</v>
      </c>
      <c r="G65" s="13">
        <f>+G39*G10+G40*G14+G41*G18+G42*G22+G43*G26+G44</f>
        <v>8135.0399999999991</v>
      </c>
      <c r="H65" s="13">
        <f>+H39*H10+H40*H14+H41*H18+H42*H22+H43*H26+H44</f>
        <v>8135.0399999999991</v>
      </c>
      <c r="I65" s="13">
        <f>+I39*I10+I40*I14+I41*I18+I42*I22+I43*I26+I44</f>
        <v>8202.94</v>
      </c>
      <c r="J65" s="13">
        <f>+J39*J10+J40*J14+J41*J18+J42*J22+J43*J26+J44</f>
        <v>8317.25</v>
      </c>
      <c r="K65" s="13">
        <f>SUM(F65:J65)</f>
        <v>40925.31</v>
      </c>
      <c r="L65" s="23"/>
      <c r="M65" s="23"/>
      <c r="N65" s="23"/>
      <c r="O65" s="23"/>
    </row>
    <row r="66" spans="1:15" ht="15.75" thickBot="1">
      <c r="F66" s="46">
        <f t="shared" ref="F66:K66" si="2">+F65+F64</f>
        <v>33587.42</v>
      </c>
      <c r="G66" s="46">
        <f t="shared" si="2"/>
        <v>79953.239999999991</v>
      </c>
      <c r="H66" s="46">
        <f t="shared" si="2"/>
        <v>86815.739999999991</v>
      </c>
      <c r="I66" s="46">
        <f t="shared" si="2"/>
        <v>71772.680000000008</v>
      </c>
      <c r="J66" s="46">
        <f t="shared" si="2"/>
        <v>45726.719999999994</v>
      </c>
      <c r="K66" s="46">
        <f t="shared" si="2"/>
        <v>317855.8</v>
      </c>
      <c r="L66" s="23"/>
      <c r="M66" s="23"/>
      <c r="N66" s="23"/>
      <c r="O66" s="23"/>
    </row>
    <row r="67" spans="1:15" ht="15.75" thickTop="1">
      <c r="F67" s="10"/>
      <c r="G67" s="10"/>
      <c r="H67" s="10"/>
      <c r="I67" s="10"/>
      <c r="J67" s="10"/>
      <c r="K67" s="10"/>
      <c r="L67" s="23"/>
      <c r="M67" s="23"/>
      <c r="N67" s="23"/>
      <c r="O67" s="23"/>
    </row>
    <row r="68" spans="1:15" ht="18">
      <c r="A68" s="38" t="s">
        <v>80</v>
      </c>
      <c r="B68" s="38"/>
      <c r="C68" s="28"/>
      <c r="D68" s="28"/>
      <c r="E68" s="39"/>
      <c r="F68" s="36"/>
      <c r="G68" s="36"/>
      <c r="H68" s="36"/>
      <c r="I68" s="36"/>
      <c r="J68" s="36"/>
      <c r="K68" s="23"/>
      <c r="L68" s="23"/>
      <c r="M68" s="24" t="s">
        <v>62</v>
      </c>
      <c r="O68" s="23"/>
    </row>
    <row r="69" spans="1: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4" t="s">
        <v>93</v>
      </c>
      <c r="O69" s="23"/>
    </row>
    <row r="70" spans="1:15">
      <c r="A70" s="23"/>
      <c r="B70" s="23" t="s">
        <v>81</v>
      </c>
      <c r="C70" s="23"/>
      <c r="D70" s="23"/>
      <c r="E70" s="23"/>
      <c r="F70" s="37">
        <f ca="1">+'30 year normals'!L40</f>
        <v>578</v>
      </c>
      <c r="G70" s="37">
        <f ca="1">+'30 year normals'!M40</f>
        <v>899</v>
      </c>
      <c r="H70" s="37">
        <f ca="1">+'30 year normals'!B40</f>
        <v>1034</v>
      </c>
      <c r="I70" s="37">
        <f ca="1">+'30 year normals'!C40</f>
        <v>790</v>
      </c>
      <c r="J70" s="37">
        <f ca="1">+'30 year normals'!D40</f>
        <v>581</v>
      </c>
      <c r="K70" s="31">
        <f ca="1">+'30 year normals'!N43</f>
        <v>3882</v>
      </c>
      <c r="L70" s="23"/>
      <c r="M70" s="37">
        <f>SUM(F70:J70)</f>
        <v>3882</v>
      </c>
      <c r="O70" s="23"/>
    </row>
    <row r="71" spans="1:15">
      <c r="B71" s="23" t="s">
        <v>82</v>
      </c>
      <c r="F71" s="9">
        <f ca="1">+'Springfield monthly HDD''s'!F59*2</f>
        <v>212.72821229844496</v>
      </c>
      <c r="G71" s="9">
        <f ca="1">+'Springfield monthly HDD''s'!G59*2</f>
        <v>294.51567804683123</v>
      </c>
      <c r="H71" s="9">
        <f ca="1">+'Springfield monthly HDD''s'!H59*2</f>
        <v>340.34211671530812</v>
      </c>
      <c r="I71" s="9">
        <f ca="1">+'Springfield monthly HDD''s'!I59*2</f>
        <v>281.25841297958516</v>
      </c>
      <c r="J71" s="9">
        <f ca="1">+'Springfield monthly HDD''s'!J59*2</f>
        <v>213.01785166554743</v>
      </c>
      <c r="K71" s="9">
        <f ca="1">+'Springfield monthly HDD''s'!L59*2</f>
        <v>747.07517041888616</v>
      </c>
      <c r="M71" s="37">
        <f>SUM(F71:J71)</f>
        <v>1341.8622717057169</v>
      </c>
    </row>
    <row r="72" spans="1:15">
      <c r="B72" s="23" t="s">
        <v>89</v>
      </c>
      <c r="F72" s="40">
        <f t="shared" ref="F72:K72" si="3">+F71/F70</f>
        <v>0.36804188978969715</v>
      </c>
      <c r="G72" s="40">
        <f t="shared" si="3"/>
        <v>0.32760364632572997</v>
      </c>
      <c r="H72" s="40">
        <f t="shared" si="3"/>
        <v>0.32915098328366355</v>
      </c>
      <c r="I72" s="40">
        <f t="shared" si="3"/>
        <v>0.35602330756909512</v>
      </c>
      <c r="J72" s="40">
        <f t="shared" si="3"/>
        <v>0.36664002007839486</v>
      </c>
      <c r="K72" s="40">
        <f t="shared" si="3"/>
        <v>0.19244594807287124</v>
      </c>
    </row>
    <row r="73" spans="1:15" ht="15.75" thickBot="1">
      <c r="B73" s="23"/>
      <c r="F73" s="40"/>
      <c r="G73" s="40"/>
      <c r="H73" s="40"/>
      <c r="I73" s="40"/>
      <c r="J73" s="40"/>
    </row>
    <row r="74" spans="1:15" ht="15.75">
      <c r="B74" s="47" t="s">
        <v>90</v>
      </c>
      <c r="C74" s="48"/>
      <c r="D74" s="48"/>
      <c r="E74" s="48"/>
      <c r="F74" s="49">
        <f t="shared" ref="F74:K74" si="4">+(1-F72)*F61+F65</f>
        <v>24219.877965154508</v>
      </c>
      <c r="G74" s="49">
        <f t="shared" si="4"/>
        <v>56425.335807449461</v>
      </c>
      <c r="H74" s="49">
        <f t="shared" si="4"/>
        <v>60917.910229553054</v>
      </c>
      <c r="I74" s="49">
        <f t="shared" si="4"/>
        <v>49140.370903892603</v>
      </c>
      <c r="J74" s="49">
        <f t="shared" si="4"/>
        <v>32010.911168077888</v>
      </c>
      <c r="K74" s="50">
        <f t="shared" si="4"/>
        <v>264561.64930166519</v>
      </c>
      <c r="M74" s="37">
        <f>SUM(F74:J74)</f>
        <v>222714.40607412753</v>
      </c>
    </row>
    <row r="75" spans="1:15" ht="16.5" thickBot="1">
      <c r="B75" s="51" t="s">
        <v>91</v>
      </c>
      <c r="C75" s="52"/>
      <c r="D75" s="52"/>
      <c r="E75" s="52"/>
      <c r="F75" s="53">
        <f t="shared" ref="F75:K75" si="5">+(1+F72)*F61+F65</f>
        <v>42954.962034845492</v>
      </c>
      <c r="G75" s="53">
        <f t="shared" si="5"/>
        <v>103481.14419255052</v>
      </c>
      <c r="H75" s="53">
        <f t="shared" si="5"/>
        <v>112713.56977044695</v>
      </c>
      <c r="I75" s="53">
        <f t="shared" si="5"/>
        <v>94404.989096107412</v>
      </c>
      <c r="J75" s="53">
        <f t="shared" si="5"/>
        <v>59442.5288319221</v>
      </c>
      <c r="K75" s="54">
        <f t="shared" si="5"/>
        <v>371149.95069833478</v>
      </c>
      <c r="M75" s="37">
        <f>SUM(F75:J75)</f>
        <v>412997.19392587245</v>
      </c>
    </row>
    <row r="77" spans="1:15">
      <c r="A77" s="56" t="s">
        <v>143</v>
      </c>
    </row>
    <row r="78" spans="1:15">
      <c r="A78" s="56" t="s">
        <v>144</v>
      </c>
    </row>
    <row r="79" spans="1:15">
      <c r="A79" s="92" t="s">
        <v>162</v>
      </c>
    </row>
    <row r="81" spans="2:2">
      <c r="B81" s="74" t="s">
        <v>145</v>
      </c>
    </row>
  </sheetData>
  <phoneticPr fontId="4" type="noConversion"/>
  <pageMargins left="0.7" right="0.7" top="0.75" bottom="0.75" header="0.3" footer="0.3"/>
  <pageSetup scale="53" orientation="portrait" r:id="rId1"/>
  <headerFooter>
    <oddHeader>&amp;RAppendix 2--SMNG Winter Sensitivity Analysis</oddHead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1"/>
  <sheetViews>
    <sheetView tabSelected="1" zoomScale="75" zoomScaleNormal="75" workbookViewId="0">
      <selection activeCell="F18" sqref="F18"/>
    </sheetView>
  </sheetViews>
  <sheetFormatPr defaultColWidth="8.77734375" defaultRowHeight="15"/>
  <cols>
    <col min="1" max="1" width="4.5546875" customWidth="1"/>
    <col min="2" max="3" width="8.77734375" customWidth="1"/>
    <col min="4" max="4" width="16.77734375" customWidth="1"/>
    <col min="5" max="5" width="5.6640625" customWidth="1"/>
    <col min="6" max="6" width="10.44140625" customWidth="1"/>
    <col min="7" max="7" width="10.21875" customWidth="1"/>
    <col min="8" max="10" width="9.21875" bestFit="1" customWidth="1"/>
    <col min="11" max="11" width="9.77734375" customWidth="1"/>
    <col min="12" max="12" width="2.88671875" customWidth="1"/>
  </cols>
  <sheetData>
    <row r="1" spans="1:15" ht="18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3"/>
      <c r="N1" s="23"/>
      <c r="O1" s="23"/>
    </row>
    <row r="2" spans="1:15" ht="18">
      <c r="A2" s="25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3"/>
      <c r="L2" s="23"/>
      <c r="M2" s="23"/>
      <c r="N2" s="23"/>
      <c r="O2" s="23"/>
    </row>
    <row r="3" spans="1:15" ht="18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3"/>
      <c r="L3" s="23"/>
      <c r="M3" s="23"/>
      <c r="N3" s="23"/>
      <c r="O3" s="23"/>
    </row>
    <row r="4" spans="1: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A5" s="23"/>
      <c r="B5" s="23"/>
      <c r="C5" s="23"/>
      <c r="D5" s="23"/>
      <c r="E5" s="23"/>
      <c r="F5" s="26"/>
      <c r="G5" s="23"/>
      <c r="H5" s="26"/>
      <c r="I5" s="23"/>
      <c r="J5" s="23"/>
      <c r="K5" s="24" t="s">
        <v>92</v>
      </c>
      <c r="L5" s="23"/>
      <c r="M5" s="58" t="s">
        <v>97</v>
      </c>
      <c r="N5" s="23"/>
      <c r="O5" s="23"/>
    </row>
    <row r="6" spans="1:15" ht="15.75" thickBot="1">
      <c r="A6" s="23"/>
      <c r="B6" s="23"/>
      <c r="C6" s="23"/>
      <c r="D6" s="23"/>
      <c r="E6" s="23"/>
      <c r="F6" s="27">
        <v>40848</v>
      </c>
      <c r="G6" s="27">
        <v>40878</v>
      </c>
      <c r="H6" s="27">
        <v>40909</v>
      </c>
      <c r="I6" s="27">
        <v>40940</v>
      </c>
      <c r="J6" s="27">
        <v>40969</v>
      </c>
      <c r="K6" s="41" t="s">
        <v>61</v>
      </c>
      <c r="L6" s="23"/>
      <c r="M6" s="59" t="s">
        <v>98</v>
      </c>
      <c r="N6" s="23"/>
      <c r="O6" s="23"/>
    </row>
    <row r="7" spans="1:15" ht="18">
      <c r="A7" s="70" t="s">
        <v>159</v>
      </c>
      <c r="B7" s="71"/>
      <c r="C7" s="71"/>
      <c r="D7" s="71"/>
      <c r="E7" s="71"/>
      <c r="F7" s="72"/>
      <c r="G7" s="23"/>
      <c r="H7" s="23"/>
      <c r="I7" s="23"/>
      <c r="J7" s="23"/>
      <c r="K7" s="23"/>
      <c r="L7" s="23"/>
      <c r="M7" s="23"/>
      <c r="N7" s="23"/>
      <c r="O7" s="23"/>
    </row>
    <row r="8" spans="1:15" ht="18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5.75">
      <c r="A9" s="23"/>
      <c r="B9" s="30" t="s">
        <v>141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23"/>
      <c r="B10" s="56" t="s">
        <v>151</v>
      </c>
      <c r="C10" s="23"/>
      <c r="D10" s="23"/>
      <c r="E10" s="23"/>
      <c r="F10" s="76">
        <v>306</v>
      </c>
      <c r="G10" s="75">
        <v>306</v>
      </c>
      <c r="H10" s="75">
        <v>306</v>
      </c>
      <c r="I10" s="75">
        <v>306</v>
      </c>
      <c r="J10" s="75">
        <v>309</v>
      </c>
      <c r="K10" s="23"/>
      <c r="L10" s="23"/>
      <c r="M10" s="23"/>
      <c r="N10" s="23"/>
      <c r="O10" s="23"/>
    </row>
    <row r="11" spans="1:15" ht="15.75" thickBot="1">
      <c r="A11" s="23"/>
      <c r="B11" s="23" t="s">
        <v>78</v>
      </c>
      <c r="C11" s="23"/>
      <c r="D11" s="23"/>
      <c r="E11" s="23"/>
      <c r="F11" s="77">
        <v>6.69</v>
      </c>
      <c r="G11" s="77">
        <v>11.82</v>
      </c>
      <c r="H11" s="77">
        <v>14.05</v>
      </c>
      <c r="I11" s="77">
        <v>12.82</v>
      </c>
      <c r="J11" s="77">
        <v>4.91</v>
      </c>
      <c r="K11" s="23"/>
      <c r="L11" s="23"/>
      <c r="M11" s="23"/>
      <c r="N11" s="23"/>
      <c r="O11" s="23"/>
    </row>
    <row r="12" spans="1:15" ht="15.75" thickBot="1">
      <c r="A12" s="23"/>
      <c r="B12" s="23" t="s">
        <v>79</v>
      </c>
      <c r="C12" s="23"/>
      <c r="D12" s="23"/>
      <c r="E12" s="23"/>
      <c r="F12" s="32">
        <f>+F11*F10</f>
        <v>2047.14</v>
      </c>
      <c r="G12" s="32">
        <f>+G11*G10</f>
        <v>3616.92</v>
      </c>
      <c r="H12" s="32">
        <f>+H11*H10</f>
        <v>4299.3</v>
      </c>
      <c r="I12" s="32">
        <f>+I11*I10</f>
        <v>3922.92</v>
      </c>
      <c r="J12" s="32">
        <f>+J11*J10</f>
        <v>1517.19</v>
      </c>
      <c r="K12" s="23"/>
      <c r="L12" s="23"/>
      <c r="M12" s="23"/>
      <c r="N12" s="23"/>
      <c r="O12" s="23"/>
    </row>
    <row r="13" spans="1: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23"/>
      <c r="B14" s="56" t="s">
        <v>152</v>
      </c>
      <c r="C14" s="23"/>
      <c r="D14" s="23"/>
      <c r="E14" s="23"/>
      <c r="F14" s="79">
        <v>33</v>
      </c>
      <c r="G14" s="78">
        <v>33</v>
      </c>
      <c r="H14" s="78">
        <v>33</v>
      </c>
      <c r="I14" s="78">
        <v>33</v>
      </c>
      <c r="J14" s="78">
        <v>34</v>
      </c>
      <c r="K14" s="23"/>
      <c r="L14" s="23"/>
      <c r="M14" s="23"/>
      <c r="N14" s="23"/>
      <c r="O14" s="23"/>
    </row>
    <row r="15" spans="1:15" ht="15.75" thickBot="1">
      <c r="A15" s="96">
        <v>40816</v>
      </c>
      <c r="B15" s="23" t="s">
        <v>78</v>
      </c>
      <c r="C15" s="23"/>
      <c r="D15" s="23"/>
      <c r="E15" s="23"/>
      <c r="F15" s="77">
        <v>6</v>
      </c>
      <c r="G15" s="77">
        <v>10.6</v>
      </c>
      <c r="H15" s="77">
        <v>12.6</v>
      </c>
      <c r="I15" s="77">
        <v>11.5</v>
      </c>
      <c r="J15" s="77">
        <v>4.4000000000000004</v>
      </c>
      <c r="K15" s="23"/>
      <c r="L15" s="23"/>
      <c r="M15" s="23"/>
      <c r="N15" s="23"/>
      <c r="O15" s="23"/>
    </row>
    <row r="16" spans="1:15" ht="15.75" thickBot="1">
      <c r="A16" s="23"/>
      <c r="B16" s="23" t="s">
        <v>79</v>
      </c>
      <c r="C16" s="23"/>
      <c r="D16" s="23"/>
      <c r="E16" s="23"/>
      <c r="F16" s="32">
        <f>+F15*F14</f>
        <v>198</v>
      </c>
      <c r="G16" s="32">
        <f>+G15*G14</f>
        <v>349.8</v>
      </c>
      <c r="H16" s="32">
        <f>+H15*H14</f>
        <v>415.8</v>
      </c>
      <c r="I16" s="32">
        <f>+I15*I14</f>
        <v>379.5</v>
      </c>
      <c r="J16" s="32">
        <f>+J15*J14</f>
        <v>149.60000000000002</v>
      </c>
      <c r="K16" s="23"/>
      <c r="L16" s="23"/>
      <c r="M16" s="23"/>
      <c r="N16" s="23"/>
      <c r="O16" s="23"/>
    </row>
    <row r="17" spans="1: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>
      <c r="A18" s="23"/>
      <c r="B18" s="56" t="s">
        <v>153</v>
      </c>
      <c r="C18" s="23"/>
      <c r="D18" s="23"/>
      <c r="E18" s="23"/>
      <c r="F18" s="79">
        <v>211</v>
      </c>
      <c r="G18" s="78">
        <v>211</v>
      </c>
      <c r="H18" s="78">
        <v>211</v>
      </c>
      <c r="I18" s="78">
        <v>212</v>
      </c>
      <c r="J18" s="78">
        <v>214</v>
      </c>
      <c r="K18" s="23"/>
      <c r="L18" s="23"/>
      <c r="M18" s="23"/>
      <c r="N18" s="23"/>
      <c r="O18" s="23"/>
    </row>
    <row r="19" spans="1:15" ht="15.75" thickBot="1">
      <c r="A19" s="23"/>
      <c r="B19" s="23" t="s">
        <v>78</v>
      </c>
      <c r="C19" s="23"/>
      <c r="D19" s="23"/>
      <c r="E19" s="23"/>
      <c r="F19" s="77">
        <v>27.3</v>
      </c>
      <c r="G19" s="77">
        <v>48.23</v>
      </c>
      <c r="H19" s="77">
        <v>57.33</v>
      </c>
      <c r="I19" s="77">
        <v>52.33</v>
      </c>
      <c r="J19" s="77">
        <v>20.02</v>
      </c>
      <c r="K19" s="23"/>
      <c r="L19" s="23"/>
      <c r="M19" s="23"/>
      <c r="N19" s="23"/>
      <c r="O19" s="23"/>
    </row>
    <row r="20" spans="1:15" ht="15.75" thickBot="1">
      <c r="A20" s="23"/>
      <c r="B20" s="23" t="s">
        <v>79</v>
      </c>
      <c r="C20" s="23"/>
      <c r="D20" s="23"/>
      <c r="E20" s="23"/>
      <c r="F20" s="33">
        <f>+F19*F18</f>
        <v>5760.3</v>
      </c>
      <c r="G20" s="33">
        <f>+G19*G18</f>
        <v>10176.529999999999</v>
      </c>
      <c r="H20" s="33">
        <f>+H19*H18</f>
        <v>12096.63</v>
      </c>
      <c r="I20" s="33">
        <f>+I19*I18</f>
        <v>11093.96</v>
      </c>
      <c r="J20" s="33">
        <f>+J19*J18</f>
        <v>4284.28</v>
      </c>
      <c r="K20" s="23"/>
      <c r="L20" s="23"/>
      <c r="M20" s="23"/>
      <c r="N20" s="23"/>
      <c r="O20" s="23"/>
    </row>
    <row r="21" spans="1: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>
      <c r="A22" s="23"/>
      <c r="B22" s="56" t="s">
        <v>154</v>
      </c>
      <c r="C22" s="23"/>
      <c r="D22" s="23"/>
      <c r="E22" s="23"/>
      <c r="F22" s="79">
        <v>0</v>
      </c>
      <c r="G22" s="78">
        <v>0</v>
      </c>
      <c r="H22" s="78">
        <v>0</v>
      </c>
      <c r="I22" s="78">
        <v>0</v>
      </c>
      <c r="J22" s="78">
        <v>0</v>
      </c>
      <c r="K22" s="23"/>
      <c r="L22" s="23"/>
      <c r="M22" s="23"/>
      <c r="N22" s="23"/>
      <c r="O22" s="23"/>
    </row>
    <row r="23" spans="1:15" ht="15.75" thickBot="1">
      <c r="A23" s="23"/>
      <c r="B23" s="23" t="s">
        <v>78</v>
      </c>
      <c r="C23" s="23"/>
      <c r="D23" s="23"/>
      <c r="E23" s="23"/>
      <c r="F23" s="80">
        <v>4.76</v>
      </c>
      <c r="G23" s="80">
        <v>8.33</v>
      </c>
      <c r="H23" s="80">
        <v>9.9600000000000009</v>
      </c>
      <c r="I23" s="80">
        <v>9.0500000000000007</v>
      </c>
      <c r="J23" s="80">
        <v>3.48</v>
      </c>
      <c r="K23" s="23"/>
      <c r="L23" s="23"/>
      <c r="M23" s="23"/>
      <c r="N23" s="23"/>
      <c r="O23" s="23"/>
    </row>
    <row r="24" spans="1:15" ht="15.75" thickBot="1">
      <c r="A24" s="23"/>
      <c r="B24" s="23" t="s">
        <v>79</v>
      </c>
      <c r="C24" s="23"/>
      <c r="D24" s="23"/>
      <c r="E24" s="23"/>
      <c r="F24" s="32">
        <f>+F23*F22</f>
        <v>0</v>
      </c>
      <c r="G24" s="32">
        <f>+G23*G22</f>
        <v>0</v>
      </c>
      <c r="H24" s="32">
        <f>+H23*H22</f>
        <v>0</v>
      </c>
      <c r="I24" s="32">
        <f>+I23*I22</f>
        <v>0</v>
      </c>
      <c r="J24" s="32">
        <f>+J23*J22</f>
        <v>0</v>
      </c>
      <c r="K24" s="23"/>
      <c r="L24" s="23"/>
      <c r="M24" s="23"/>
      <c r="N24" s="23"/>
      <c r="O24" s="23"/>
    </row>
    <row r="25" spans="1:15">
      <c r="A25" s="23"/>
      <c r="B25" s="23"/>
      <c r="C25" s="23"/>
      <c r="D25" s="23"/>
      <c r="E25" s="23"/>
      <c r="F25" s="73"/>
      <c r="G25" s="73"/>
      <c r="H25" s="73"/>
      <c r="I25" s="73"/>
      <c r="J25" s="73"/>
      <c r="K25" s="23"/>
      <c r="L25" s="23"/>
      <c r="M25" s="23"/>
      <c r="N25" s="23"/>
      <c r="O25" s="23"/>
    </row>
    <row r="26" spans="1:15">
      <c r="A26" s="23"/>
      <c r="B26" s="56" t="s">
        <v>155</v>
      </c>
      <c r="C26" s="23"/>
      <c r="D26" s="23"/>
      <c r="E26" s="23"/>
      <c r="F26" s="79">
        <v>120</v>
      </c>
      <c r="G26" s="78">
        <v>120</v>
      </c>
      <c r="H26" s="78">
        <v>120</v>
      </c>
      <c r="I26" s="78">
        <v>120</v>
      </c>
      <c r="J26" s="78">
        <v>120</v>
      </c>
      <c r="K26" s="23"/>
      <c r="L26" s="23"/>
      <c r="M26" s="23"/>
      <c r="N26" s="23"/>
      <c r="O26" s="23"/>
    </row>
    <row r="27" spans="1:15" ht="15.75" thickBot="1">
      <c r="A27" s="23"/>
      <c r="B27" s="23" t="s">
        <v>78</v>
      </c>
      <c r="C27" s="23"/>
      <c r="D27" s="23"/>
      <c r="E27" s="23"/>
      <c r="F27" s="80">
        <v>225.04</v>
      </c>
      <c r="G27" s="80">
        <v>397.58</v>
      </c>
      <c r="H27" s="80">
        <v>472.59</v>
      </c>
      <c r="I27" s="80">
        <v>431.33</v>
      </c>
      <c r="J27" s="80">
        <v>165.03</v>
      </c>
      <c r="K27" s="23"/>
      <c r="L27" s="23"/>
      <c r="M27" s="23"/>
      <c r="N27" s="23"/>
      <c r="O27" s="23"/>
    </row>
    <row r="28" spans="1:15" ht="15.75" thickBot="1">
      <c r="A28" s="23"/>
      <c r="B28" s="23" t="s">
        <v>79</v>
      </c>
      <c r="C28" s="23"/>
      <c r="D28" s="23"/>
      <c r="E28" s="23"/>
      <c r="F28" s="32">
        <f>+F27*F26</f>
        <v>27004.799999999999</v>
      </c>
      <c r="G28" s="32">
        <f>+G27*G26</f>
        <v>47709.599999999999</v>
      </c>
      <c r="H28" s="32">
        <f>+H27*H26</f>
        <v>56710.799999999996</v>
      </c>
      <c r="I28" s="32">
        <f>+I27*I26</f>
        <v>51759.6</v>
      </c>
      <c r="J28" s="32">
        <f>+J27*J26</f>
        <v>19803.599999999999</v>
      </c>
      <c r="K28" s="23"/>
      <c r="L28" s="23"/>
      <c r="M28" s="23"/>
      <c r="N28" s="23"/>
      <c r="O28" s="23"/>
    </row>
    <row r="29" spans="1:15">
      <c r="A29" s="23"/>
      <c r="B29" s="23"/>
      <c r="C29" s="23"/>
      <c r="D29" s="23"/>
      <c r="E29" s="23"/>
      <c r="F29" s="73"/>
      <c r="G29" s="73"/>
      <c r="H29" s="73"/>
      <c r="I29" s="73"/>
      <c r="J29" s="73"/>
      <c r="K29" s="23"/>
      <c r="L29" s="23"/>
      <c r="M29" s="23"/>
      <c r="N29" s="23"/>
      <c r="O29" s="23"/>
    </row>
    <row r="30" spans="1:15">
      <c r="A30" s="23"/>
      <c r="B30" s="56" t="s">
        <v>156</v>
      </c>
      <c r="C30" s="23"/>
      <c r="D30" s="23"/>
      <c r="E30" s="23"/>
      <c r="F30" s="79">
        <v>1</v>
      </c>
      <c r="G30" s="78">
        <v>1</v>
      </c>
      <c r="H30" s="78">
        <v>1</v>
      </c>
      <c r="I30" s="78">
        <v>1</v>
      </c>
      <c r="J30" s="78">
        <v>1</v>
      </c>
      <c r="K30" s="23"/>
      <c r="L30" s="23"/>
      <c r="M30" s="23"/>
      <c r="N30" s="23"/>
      <c r="O30" s="23"/>
    </row>
    <row r="31" spans="1:15" ht="15.75" thickBot="1">
      <c r="A31" s="23"/>
      <c r="B31" s="23" t="s">
        <v>78</v>
      </c>
      <c r="C31" s="23"/>
      <c r="D31" s="23"/>
      <c r="E31" s="23"/>
      <c r="F31" s="80">
        <v>901</v>
      </c>
      <c r="G31" s="80">
        <v>3669</v>
      </c>
      <c r="H31" s="80">
        <v>4065</v>
      </c>
      <c r="I31" s="80">
        <v>3476.5</v>
      </c>
      <c r="J31" s="80">
        <v>1850.5</v>
      </c>
      <c r="K31" s="23"/>
      <c r="L31" s="23"/>
      <c r="M31" s="23"/>
      <c r="N31" s="23"/>
      <c r="O31" s="23"/>
    </row>
    <row r="32" spans="1:15" ht="15.75" thickBot="1">
      <c r="A32" s="23"/>
      <c r="B32" s="23" t="s">
        <v>79</v>
      </c>
      <c r="C32" s="23"/>
      <c r="D32" s="23"/>
      <c r="E32" s="23"/>
      <c r="F32" s="32">
        <f>+F31*F30</f>
        <v>901</v>
      </c>
      <c r="G32" s="32">
        <f>+G31*G30</f>
        <v>3669</v>
      </c>
      <c r="H32" s="32">
        <f>+H31*H30</f>
        <v>4065</v>
      </c>
      <c r="I32" s="32">
        <f>+I31*I30</f>
        <v>3476.5</v>
      </c>
      <c r="J32" s="32">
        <f>+J31*J30</f>
        <v>1850.5</v>
      </c>
      <c r="K32" s="23"/>
      <c r="L32" s="23"/>
      <c r="M32" s="23"/>
      <c r="N32" s="23"/>
      <c r="O32" s="23"/>
    </row>
    <row r="33" spans="1:15">
      <c r="A33" s="23"/>
      <c r="B33" s="23"/>
      <c r="C33" s="23"/>
      <c r="D33" s="23"/>
      <c r="E33" s="23"/>
      <c r="F33" s="73"/>
      <c r="G33" s="73"/>
      <c r="H33" s="73"/>
      <c r="I33" s="73"/>
      <c r="J33" s="73"/>
      <c r="K33" s="23"/>
      <c r="L33" s="23"/>
      <c r="M33" s="23"/>
      <c r="N33" s="23"/>
      <c r="O33" s="23"/>
    </row>
    <row r="34" spans="1: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6.5" thickBot="1">
      <c r="A35" s="23"/>
      <c r="B35" s="34" t="s">
        <v>160</v>
      </c>
      <c r="D35" s="34"/>
      <c r="E35" s="34"/>
      <c r="F35" s="35">
        <f>+F24+F20+F16+F12+F28+F32</f>
        <v>35911.24</v>
      </c>
      <c r="G35" s="35">
        <f>+G24+G20+G16+G12+G28+G32</f>
        <v>65521.85</v>
      </c>
      <c r="H35" s="35">
        <f>+H24+H20+H16+H12+H28+H32</f>
        <v>77587.53</v>
      </c>
      <c r="I35" s="35">
        <f>+I24+I20+I16+I12+I28+I32</f>
        <v>70632.479999999996</v>
      </c>
      <c r="J35" s="35">
        <f>+J24+J20+J16+J12+J28+J32</f>
        <v>27605.17</v>
      </c>
      <c r="K35" s="12">
        <f>SUM(F35:J35)</f>
        <v>277258.26999999996</v>
      </c>
      <c r="L35" s="23"/>
      <c r="M35" s="23"/>
      <c r="N35" s="23"/>
      <c r="O35" s="23"/>
    </row>
    <row r="36" spans="1:15" ht="16.5" thickTop="1">
      <c r="A36" s="23"/>
      <c r="B36" s="23"/>
      <c r="C36" s="30"/>
      <c r="D36" s="30"/>
      <c r="E36" s="30"/>
      <c r="F36" s="36"/>
      <c r="G36" s="36"/>
      <c r="H36" s="36"/>
      <c r="I36" s="36"/>
      <c r="J36" s="36"/>
      <c r="K36" s="23"/>
      <c r="L36" s="23"/>
      <c r="M36" s="23"/>
      <c r="N36" s="23"/>
      <c r="O36" s="23"/>
    </row>
    <row r="37" spans="1:15" ht="18">
      <c r="A37" s="38" t="s">
        <v>83</v>
      </c>
      <c r="B37" s="38"/>
      <c r="C37" s="28"/>
      <c r="D37" s="28"/>
      <c r="E37" s="30"/>
      <c r="F37" s="36"/>
      <c r="G37" s="36"/>
      <c r="H37" s="36"/>
      <c r="I37" s="36"/>
      <c r="J37" s="36"/>
      <c r="K37" s="23"/>
      <c r="L37" s="23"/>
      <c r="M37" s="23"/>
      <c r="N37" s="23"/>
      <c r="O37" s="23"/>
    </row>
    <row r="38" spans="1:15" ht="15.75">
      <c r="A38" s="23"/>
      <c r="B38" s="81" t="s">
        <v>87</v>
      </c>
      <c r="C38" s="82"/>
      <c r="D38" s="82"/>
      <c r="E38" s="30"/>
      <c r="F38" s="36"/>
      <c r="G38" s="36"/>
      <c r="H38" s="36"/>
      <c r="I38" s="36"/>
      <c r="J38" s="36"/>
      <c r="K38" s="23"/>
      <c r="L38" s="23"/>
      <c r="M38" s="23"/>
      <c r="N38" s="23"/>
      <c r="O38" s="23"/>
    </row>
    <row r="39" spans="1:15" ht="15.75">
      <c r="A39" s="23"/>
      <c r="B39" s="56" t="s">
        <v>84</v>
      </c>
      <c r="C39" s="30"/>
      <c r="D39" s="30"/>
      <c r="E39" s="30"/>
      <c r="F39" s="42">
        <v>1</v>
      </c>
      <c r="G39" s="42">
        <f>+F39</f>
        <v>1</v>
      </c>
      <c r="H39" s="42">
        <f t="shared" ref="H39:J41" si="0">+G39</f>
        <v>1</v>
      </c>
      <c r="I39" s="42">
        <f t="shared" si="0"/>
        <v>1</v>
      </c>
      <c r="J39" s="42">
        <f t="shared" si="0"/>
        <v>1</v>
      </c>
      <c r="K39" s="23"/>
      <c r="L39" s="23"/>
      <c r="M39" s="23"/>
      <c r="N39" s="23"/>
      <c r="O39" s="23"/>
    </row>
    <row r="40" spans="1:15" ht="15.75">
      <c r="A40" s="23"/>
      <c r="B40" s="56" t="s">
        <v>146</v>
      </c>
      <c r="C40" s="30"/>
      <c r="D40" s="30"/>
      <c r="E40" s="30"/>
      <c r="F40" s="42">
        <v>0.9</v>
      </c>
      <c r="G40" s="42">
        <f>+F40</f>
        <v>0.9</v>
      </c>
      <c r="H40" s="42">
        <f t="shared" si="0"/>
        <v>0.9</v>
      </c>
      <c r="I40" s="42">
        <f t="shared" si="0"/>
        <v>0.9</v>
      </c>
      <c r="J40" s="42">
        <f t="shared" si="0"/>
        <v>0.9</v>
      </c>
      <c r="K40" s="23"/>
      <c r="L40" s="23"/>
      <c r="M40" s="23"/>
      <c r="N40" s="23"/>
      <c r="O40" s="23"/>
    </row>
    <row r="41" spans="1:15" ht="15.75">
      <c r="A41" s="23"/>
      <c r="B41" s="56" t="s">
        <v>147</v>
      </c>
      <c r="C41" s="30"/>
      <c r="D41" s="30"/>
      <c r="E41" s="30"/>
      <c r="F41" s="42">
        <v>4.0999999999999996</v>
      </c>
      <c r="G41" s="42">
        <f>+F41</f>
        <v>4.0999999999999996</v>
      </c>
      <c r="H41" s="42">
        <f t="shared" si="0"/>
        <v>4.0999999999999996</v>
      </c>
      <c r="I41" s="42">
        <f t="shared" si="0"/>
        <v>4.0999999999999996</v>
      </c>
      <c r="J41" s="42">
        <f t="shared" si="0"/>
        <v>4.0999999999999996</v>
      </c>
      <c r="K41" s="23"/>
      <c r="L41" s="23"/>
      <c r="M41" s="23"/>
      <c r="N41" s="23"/>
      <c r="O41" s="23"/>
    </row>
    <row r="42" spans="1:15" ht="15.75">
      <c r="A42" s="23"/>
      <c r="B42" s="56" t="s">
        <v>148</v>
      </c>
      <c r="C42" s="30"/>
      <c r="D42" s="30"/>
      <c r="E42" s="30"/>
      <c r="F42" s="42">
        <v>0.73</v>
      </c>
      <c r="G42" s="42">
        <f t="shared" ref="F42:J44" si="1">+F42</f>
        <v>0.73</v>
      </c>
      <c r="H42" s="42">
        <f t="shared" si="1"/>
        <v>0.73</v>
      </c>
      <c r="I42" s="42">
        <f t="shared" si="1"/>
        <v>0.73</v>
      </c>
      <c r="J42" s="42">
        <f t="shared" si="1"/>
        <v>0.73</v>
      </c>
      <c r="K42" s="23"/>
      <c r="L42" s="23"/>
      <c r="M42" s="23"/>
      <c r="N42" s="23"/>
      <c r="O42" s="23"/>
    </row>
    <row r="43" spans="1:15" ht="15.75">
      <c r="A43" s="23"/>
      <c r="B43" s="56" t="s">
        <v>149</v>
      </c>
      <c r="C43" s="30"/>
      <c r="D43" s="30"/>
      <c r="E43" s="30"/>
      <c r="F43" s="42">
        <v>33.76</v>
      </c>
      <c r="G43" s="42">
        <f t="shared" si="1"/>
        <v>33.76</v>
      </c>
      <c r="H43" s="42">
        <f t="shared" si="1"/>
        <v>33.76</v>
      </c>
      <c r="I43" s="42">
        <f t="shared" si="1"/>
        <v>33.76</v>
      </c>
      <c r="J43" s="42">
        <f t="shared" si="1"/>
        <v>33.76</v>
      </c>
      <c r="K43" s="23"/>
      <c r="L43" s="23"/>
      <c r="M43" s="23"/>
      <c r="N43" s="23"/>
      <c r="O43" s="23"/>
    </row>
    <row r="44" spans="1:15" ht="15.75">
      <c r="A44" s="23"/>
      <c r="B44" s="56" t="s">
        <v>150</v>
      </c>
      <c r="C44" s="30"/>
      <c r="D44" s="30"/>
      <c r="E44" s="30"/>
      <c r="F44" s="42">
        <f t="shared" si="1"/>
        <v>0</v>
      </c>
      <c r="G44" s="42">
        <f t="shared" si="1"/>
        <v>0</v>
      </c>
      <c r="H44" s="42">
        <f t="shared" si="1"/>
        <v>0</v>
      </c>
      <c r="I44" s="42">
        <f t="shared" si="1"/>
        <v>0</v>
      </c>
      <c r="J44" s="42">
        <f t="shared" si="1"/>
        <v>0</v>
      </c>
      <c r="K44" s="23"/>
      <c r="L44" s="23"/>
      <c r="M44" s="23"/>
      <c r="N44" s="23"/>
      <c r="O44" s="23"/>
    </row>
    <row r="45" spans="1:15" ht="15.75">
      <c r="A45" s="23"/>
      <c r="B45" s="23"/>
      <c r="C45" s="30"/>
      <c r="D45" s="30"/>
      <c r="E45" s="30"/>
      <c r="F45" s="43"/>
      <c r="G45" s="43"/>
      <c r="H45" s="43"/>
      <c r="I45" s="43"/>
      <c r="J45" s="43"/>
      <c r="K45" s="23"/>
      <c r="L45" s="23"/>
      <c r="M45" s="23"/>
      <c r="N45" s="23"/>
      <c r="O45" s="23"/>
    </row>
    <row r="46" spans="1:15" ht="15.75">
      <c r="A46" s="23"/>
      <c r="B46" s="81" t="s">
        <v>85</v>
      </c>
      <c r="C46" s="30"/>
      <c r="D46" s="30"/>
      <c r="E46" s="30"/>
      <c r="F46" s="43"/>
      <c r="G46" s="43"/>
      <c r="H46" s="43"/>
      <c r="I46" s="43"/>
      <c r="J46" s="43"/>
      <c r="K46" s="23"/>
      <c r="L46" s="23"/>
      <c r="M46" s="23"/>
      <c r="N46" s="23"/>
      <c r="O46" s="23"/>
    </row>
    <row r="47" spans="1:15" ht="15.75">
      <c r="A47" s="23"/>
      <c r="B47" s="56" t="s">
        <v>84</v>
      </c>
      <c r="C47" s="30"/>
      <c r="D47" s="30"/>
      <c r="E47" s="30"/>
      <c r="F47" s="42">
        <f>+F11-F39</f>
        <v>5.69</v>
      </c>
      <c r="G47" s="42">
        <f>+G11-G39</f>
        <v>10.82</v>
      </c>
      <c r="H47" s="42">
        <f>+H11-H39</f>
        <v>13.05</v>
      </c>
      <c r="I47" s="42">
        <f>+I11-I39</f>
        <v>11.82</v>
      </c>
      <c r="J47" s="42">
        <f>+J11-J39</f>
        <v>3.91</v>
      </c>
      <c r="K47" s="23"/>
      <c r="L47" s="23"/>
      <c r="M47" s="23"/>
      <c r="N47" s="23"/>
      <c r="O47" s="23"/>
    </row>
    <row r="48" spans="1:15" ht="15.75">
      <c r="A48" s="23"/>
      <c r="B48" s="56" t="s">
        <v>146</v>
      </c>
      <c r="C48" s="30"/>
      <c r="D48" s="30"/>
      <c r="E48" s="30"/>
      <c r="F48" s="42">
        <f>+F15-F40</f>
        <v>5.0999999999999996</v>
      </c>
      <c r="G48" s="42">
        <f>+G15-G40</f>
        <v>9.6999999999999993</v>
      </c>
      <c r="H48" s="42">
        <f>+H15-H40</f>
        <v>11.7</v>
      </c>
      <c r="I48" s="42">
        <f>+I15-I40</f>
        <v>10.6</v>
      </c>
      <c r="J48" s="42">
        <f>+J15-J40</f>
        <v>3.5000000000000004</v>
      </c>
      <c r="K48" s="23"/>
      <c r="L48" s="23"/>
      <c r="M48" s="23"/>
      <c r="N48" s="23"/>
      <c r="O48" s="23"/>
    </row>
    <row r="49" spans="1:15" ht="15.75">
      <c r="A49" s="23"/>
      <c r="B49" s="56" t="s">
        <v>147</v>
      </c>
      <c r="C49" s="30"/>
      <c r="D49" s="30"/>
      <c r="E49" s="30"/>
      <c r="F49" s="42">
        <f>+F19-F41</f>
        <v>23.200000000000003</v>
      </c>
      <c r="G49" s="42">
        <f>+G19-G41</f>
        <v>44.129999999999995</v>
      </c>
      <c r="H49" s="42">
        <f>+H19-H41</f>
        <v>53.23</v>
      </c>
      <c r="I49" s="42">
        <f>+I19-I41</f>
        <v>48.23</v>
      </c>
      <c r="J49" s="42">
        <f>+J19-J41</f>
        <v>15.92</v>
      </c>
      <c r="K49" s="23"/>
      <c r="L49" s="23"/>
      <c r="M49" s="23"/>
      <c r="N49" s="23"/>
      <c r="O49" s="23"/>
    </row>
    <row r="50" spans="1:15" ht="15.75">
      <c r="A50" s="23"/>
      <c r="B50" s="56" t="s">
        <v>148</v>
      </c>
      <c r="C50" s="30"/>
      <c r="D50" s="30"/>
      <c r="E50" s="30"/>
      <c r="F50" s="42">
        <f>+F23-F42</f>
        <v>4.0299999999999994</v>
      </c>
      <c r="G50" s="42">
        <f>+G23-G42</f>
        <v>7.6</v>
      </c>
      <c r="H50" s="42">
        <f>+H23-H42</f>
        <v>9.23</v>
      </c>
      <c r="I50" s="42">
        <f>+I23-I42</f>
        <v>8.32</v>
      </c>
      <c r="J50" s="42">
        <f>+J23-J42</f>
        <v>2.75</v>
      </c>
      <c r="K50" s="23"/>
      <c r="L50" s="23"/>
      <c r="M50" s="23"/>
      <c r="N50" s="23"/>
      <c r="O50" s="23"/>
    </row>
    <row r="51" spans="1:15" ht="15.75">
      <c r="A51" s="23"/>
      <c r="B51" s="56" t="s">
        <v>149</v>
      </c>
      <c r="C51" s="30"/>
      <c r="D51" s="30"/>
      <c r="E51" s="30"/>
      <c r="F51" s="42">
        <f>+F27-F43</f>
        <v>191.28</v>
      </c>
      <c r="G51" s="42">
        <f>+G27-G43</f>
        <v>363.82</v>
      </c>
      <c r="H51" s="42">
        <f>+H27-H43</f>
        <v>438.83</v>
      </c>
      <c r="I51" s="42">
        <f>+I27-I43</f>
        <v>397.57</v>
      </c>
      <c r="J51" s="42">
        <f>+J27-J43</f>
        <v>131.27000000000001</v>
      </c>
      <c r="K51" s="23"/>
      <c r="L51" s="23"/>
      <c r="M51" s="23"/>
      <c r="N51" s="23"/>
      <c r="O51" s="23"/>
    </row>
    <row r="52" spans="1:15" ht="15.75">
      <c r="A52" s="23"/>
      <c r="B52" s="56" t="s">
        <v>150</v>
      </c>
      <c r="C52" s="30"/>
      <c r="D52" s="30"/>
      <c r="E52" s="30"/>
      <c r="F52" s="42">
        <f>+F32-F44</f>
        <v>901</v>
      </c>
      <c r="G52" s="42">
        <f>+G32-G44</f>
        <v>3669</v>
      </c>
      <c r="H52" s="42">
        <f>+H32-H44</f>
        <v>4065</v>
      </c>
      <c r="I52" s="42">
        <f>+I32-I44</f>
        <v>3476.5</v>
      </c>
      <c r="J52" s="42">
        <f>+J32-J44</f>
        <v>1850.5</v>
      </c>
      <c r="K52" s="23"/>
      <c r="L52" s="23"/>
      <c r="M52" s="23"/>
      <c r="N52" s="23"/>
      <c r="O52" s="23"/>
    </row>
    <row r="53" spans="1:15" ht="15.75">
      <c r="A53" s="23"/>
      <c r="B53" s="23"/>
      <c r="C53" s="30"/>
      <c r="D53" s="30"/>
      <c r="E53" s="30"/>
      <c r="F53" s="42"/>
      <c r="G53" s="42"/>
      <c r="H53" s="42"/>
      <c r="I53" s="42"/>
      <c r="J53" s="42"/>
      <c r="K53" s="23"/>
      <c r="L53" s="23"/>
      <c r="M53" s="23"/>
      <c r="N53" s="23"/>
      <c r="O53" s="23"/>
    </row>
    <row r="54" spans="1:15" ht="15.75">
      <c r="A54" s="23"/>
      <c r="B54" s="81" t="s">
        <v>86</v>
      </c>
      <c r="C54" s="30"/>
      <c r="D54" s="30"/>
      <c r="E54" s="30"/>
      <c r="F54" s="42"/>
      <c r="G54" s="42"/>
      <c r="H54" s="42"/>
      <c r="I54" s="42"/>
      <c r="J54" s="42"/>
      <c r="K54" s="23"/>
      <c r="L54" s="23"/>
      <c r="M54" s="23"/>
      <c r="N54" s="23"/>
      <c r="O54" s="23"/>
    </row>
    <row r="55" spans="1:15" ht="15.75">
      <c r="A55" s="23"/>
      <c r="B55" s="56" t="s">
        <v>84</v>
      </c>
      <c r="C55" s="30"/>
      <c r="D55" s="30"/>
      <c r="E55" s="30"/>
      <c r="F55" s="44">
        <f>+F47*F10</f>
        <v>1741.14</v>
      </c>
      <c r="G55" s="44">
        <f>+G47*G10</f>
        <v>3310.92</v>
      </c>
      <c r="H55" s="44">
        <f>+H47*H10</f>
        <v>3993.3</v>
      </c>
      <c r="I55" s="44">
        <f>+I47*I10</f>
        <v>3616.92</v>
      </c>
      <c r="J55" s="44">
        <f>+J47*J10</f>
        <v>1208.19</v>
      </c>
      <c r="K55" s="31"/>
      <c r="L55" s="23"/>
      <c r="M55" s="23"/>
      <c r="N55" s="23"/>
      <c r="O55" s="23"/>
    </row>
    <row r="56" spans="1:15" ht="15.75">
      <c r="A56" s="23"/>
      <c r="B56" s="56" t="s">
        <v>146</v>
      </c>
      <c r="C56" s="30"/>
      <c r="D56" s="30"/>
      <c r="E56" s="30"/>
      <c r="F56" s="44">
        <f>+F48*F14</f>
        <v>168.29999999999998</v>
      </c>
      <c r="G56" s="44">
        <f>+G48*G14</f>
        <v>320.09999999999997</v>
      </c>
      <c r="H56" s="44">
        <f>+H48*H14</f>
        <v>386.09999999999997</v>
      </c>
      <c r="I56" s="44">
        <f>+I48*I14</f>
        <v>349.8</v>
      </c>
      <c r="J56" s="44">
        <f>+J48*J14</f>
        <v>119.00000000000001</v>
      </c>
      <c r="K56" s="31"/>
      <c r="L56" s="23"/>
      <c r="M56" s="23"/>
      <c r="N56" s="23"/>
      <c r="O56" s="23"/>
    </row>
    <row r="57" spans="1:15" ht="15.75">
      <c r="A57" s="23"/>
      <c r="B57" s="56" t="s">
        <v>147</v>
      </c>
      <c r="C57" s="30"/>
      <c r="D57" s="30"/>
      <c r="E57" s="30"/>
      <c r="F57" s="44">
        <f>+F49*F18</f>
        <v>4895.2000000000007</v>
      </c>
      <c r="G57" s="44">
        <f>+G49*G18</f>
        <v>9311.4299999999985</v>
      </c>
      <c r="H57" s="44">
        <f>+H49*H18</f>
        <v>11231.529999999999</v>
      </c>
      <c r="I57" s="44">
        <f>+I49*I18</f>
        <v>10224.76</v>
      </c>
      <c r="J57" s="44">
        <f>+J49*J18</f>
        <v>3406.88</v>
      </c>
      <c r="K57" s="31"/>
      <c r="L57" s="23"/>
      <c r="M57" s="23"/>
      <c r="N57" s="23"/>
      <c r="O57" s="23"/>
    </row>
    <row r="58" spans="1:15" ht="15.75">
      <c r="A58" s="23"/>
      <c r="B58" s="56" t="s">
        <v>148</v>
      </c>
      <c r="C58" s="30"/>
      <c r="D58" s="30"/>
      <c r="E58" s="30"/>
      <c r="F58" s="44">
        <f>+F50*F22</f>
        <v>0</v>
      </c>
      <c r="G58" s="44">
        <f>+G50*G22</f>
        <v>0</v>
      </c>
      <c r="H58" s="44">
        <f>+H50*H22</f>
        <v>0</v>
      </c>
      <c r="I58" s="44">
        <f>+I50*I22</f>
        <v>0</v>
      </c>
      <c r="J58" s="44">
        <f>+J50*J22</f>
        <v>0</v>
      </c>
      <c r="K58" s="31"/>
      <c r="L58" s="23"/>
      <c r="M58" s="23"/>
      <c r="N58" s="23"/>
      <c r="O58" s="23"/>
    </row>
    <row r="59" spans="1:15" ht="15.75">
      <c r="A59" s="23"/>
      <c r="B59" s="56" t="s">
        <v>149</v>
      </c>
      <c r="C59" s="30"/>
      <c r="D59" s="30"/>
      <c r="E59" s="30"/>
      <c r="F59" s="44">
        <f>+F51*F26</f>
        <v>22953.599999999999</v>
      </c>
      <c r="G59" s="44">
        <f>+G51*G26</f>
        <v>43658.400000000001</v>
      </c>
      <c r="H59" s="44">
        <f>+H51*H26</f>
        <v>52659.6</v>
      </c>
      <c r="I59" s="44">
        <f>+I51*I26</f>
        <v>47708.4</v>
      </c>
      <c r="J59" s="44">
        <f>+J51*J26</f>
        <v>15752.400000000001</v>
      </c>
      <c r="K59" s="31"/>
      <c r="L59" s="23"/>
      <c r="M59" s="23"/>
      <c r="N59" s="23"/>
      <c r="O59" s="23"/>
    </row>
    <row r="60" spans="1:15" ht="16.5" thickBot="1">
      <c r="A60" s="23"/>
      <c r="B60" s="56" t="s">
        <v>150</v>
      </c>
      <c r="C60" s="30"/>
      <c r="D60" s="30"/>
      <c r="E60" s="30"/>
      <c r="F60" s="44">
        <f>+F52*F30</f>
        <v>901</v>
      </c>
      <c r="G60" s="44">
        <f>+G52*G30</f>
        <v>3669</v>
      </c>
      <c r="H60" s="44">
        <f>+H52*H30</f>
        <v>4065</v>
      </c>
      <c r="I60" s="44">
        <f>+I52*I30</f>
        <v>3476.5</v>
      </c>
      <c r="J60" s="44">
        <f>+J52*J30</f>
        <v>1850.5</v>
      </c>
      <c r="K60" s="31"/>
      <c r="L60" s="23"/>
      <c r="M60" s="23"/>
      <c r="N60" s="23"/>
      <c r="O60" s="23"/>
    </row>
    <row r="61" spans="1:15" ht="16.5" thickBot="1">
      <c r="A61" s="23"/>
      <c r="B61" s="34" t="s">
        <v>94</v>
      </c>
      <c r="D61" s="30"/>
      <c r="E61" s="30"/>
      <c r="F61" s="45">
        <f>SUM(F55:F60)</f>
        <v>30659.239999999998</v>
      </c>
      <c r="G61" s="45">
        <f>SUM(G55:G60)</f>
        <v>60269.85</v>
      </c>
      <c r="H61" s="45">
        <f>SUM(H55:H60)</f>
        <v>72335.53</v>
      </c>
      <c r="I61" s="45">
        <f>SUM(I55:I60)</f>
        <v>65376.380000000005</v>
      </c>
      <c r="J61" s="45">
        <f>SUM(J55:J60)</f>
        <v>22336.97</v>
      </c>
      <c r="K61" s="12">
        <f>SUM(F61:J61)</f>
        <v>250977.97</v>
      </c>
      <c r="L61" s="23"/>
      <c r="M61" s="23"/>
      <c r="N61" s="23"/>
      <c r="O61" s="23"/>
    </row>
    <row r="62" spans="1:15" ht="16.5" thickTop="1">
      <c r="A62" s="23"/>
      <c r="B62" s="34"/>
      <c r="D62" s="30"/>
      <c r="E62" s="30"/>
      <c r="F62" s="44"/>
      <c r="G62" s="44"/>
      <c r="H62" s="44"/>
      <c r="I62" s="44"/>
      <c r="J62" s="44"/>
      <c r="K62" s="12"/>
      <c r="L62" s="23"/>
      <c r="M62" s="23"/>
      <c r="N62" s="23"/>
      <c r="O62" s="23"/>
    </row>
    <row r="63" spans="1:15">
      <c r="B63" s="23" t="s">
        <v>88</v>
      </c>
      <c r="L63" s="23"/>
      <c r="M63" s="23"/>
      <c r="N63" s="23"/>
      <c r="O63" s="23"/>
    </row>
    <row r="64" spans="1:15">
      <c r="B64" s="23" t="s">
        <v>95</v>
      </c>
      <c r="F64" s="10">
        <f t="shared" ref="F64:K64" si="2">+F61</f>
        <v>30659.239999999998</v>
      </c>
      <c r="G64" s="10">
        <f t="shared" si="2"/>
        <v>60269.85</v>
      </c>
      <c r="H64" s="10">
        <f t="shared" si="2"/>
        <v>72335.53</v>
      </c>
      <c r="I64" s="10">
        <f t="shared" si="2"/>
        <v>65376.380000000005</v>
      </c>
      <c r="J64" s="10">
        <f t="shared" si="2"/>
        <v>22336.97</v>
      </c>
      <c r="K64" s="10">
        <f t="shared" si="2"/>
        <v>250977.97</v>
      </c>
      <c r="L64" s="23"/>
      <c r="M64" s="23"/>
      <c r="N64" s="23"/>
      <c r="O64" s="23"/>
    </row>
    <row r="65" spans="1:15" ht="15.75" thickBot="1">
      <c r="B65" s="23" t="s">
        <v>96</v>
      </c>
      <c r="F65" s="13">
        <f>+F39*F10+F40*F14+F41*F18+F42*F22+F43*F26+F44</f>
        <v>5252</v>
      </c>
      <c r="G65" s="13">
        <f>+G39*G10+G40*G14+G41*G18+G42*G22+G43*G26+G44</f>
        <v>5252</v>
      </c>
      <c r="H65" s="13">
        <f>+H39*H10+H40*H14+H41*H18+H42*H22+H43*H26+H44</f>
        <v>5252</v>
      </c>
      <c r="I65" s="13">
        <f>+I39*I10+I40*I14+I41*I18+I42*I22+I43*I26+I44</f>
        <v>5256.0999999999995</v>
      </c>
      <c r="J65" s="13">
        <f>+J39*J10+J40*J14+J41*J18+J42*J22+J43*J26+J44</f>
        <v>5268.2</v>
      </c>
      <c r="K65" s="13">
        <f>SUM(F65:J65)</f>
        <v>26280.3</v>
      </c>
      <c r="L65" s="23"/>
      <c r="M65" s="23"/>
      <c r="N65" s="23"/>
      <c r="O65" s="23"/>
    </row>
    <row r="66" spans="1:15" ht="15.75" thickBot="1">
      <c r="F66" s="46">
        <f t="shared" ref="F66:K66" si="3">+F65+F64</f>
        <v>35911.24</v>
      </c>
      <c r="G66" s="46">
        <f t="shared" si="3"/>
        <v>65521.85</v>
      </c>
      <c r="H66" s="46">
        <f t="shared" si="3"/>
        <v>77587.53</v>
      </c>
      <c r="I66" s="46">
        <f t="shared" si="3"/>
        <v>70632.48000000001</v>
      </c>
      <c r="J66" s="46">
        <f t="shared" si="3"/>
        <v>27605.170000000002</v>
      </c>
      <c r="K66" s="46">
        <f t="shared" si="3"/>
        <v>277258.27</v>
      </c>
      <c r="L66" s="23"/>
      <c r="M66" s="23"/>
      <c r="N66" s="23"/>
      <c r="O66" s="23"/>
    </row>
    <row r="67" spans="1:15" ht="15.75" thickTop="1">
      <c r="F67" s="10"/>
      <c r="G67" s="10"/>
      <c r="H67" s="10"/>
      <c r="I67" s="10"/>
      <c r="J67" s="10"/>
      <c r="K67" s="10"/>
      <c r="L67" s="23"/>
      <c r="M67" s="23"/>
      <c r="N67" s="23"/>
      <c r="O67" s="23"/>
    </row>
    <row r="68" spans="1:15" ht="18">
      <c r="A68" s="38" t="s">
        <v>80</v>
      </c>
      <c r="B68" s="38"/>
      <c r="C68" s="28"/>
      <c r="D68" s="28"/>
      <c r="E68" s="39"/>
      <c r="F68" s="36"/>
      <c r="G68" s="36"/>
      <c r="H68" s="36"/>
      <c r="I68" s="36"/>
      <c r="J68" s="36"/>
      <c r="K68" s="23"/>
      <c r="L68" s="23"/>
      <c r="M68" s="24" t="s">
        <v>62</v>
      </c>
      <c r="O68" s="23"/>
    </row>
    <row r="69" spans="1: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4" t="s">
        <v>93</v>
      </c>
      <c r="O69" s="23"/>
    </row>
    <row r="70" spans="1:15">
      <c r="A70" s="23"/>
      <c r="B70" s="23" t="s">
        <v>81</v>
      </c>
      <c r="C70" s="23"/>
      <c r="D70" s="23"/>
      <c r="E70" s="23"/>
      <c r="F70" s="37">
        <f ca="1">+'30 year normals'!L40</f>
        <v>578</v>
      </c>
      <c r="G70" s="37">
        <f ca="1">+'30 year normals'!M40</f>
        <v>899</v>
      </c>
      <c r="H70" s="37">
        <f ca="1">+'30 year normals'!B40</f>
        <v>1034</v>
      </c>
      <c r="I70" s="37">
        <f ca="1">+'30 year normals'!C40</f>
        <v>790</v>
      </c>
      <c r="J70" s="37">
        <f ca="1">+'30 year normals'!D40</f>
        <v>581</v>
      </c>
      <c r="K70" s="31">
        <f ca="1">+'30 year normals'!N43</f>
        <v>3882</v>
      </c>
      <c r="L70" s="23"/>
      <c r="M70" s="37">
        <f>SUM(F70:J70)</f>
        <v>3882</v>
      </c>
      <c r="O70" s="23"/>
    </row>
    <row r="71" spans="1:15">
      <c r="B71" s="23" t="s">
        <v>82</v>
      </c>
      <c r="F71" s="9">
        <f ca="1">+'Springfield monthly HDD''s'!F59*2</f>
        <v>212.72821229844496</v>
      </c>
      <c r="G71" s="9">
        <f ca="1">+'Springfield monthly HDD''s'!G59*2</f>
        <v>294.51567804683123</v>
      </c>
      <c r="H71" s="9">
        <f ca="1">+'Springfield monthly HDD''s'!H59*2</f>
        <v>340.34211671530812</v>
      </c>
      <c r="I71" s="9">
        <f ca="1">+'Springfield monthly HDD''s'!I59*2</f>
        <v>281.25841297958516</v>
      </c>
      <c r="J71" s="9">
        <f ca="1">+'Springfield monthly HDD''s'!J59*2</f>
        <v>213.01785166554743</v>
      </c>
      <c r="K71" s="9">
        <f ca="1">+'Springfield monthly HDD''s'!L59*2</f>
        <v>747.07517041888616</v>
      </c>
      <c r="M71" s="37">
        <f>SUM(F71:J71)</f>
        <v>1341.8622717057169</v>
      </c>
    </row>
    <row r="72" spans="1:15">
      <c r="B72" s="23" t="s">
        <v>89</v>
      </c>
      <c r="F72" s="40">
        <f t="shared" ref="F72:K72" si="4">+F71/F70</f>
        <v>0.36804188978969715</v>
      </c>
      <c r="G72" s="40">
        <f t="shared" si="4"/>
        <v>0.32760364632572997</v>
      </c>
      <c r="H72" s="40">
        <f t="shared" si="4"/>
        <v>0.32915098328366355</v>
      </c>
      <c r="I72" s="40">
        <f t="shared" si="4"/>
        <v>0.35602330756909512</v>
      </c>
      <c r="J72" s="40">
        <f t="shared" si="4"/>
        <v>0.36664002007839486</v>
      </c>
      <c r="K72" s="40">
        <f t="shared" si="4"/>
        <v>0.19244594807287124</v>
      </c>
    </row>
    <row r="73" spans="1:15" ht="15.75" thickBot="1">
      <c r="B73" s="23"/>
      <c r="F73" s="40"/>
      <c r="G73" s="40"/>
      <c r="H73" s="40"/>
      <c r="I73" s="40"/>
      <c r="J73" s="40"/>
    </row>
    <row r="74" spans="1:15" ht="15.75">
      <c r="B74" s="47" t="s">
        <v>90</v>
      </c>
      <c r="C74" s="48"/>
      <c r="D74" s="48"/>
      <c r="E74" s="48"/>
      <c r="F74" s="49">
        <f t="shared" ref="F74:K74" si="5">+(1-F72)*F61+F65</f>
        <v>24627.355370884125</v>
      </c>
      <c r="G74" s="49">
        <f t="shared" si="5"/>
        <v>45777.227376495204</v>
      </c>
      <c r="H74" s="49">
        <f t="shared" si="5"/>
        <v>53778.219174155056</v>
      </c>
      <c r="I74" s="49">
        <f t="shared" si="5"/>
        <v>47356.964955505966</v>
      </c>
      <c r="J74" s="49">
        <f t="shared" si="5"/>
        <v>19415.542870709498</v>
      </c>
      <c r="K74" s="50">
        <f t="shared" si="5"/>
        <v>228958.57661794533</v>
      </c>
      <c r="M74" s="37">
        <f>SUM(F74:J74)</f>
        <v>190955.30974774985</v>
      </c>
    </row>
    <row r="75" spans="1:15" ht="16.5" thickBot="1">
      <c r="B75" s="51" t="s">
        <v>91</v>
      </c>
      <c r="C75" s="52"/>
      <c r="D75" s="52"/>
      <c r="E75" s="52"/>
      <c r="F75" s="53">
        <f t="shared" ref="F75:K75" si="6">+(1+F72)*F61+F65</f>
        <v>47195.124629115868</v>
      </c>
      <c r="G75" s="53">
        <f t="shared" si="6"/>
        <v>85266.472623504786</v>
      </c>
      <c r="H75" s="53">
        <f t="shared" si="6"/>
        <v>101396.84082584495</v>
      </c>
      <c r="I75" s="53">
        <f t="shared" si="6"/>
        <v>93907.995044494048</v>
      </c>
      <c r="J75" s="53">
        <f t="shared" si="6"/>
        <v>35794.797129290506</v>
      </c>
      <c r="K75" s="54">
        <f t="shared" si="6"/>
        <v>325557.96338205464</v>
      </c>
      <c r="M75" s="37">
        <f>SUM(F75:J75)</f>
        <v>363561.23025225016</v>
      </c>
    </row>
    <row r="77" spans="1:15">
      <c r="A77" s="56" t="s">
        <v>143</v>
      </c>
    </row>
    <row r="78" spans="1:15">
      <c r="A78" s="56" t="s">
        <v>144</v>
      </c>
    </row>
    <row r="79" spans="1:15">
      <c r="A79" s="92" t="s">
        <v>162</v>
      </c>
    </row>
    <row r="81" spans="2:2">
      <c r="B81" s="74" t="s">
        <v>145</v>
      </c>
    </row>
  </sheetData>
  <phoneticPr fontId="0" type="noConversion"/>
  <pageMargins left="0.7" right="0.7" top="0.75" bottom="0.75" header="0.3" footer="0.3"/>
  <pageSetup scale="53" orientation="portrait" r:id="rId1"/>
  <headerFooter>
    <oddHeader>&amp;RAppendix 2--SMNG Winter Sensitivity Analysis</oddHeader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tabSelected="1" topLeftCell="A32" workbookViewId="0">
      <selection activeCell="F18" sqref="F18"/>
    </sheetView>
  </sheetViews>
  <sheetFormatPr defaultRowHeight="15"/>
  <cols>
    <col min="1" max="1" width="13.44140625" customWidth="1"/>
    <col min="2" max="2" width="9.21875" bestFit="1" customWidth="1"/>
    <col min="3" max="12" width="8.77734375" bestFit="1" customWidth="1"/>
    <col min="13" max="14" width="9.21875" bestFit="1" customWidth="1"/>
  </cols>
  <sheetData>
    <row r="1" spans="1:14" ht="18">
      <c r="A1" s="11" t="s">
        <v>102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">
      <c r="A2" s="11" t="s">
        <v>74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8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8" hidden="1">
      <c r="A4" s="97" t="s">
        <v>73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idden="1"/>
    <row r="6" spans="1:14" s="8" customFormat="1" ht="15.75" hidden="1">
      <c r="A6" s="7" t="s">
        <v>1</v>
      </c>
      <c r="B6" s="7"/>
      <c r="G6" s="7" t="s">
        <v>2</v>
      </c>
      <c r="I6" s="7" t="s">
        <v>3</v>
      </c>
    </row>
    <row r="7" spans="1:14" s="8" customFormat="1" ht="15.75" hidden="1">
      <c r="A7" s="7" t="s">
        <v>4</v>
      </c>
      <c r="F7" s="7" t="s">
        <v>5</v>
      </c>
      <c r="I7" s="7" t="s">
        <v>6</v>
      </c>
    </row>
    <row r="8" spans="1:14" s="8" customFormat="1" ht="15" hidden="1" customHeight="1">
      <c r="A8" s="7" t="s">
        <v>42</v>
      </c>
      <c r="B8" s="7"/>
      <c r="D8" s="7"/>
      <c r="G8" s="7" t="s">
        <v>43</v>
      </c>
    </row>
    <row r="9" spans="1:14" s="8" customFormat="1" ht="17.45" hidden="1" customHeight="1">
      <c r="A9" s="7" t="s">
        <v>44</v>
      </c>
      <c r="B9" s="7"/>
    </row>
    <row r="10" spans="1:14" ht="15" hidden="1" customHeight="1">
      <c r="A10" s="98"/>
      <c r="B10" s="98"/>
      <c r="C10" s="98"/>
      <c r="D10" s="98"/>
      <c r="E10" s="100"/>
    </row>
    <row r="11" spans="1:14" ht="15" hidden="1" customHeight="1">
      <c r="A11" s="99"/>
      <c r="B11" s="99"/>
      <c r="C11" s="99"/>
      <c r="D11" s="99"/>
      <c r="E11" s="100"/>
    </row>
    <row r="12" spans="1:14" ht="15.75" hidden="1">
      <c r="A12" s="5" t="s">
        <v>45</v>
      </c>
      <c r="B12" s="4" t="s">
        <v>46</v>
      </c>
      <c r="C12" s="4" t="s">
        <v>47</v>
      </c>
      <c r="D12" s="4" t="s">
        <v>48</v>
      </c>
      <c r="E12" s="4" t="s">
        <v>49</v>
      </c>
      <c r="F12" s="4" t="s">
        <v>50</v>
      </c>
      <c r="G12" s="4" t="s">
        <v>51</v>
      </c>
      <c r="H12" s="4" t="s">
        <v>52</v>
      </c>
      <c r="I12" s="4" t="s">
        <v>53</v>
      </c>
      <c r="J12" s="4" t="s">
        <v>54</v>
      </c>
      <c r="K12" s="4" t="s">
        <v>55</v>
      </c>
      <c r="L12" s="4" t="s">
        <v>56</v>
      </c>
      <c r="M12" s="4" t="s">
        <v>57</v>
      </c>
      <c r="N12" s="4" t="s">
        <v>58</v>
      </c>
    </row>
    <row r="13" spans="1:14" ht="19.149999999999999" hidden="1" customHeight="1">
      <c r="A13" s="6" t="s">
        <v>59</v>
      </c>
      <c r="B13" s="18">
        <v>1199</v>
      </c>
      <c r="C13" s="18">
        <v>917</v>
      </c>
      <c r="D13" s="18">
        <v>668</v>
      </c>
      <c r="E13" s="18">
        <v>343</v>
      </c>
      <c r="F13" s="18">
        <v>113</v>
      </c>
      <c r="G13" s="18">
        <v>9</v>
      </c>
      <c r="H13" s="18">
        <v>0</v>
      </c>
      <c r="I13" s="18">
        <v>10</v>
      </c>
      <c r="J13" s="18">
        <v>62</v>
      </c>
      <c r="K13" s="18">
        <v>270</v>
      </c>
      <c r="L13" s="18">
        <v>683</v>
      </c>
      <c r="M13" s="18">
        <v>1071</v>
      </c>
      <c r="N13" s="18">
        <v>5345</v>
      </c>
    </row>
    <row r="14" spans="1:14" ht="15.75" hidden="1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63</v>
      </c>
      <c r="M14" s="16"/>
      <c r="N14" s="22">
        <f>+B13+C13+D13+L13+M13</f>
        <v>4538</v>
      </c>
    </row>
    <row r="15" spans="1:14" ht="15.75" hidden="1">
      <c r="A15" s="95">
        <v>40816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  <c r="N15" s="17"/>
    </row>
    <row r="16" spans="1:14" ht="15.75" hidden="1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7"/>
    </row>
    <row r="17" spans="1:14" ht="15.6" hidden="1" customHeight="1">
      <c r="A17" s="97" t="s">
        <v>72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s="8" customFormat="1" ht="15" hidden="1" customHeight="1"/>
    <row r="19" spans="1:14" s="8" customFormat="1" ht="15" hidden="1" customHeight="1">
      <c r="A19" s="7" t="s">
        <v>66</v>
      </c>
      <c r="B19" s="7"/>
      <c r="G19" s="7" t="s">
        <v>2</v>
      </c>
      <c r="I19" s="7" t="s">
        <v>67</v>
      </c>
    </row>
    <row r="20" spans="1:14" s="8" customFormat="1" ht="15" hidden="1" customHeight="1">
      <c r="A20" s="7" t="s">
        <v>68</v>
      </c>
      <c r="F20" s="7" t="s">
        <v>69</v>
      </c>
      <c r="I20" s="7" t="s">
        <v>70</v>
      </c>
    </row>
    <row r="21" spans="1:14" s="8" customFormat="1" ht="15" hidden="1" customHeight="1">
      <c r="A21" s="7" t="s">
        <v>42</v>
      </c>
      <c r="B21" s="7"/>
      <c r="G21" s="7" t="s">
        <v>71</v>
      </c>
    </row>
    <row r="22" spans="1:14" s="8" customFormat="1" ht="15" hidden="1" customHeight="1">
      <c r="A22" s="7" t="s">
        <v>44</v>
      </c>
      <c r="B22" s="7"/>
    </row>
    <row r="23" spans="1:14" hidden="1">
      <c r="A23" s="98"/>
      <c r="B23" s="98"/>
      <c r="C23" s="98"/>
      <c r="D23" s="98"/>
      <c r="E23" s="100"/>
    </row>
    <row r="24" spans="1:14" hidden="1">
      <c r="A24" s="99"/>
      <c r="B24" s="99"/>
      <c r="C24" s="99"/>
      <c r="D24" s="99"/>
      <c r="E24" s="100"/>
    </row>
    <row r="25" spans="1:14" ht="15.75" hidden="1">
      <c r="A25" s="5" t="s">
        <v>45</v>
      </c>
      <c r="B25" s="4" t="s">
        <v>46</v>
      </c>
      <c r="C25" s="4" t="s">
        <v>47</v>
      </c>
      <c r="D25" s="4" t="s">
        <v>48</v>
      </c>
      <c r="E25" s="4" t="s">
        <v>49</v>
      </c>
      <c r="F25" s="4" t="s">
        <v>50</v>
      </c>
      <c r="G25" s="4" t="s">
        <v>51</v>
      </c>
      <c r="H25" s="4" t="s">
        <v>52</v>
      </c>
      <c r="I25" s="4" t="s">
        <v>53</v>
      </c>
      <c r="J25" s="4" t="s">
        <v>54</v>
      </c>
      <c r="K25" s="4" t="s">
        <v>55</v>
      </c>
      <c r="L25" s="4" t="s">
        <v>56</v>
      </c>
      <c r="M25" s="4" t="s">
        <v>57</v>
      </c>
      <c r="N25" s="4" t="s">
        <v>58</v>
      </c>
    </row>
    <row r="26" spans="1:14" ht="19.149999999999999" hidden="1" customHeight="1">
      <c r="A26" s="6" t="s">
        <v>59</v>
      </c>
      <c r="B26" s="18">
        <v>1075</v>
      </c>
      <c r="C26" s="18">
        <v>832</v>
      </c>
      <c r="D26" s="18">
        <v>619</v>
      </c>
      <c r="E26" s="18">
        <v>299</v>
      </c>
      <c r="F26" s="18">
        <v>122</v>
      </c>
      <c r="G26" s="18">
        <v>7</v>
      </c>
      <c r="H26" s="18">
        <v>0</v>
      </c>
      <c r="I26" s="18">
        <v>2</v>
      </c>
      <c r="J26" s="18">
        <v>44</v>
      </c>
      <c r="K26" s="18">
        <v>246</v>
      </c>
      <c r="L26" s="18">
        <v>563</v>
      </c>
      <c r="M26" s="18">
        <v>919</v>
      </c>
      <c r="N26" s="18">
        <v>4728</v>
      </c>
    </row>
    <row r="27" spans="1:14" ht="15.75" hidden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 t="s">
        <v>63</v>
      </c>
      <c r="M27" s="21"/>
      <c r="N27" s="22">
        <f>+B26+C26+D26+L26+M26</f>
        <v>4008</v>
      </c>
    </row>
    <row r="28" spans="1:14" hidden="1"/>
    <row r="31" spans="1:14" ht="18">
      <c r="A31" s="97" t="s">
        <v>110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3" spans="1:14" ht="18" customHeight="1">
      <c r="A33" s="63" t="s">
        <v>104</v>
      </c>
      <c r="B33" s="63"/>
      <c r="C33" s="8"/>
      <c r="D33" s="8"/>
      <c r="E33" s="8"/>
      <c r="F33" s="8"/>
      <c r="G33" s="63" t="s">
        <v>2</v>
      </c>
      <c r="H33" s="8"/>
      <c r="I33" s="63" t="s">
        <v>105</v>
      </c>
      <c r="J33" s="8"/>
    </row>
    <row r="34" spans="1:14" ht="15.75">
      <c r="A34" s="63" t="s">
        <v>106</v>
      </c>
      <c r="D34" s="8"/>
      <c r="E34" s="8"/>
      <c r="F34" s="63" t="s">
        <v>107</v>
      </c>
      <c r="G34" s="8"/>
      <c r="H34" s="8"/>
      <c r="I34" s="63" t="s">
        <v>108</v>
      </c>
      <c r="J34" s="8"/>
    </row>
    <row r="35" spans="1:14" ht="18" customHeight="1">
      <c r="A35" s="63" t="s">
        <v>42</v>
      </c>
      <c r="B35" s="63"/>
      <c r="D35" s="63"/>
      <c r="E35" s="8"/>
      <c r="F35" s="8"/>
      <c r="G35" s="63" t="s">
        <v>109</v>
      </c>
      <c r="H35" s="8"/>
      <c r="I35" s="8"/>
      <c r="J35" s="8"/>
    </row>
    <row r="36" spans="1:14" ht="18" customHeight="1">
      <c r="A36" s="63" t="s">
        <v>44</v>
      </c>
      <c r="B36" s="63"/>
      <c r="C36" s="8"/>
      <c r="D36" s="8"/>
      <c r="E36" s="8"/>
      <c r="F36" s="8"/>
      <c r="G36" s="8"/>
      <c r="H36" s="8"/>
      <c r="I36" s="8"/>
      <c r="J36" s="8"/>
    </row>
    <row r="37" spans="1:14">
      <c r="A37" s="98"/>
      <c r="B37" s="98"/>
      <c r="C37" s="98"/>
      <c r="D37" s="98"/>
      <c r="E37" s="100"/>
    </row>
    <row r="38" spans="1:14">
      <c r="A38" s="99"/>
      <c r="B38" s="99"/>
      <c r="C38" s="99"/>
      <c r="D38" s="99"/>
      <c r="E38" s="100"/>
    </row>
    <row r="39" spans="1:14" ht="15.75">
      <c r="A39" s="60" t="s">
        <v>45</v>
      </c>
      <c r="B39" s="61" t="s">
        <v>46</v>
      </c>
      <c r="C39" s="61" t="s">
        <v>47</v>
      </c>
      <c r="D39" s="61" t="s">
        <v>48</v>
      </c>
      <c r="E39" s="61" t="s">
        <v>49</v>
      </c>
      <c r="F39" s="61" t="s">
        <v>50</v>
      </c>
      <c r="G39" s="61" t="s">
        <v>51</v>
      </c>
      <c r="H39" s="61" t="s">
        <v>52</v>
      </c>
      <c r="I39" s="61" t="s">
        <v>53</v>
      </c>
      <c r="J39" s="61" t="s">
        <v>54</v>
      </c>
      <c r="K39" s="61" t="s">
        <v>55</v>
      </c>
      <c r="L39" s="61" t="s">
        <v>56</v>
      </c>
      <c r="M39" s="61" t="s">
        <v>57</v>
      </c>
      <c r="N39" s="61" t="s">
        <v>58</v>
      </c>
    </row>
    <row r="40" spans="1:14" ht="31.5">
      <c r="A40" s="62" t="s">
        <v>59</v>
      </c>
      <c r="B40" s="3">
        <v>1034</v>
      </c>
      <c r="C40" s="3">
        <v>790</v>
      </c>
      <c r="D40" s="3">
        <v>581</v>
      </c>
      <c r="E40" s="3">
        <v>300</v>
      </c>
      <c r="F40" s="3">
        <v>100</v>
      </c>
      <c r="G40" s="3">
        <v>8</v>
      </c>
      <c r="H40" s="3">
        <v>1</v>
      </c>
      <c r="I40" s="3">
        <v>1</v>
      </c>
      <c r="J40" s="3">
        <v>62</v>
      </c>
      <c r="K40" s="3">
        <v>248</v>
      </c>
      <c r="L40" s="3">
        <v>578</v>
      </c>
      <c r="M40" s="3">
        <v>899</v>
      </c>
      <c r="N40" s="3">
        <v>4602</v>
      </c>
    </row>
    <row r="41" spans="1:14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</row>
    <row r="42" spans="1:14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</row>
    <row r="43" spans="1:14" ht="15.75">
      <c r="L43" s="64" t="s">
        <v>111</v>
      </c>
      <c r="M43" s="21"/>
      <c r="N43" s="22">
        <f>+B40+C40+D40+L40+M40</f>
        <v>3882</v>
      </c>
    </row>
  </sheetData>
  <mergeCells count="10">
    <mergeCell ref="A17:N17"/>
    <mergeCell ref="A4:N4"/>
    <mergeCell ref="A10:D11"/>
    <mergeCell ref="E10:E11"/>
    <mergeCell ref="A41:N42"/>
    <mergeCell ref="A31:N31"/>
    <mergeCell ref="A37:D38"/>
    <mergeCell ref="A23:D24"/>
    <mergeCell ref="E23:E24"/>
    <mergeCell ref="E37:E38"/>
  </mergeCells>
  <phoneticPr fontId="4" type="noConversion"/>
  <pageMargins left="0.75" right="0.75" top="1" bottom="1" header="0.5" footer="0.5"/>
  <pageSetup scale="78" orientation="landscape" r:id="rId1"/>
  <headerFooter alignWithMargins="0">
    <oddHeader>&amp;RAppendix 2--SMNG Winter Sensitivity Analysis</oddHeader>
    <oddFooter>&amp;L&amp;F&amp;C&amp;A&amp;R&amp;D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tabSelected="1" topLeftCell="A45" workbookViewId="0">
      <selection activeCell="F18" sqref="F18"/>
    </sheetView>
  </sheetViews>
  <sheetFormatPr defaultRowHeight="15"/>
  <cols>
    <col min="1" max="1" width="12.21875" customWidth="1"/>
    <col min="11" max="11" width="1.77734375" customWidth="1"/>
  </cols>
  <sheetData>
    <row r="1" spans="1:14" ht="17.25">
      <c r="A1" s="1" t="s">
        <v>0</v>
      </c>
    </row>
    <row r="3" spans="1:14" ht="15.4" customHeight="1">
      <c r="A3" s="7" t="s">
        <v>112</v>
      </c>
      <c r="B3" s="7"/>
      <c r="C3" s="8"/>
      <c r="D3" s="8"/>
      <c r="E3" s="8"/>
      <c r="F3" s="7" t="s">
        <v>113</v>
      </c>
      <c r="G3" s="8"/>
      <c r="H3" s="8"/>
      <c r="I3" s="7" t="s">
        <v>114</v>
      </c>
      <c r="J3" s="8"/>
      <c r="K3" s="8"/>
      <c r="L3" s="8"/>
    </row>
    <row r="4" spans="1:14" ht="15.4" customHeight="1">
      <c r="A4" s="7" t="s">
        <v>115</v>
      </c>
      <c r="B4" s="8"/>
      <c r="C4" s="8"/>
      <c r="D4" s="8"/>
      <c r="E4" s="8"/>
      <c r="F4" s="7" t="s">
        <v>116</v>
      </c>
      <c r="G4" s="8"/>
      <c r="H4" s="8"/>
      <c r="I4" s="7" t="s">
        <v>117</v>
      </c>
      <c r="J4" s="8"/>
      <c r="K4" s="8"/>
      <c r="L4" s="8"/>
    </row>
    <row r="5" spans="1:14" ht="15.4" customHeight="1">
      <c r="A5" s="7" t="s">
        <v>118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4" ht="15.4" customHeight="1">
      <c r="A6" s="7" t="s">
        <v>119</v>
      </c>
      <c r="B6" s="7"/>
      <c r="C6" s="8"/>
      <c r="D6" s="8"/>
      <c r="E6" s="8"/>
      <c r="F6" s="8"/>
      <c r="G6" s="8"/>
      <c r="H6" s="7" t="s">
        <v>120</v>
      </c>
      <c r="I6" s="7"/>
      <c r="J6" s="8"/>
      <c r="K6" s="8"/>
      <c r="L6" s="8"/>
    </row>
    <row r="7" spans="1:14" ht="15.4" customHeight="1">
      <c r="A7" s="7" t="s">
        <v>121</v>
      </c>
      <c r="B7" s="8"/>
      <c r="C7" s="8"/>
      <c r="D7" s="8"/>
      <c r="E7" s="7" t="s">
        <v>122</v>
      </c>
      <c r="F7" s="8"/>
      <c r="G7" s="8"/>
      <c r="H7" s="7" t="s">
        <v>123</v>
      </c>
      <c r="I7" s="8"/>
      <c r="J7" s="8"/>
      <c r="K7" s="8"/>
      <c r="L7" s="8"/>
    </row>
    <row r="8" spans="1:14" ht="15.4" customHeight="1">
      <c r="A8" s="7" t="s">
        <v>124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</row>
    <row r="9" spans="1:14" ht="31.15" customHeight="1">
      <c r="A9" s="7" t="s">
        <v>125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</row>
    <row r="10" spans="1:14">
      <c r="A10" s="98"/>
      <c r="B10" s="98"/>
      <c r="C10" s="98"/>
      <c r="D10" s="98"/>
      <c r="E10" s="100"/>
    </row>
    <row r="11" spans="1:14">
      <c r="A11" s="99"/>
      <c r="B11" s="99"/>
      <c r="C11" s="99"/>
      <c r="D11" s="99"/>
      <c r="E11" s="100"/>
    </row>
    <row r="12" spans="1:14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68" t="s">
        <v>137</v>
      </c>
      <c r="M12" s="3"/>
    </row>
    <row r="13" spans="1:14" ht="15.75">
      <c r="A13" s="4" t="s">
        <v>126</v>
      </c>
      <c r="B13" s="4"/>
      <c r="C13" s="4"/>
      <c r="D13" s="4"/>
      <c r="E13" s="4"/>
      <c r="F13" s="4" t="s">
        <v>56</v>
      </c>
      <c r="G13" s="4" t="s">
        <v>57</v>
      </c>
      <c r="H13" s="4" t="s">
        <v>46</v>
      </c>
      <c r="I13" s="4" t="s">
        <v>47</v>
      </c>
      <c r="J13" s="4" t="s">
        <v>48</v>
      </c>
      <c r="K13" s="4"/>
      <c r="L13" s="4" t="s">
        <v>138</v>
      </c>
      <c r="M13" s="4"/>
    </row>
    <row r="14" spans="1:14" ht="15.4" customHeight="1">
      <c r="A14" s="65"/>
      <c r="B14" s="65"/>
      <c r="C14" s="65"/>
      <c r="D14" s="65"/>
      <c r="E14" s="65"/>
      <c r="F14" s="65">
        <v>561</v>
      </c>
      <c r="G14" s="65">
        <v>683</v>
      </c>
      <c r="H14" s="65">
        <v>988</v>
      </c>
      <c r="I14" s="65">
        <v>767</v>
      </c>
      <c r="J14" s="65">
        <v>549</v>
      </c>
      <c r="K14" s="65"/>
      <c r="L14" s="65">
        <f>SUM(F14:J14)</f>
        <v>3548</v>
      </c>
      <c r="M14" s="65"/>
      <c r="N14" s="65"/>
    </row>
    <row r="15" spans="1:14" ht="15.4" customHeight="1">
      <c r="A15" s="94">
        <v>40816</v>
      </c>
      <c r="B15" s="65"/>
      <c r="C15" s="65"/>
      <c r="D15" s="65"/>
      <c r="E15" s="65"/>
      <c r="F15" s="65">
        <v>727</v>
      </c>
      <c r="G15" s="65">
        <v>1029</v>
      </c>
      <c r="H15" s="65">
        <v>981</v>
      </c>
      <c r="I15" s="65">
        <v>808</v>
      </c>
      <c r="J15" s="65">
        <v>409</v>
      </c>
      <c r="K15" s="65"/>
      <c r="L15" s="65">
        <f t="shared" ref="L15:L53" si="0">SUM(F15:J15)</f>
        <v>3954</v>
      </c>
      <c r="M15" s="65"/>
      <c r="N15" s="65"/>
    </row>
    <row r="16" spans="1:14" ht="15.4" customHeight="1">
      <c r="A16" s="65" t="s">
        <v>127</v>
      </c>
      <c r="B16" s="65"/>
      <c r="C16" s="65"/>
      <c r="D16" s="65"/>
      <c r="E16" s="65"/>
      <c r="F16" s="65">
        <v>454</v>
      </c>
      <c r="G16" s="65">
        <v>933</v>
      </c>
      <c r="H16" s="65">
        <v>987</v>
      </c>
      <c r="I16" s="65">
        <v>708</v>
      </c>
      <c r="J16" s="65">
        <v>454</v>
      </c>
      <c r="K16" s="65"/>
      <c r="L16" s="65">
        <f t="shared" si="0"/>
        <v>3536</v>
      </c>
      <c r="M16" s="65"/>
      <c r="N16" s="65"/>
    </row>
    <row r="17" spans="1:14" ht="15.4" customHeight="1">
      <c r="A17" s="65" t="s">
        <v>128</v>
      </c>
      <c r="B17" s="65"/>
      <c r="C17" s="65"/>
      <c r="D17" s="65"/>
      <c r="E17" s="65"/>
      <c r="F17" s="65">
        <v>600</v>
      </c>
      <c r="G17" s="65">
        <v>899</v>
      </c>
      <c r="H17" s="65">
        <v>878</v>
      </c>
      <c r="I17" s="65">
        <v>851</v>
      </c>
      <c r="J17" s="65">
        <v>757</v>
      </c>
      <c r="K17" s="65"/>
      <c r="L17" s="65">
        <f t="shared" si="0"/>
        <v>3985</v>
      </c>
      <c r="M17" s="65"/>
      <c r="N17" s="65"/>
    </row>
    <row r="18" spans="1:14" ht="15.4" customHeight="1">
      <c r="A18" s="65" t="s">
        <v>129</v>
      </c>
      <c r="B18" s="65"/>
      <c r="C18" s="65"/>
      <c r="D18" s="65"/>
      <c r="E18" s="65"/>
      <c r="F18" s="65">
        <v>515</v>
      </c>
      <c r="G18" s="65">
        <v>815</v>
      </c>
      <c r="H18" s="65">
        <v>997</v>
      </c>
      <c r="I18" s="65">
        <v>533</v>
      </c>
      <c r="J18" s="65">
        <v>460</v>
      </c>
      <c r="K18" s="65"/>
      <c r="L18" s="65">
        <f t="shared" si="0"/>
        <v>3320</v>
      </c>
      <c r="M18" s="65"/>
      <c r="N18" s="65"/>
    </row>
    <row r="19" spans="1:14" ht="15.4" customHeight="1">
      <c r="A19" s="65" t="s">
        <v>130</v>
      </c>
      <c r="B19" s="65"/>
      <c r="C19" s="65"/>
      <c r="D19" s="65"/>
      <c r="E19" s="65"/>
      <c r="F19" s="65">
        <v>797</v>
      </c>
      <c r="G19" s="65">
        <v>975</v>
      </c>
      <c r="H19" s="65">
        <v>1421</v>
      </c>
      <c r="I19" s="65">
        <v>752</v>
      </c>
      <c r="J19" s="65">
        <v>476</v>
      </c>
      <c r="K19" s="65"/>
      <c r="L19" s="65">
        <f t="shared" si="0"/>
        <v>4421</v>
      </c>
      <c r="M19" s="65"/>
      <c r="N19" s="65"/>
    </row>
    <row r="20" spans="1:14" ht="15.4" customHeight="1">
      <c r="A20" s="65" t="s">
        <v>131</v>
      </c>
      <c r="B20" s="65"/>
      <c r="C20" s="65"/>
      <c r="D20" s="65"/>
      <c r="E20" s="65"/>
      <c r="F20" s="65">
        <v>522</v>
      </c>
      <c r="G20" s="65">
        <v>906</v>
      </c>
      <c r="H20" s="65">
        <v>1396</v>
      </c>
      <c r="I20" s="65">
        <v>1172</v>
      </c>
      <c r="J20" s="65">
        <v>763</v>
      </c>
      <c r="K20" s="65"/>
      <c r="L20" s="65">
        <f t="shared" si="0"/>
        <v>4759</v>
      </c>
      <c r="M20" s="65"/>
      <c r="N20" s="65"/>
    </row>
    <row r="21" spans="1:14" ht="15.4" customHeight="1">
      <c r="A21" s="65" t="s">
        <v>7</v>
      </c>
      <c r="B21" s="65"/>
      <c r="C21" s="65"/>
      <c r="D21" s="65"/>
      <c r="E21" s="65"/>
      <c r="F21" s="65">
        <v>535</v>
      </c>
      <c r="G21" s="65">
        <v>933</v>
      </c>
      <c r="H21" s="65">
        <v>1463</v>
      </c>
      <c r="I21" s="65">
        <v>1053</v>
      </c>
      <c r="J21" s="65">
        <v>606</v>
      </c>
      <c r="K21" s="65"/>
      <c r="L21" s="65">
        <f t="shared" si="0"/>
        <v>4590</v>
      </c>
      <c r="M21" s="65"/>
      <c r="N21" s="65"/>
    </row>
    <row r="22" spans="1:14" ht="15.4" customHeight="1">
      <c r="A22" s="65" t="s">
        <v>8</v>
      </c>
      <c r="B22" s="65"/>
      <c r="C22" s="65"/>
      <c r="D22" s="65"/>
      <c r="E22" s="65"/>
      <c r="F22" s="65">
        <v>633</v>
      </c>
      <c r="G22" s="65">
        <v>726</v>
      </c>
      <c r="H22" s="65">
        <v>877</v>
      </c>
      <c r="I22" s="65">
        <v>941</v>
      </c>
      <c r="J22" s="65">
        <v>685</v>
      </c>
      <c r="K22" s="65"/>
      <c r="L22" s="65">
        <f t="shared" si="0"/>
        <v>3862</v>
      </c>
      <c r="M22" s="65"/>
      <c r="N22" s="65"/>
    </row>
    <row r="23" spans="1:14" ht="15.4" customHeight="1">
      <c r="A23" s="65" t="s">
        <v>9</v>
      </c>
      <c r="B23" s="65"/>
      <c r="C23" s="65"/>
      <c r="D23" s="65"/>
      <c r="E23" s="65"/>
      <c r="F23" s="65">
        <v>562</v>
      </c>
      <c r="G23" s="65">
        <v>834</v>
      </c>
      <c r="H23" s="65">
        <v>967</v>
      </c>
      <c r="I23" s="65">
        <v>735</v>
      </c>
      <c r="J23" s="65">
        <v>547</v>
      </c>
      <c r="K23" s="65"/>
      <c r="L23" s="65">
        <f t="shared" si="0"/>
        <v>3645</v>
      </c>
      <c r="M23" s="65"/>
      <c r="N23" s="65"/>
    </row>
    <row r="24" spans="1:14" ht="15.4" customHeight="1">
      <c r="A24" s="65" t="s">
        <v>10</v>
      </c>
      <c r="B24" s="65"/>
      <c r="C24" s="65"/>
      <c r="D24" s="65"/>
      <c r="E24" s="65"/>
      <c r="F24" s="65">
        <v>468</v>
      </c>
      <c r="G24" s="65">
        <v>949</v>
      </c>
      <c r="H24" s="65">
        <v>1200</v>
      </c>
      <c r="I24" s="65">
        <v>850</v>
      </c>
      <c r="J24" s="65">
        <v>474</v>
      </c>
      <c r="K24" s="65"/>
      <c r="L24" s="65">
        <f t="shared" si="0"/>
        <v>3941</v>
      </c>
      <c r="M24" s="65"/>
      <c r="N24" s="65"/>
    </row>
    <row r="25" spans="1:14" ht="15.4" customHeight="1">
      <c r="A25" s="65" t="s">
        <v>11</v>
      </c>
      <c r="B25" s="65"/>
      <c r="C25" s="65"/>
      <c r="D25" s="65"/>
      <c r="E25" s="65"/>
      <c r="F25" s="65">
        <v>551</v>
      </c>
      <c r="G25" s="65">
        <v>704</v>
      </c>
      <c r="H25" s="65">
        <v>925</v>
      </c>
      <c r="I25" s="65">
        <v>680</v>
      </c>
      <c r="J25" s="65">
        <v>563</v>
      </c>
      <c r="K25" s="65"/>
      <c r="L25" s="65">
        <f t="shared" si="0"/>
        <v>3423</v>
      </c>
      <c r="M25" s="65"/>
      <c r="N25" s="65"/>
    </row>
    <row r="26" spans="1:14" ht="15.4" customHeight="1">
      <c r="A26" s="65" t="s">
        <v>12</v>
      </c>
      <c r="B26" s="65"/>
      <c r="C26" s="65"/>
      <c r="D26" s="65"/>
      <c r="E26" s="65"/>
      <c r="F26" s="65">
        <v>489</v>
      </c>
      <c r="G26" s="65">
        <v>1343</v>
      </c>
      <c r="H26" s="65">
        <v>1097</v>
      </c>
      <c r="I26" s="65">
        <v>641</v>
      </c>
      <c r="J26" s="65">
        <v>680</v>
      </c>
      <c r="K26" s="65"/>
      <c r="L26" s="65">
        <f t="shared" si="0"/>
        <v>4250</v>
      </c>
      <c r="M26" s="65"/>
      <c r="N26" s="65"/>
    </row>
    <row r="27" spans="1:14" ht="15.4" customHeight="1">
      <c r="A27" s="65" t="s">
        <v>13</v>
      </c>
      <c r="B27" s="65"/>
      <c r="C27" s="65"/>
      <c r="D27" s="65"/>
      <c r="E27" s="65"/>
      <c r="F27" s="65">
        <v>584</v>
      </c>
      <c r="G27" s="65">
        <v>678</v>
      </c>
      <c r="H27" s="65">
        <v>1251</v>
      </c>
      <c r="I27" s="65">
        <v>949</v>
      </c>
      <c r="J27" s="65">
        <v>459</v>
      </c>
      <c r="K27" s="65"/>
      <c r="L27" s="65">
        <f t="shared" si="0"/>
        <v>3921</v>
      </c>
      <c r="M27" s="65"/>
      <c r="N27" s="65"/>
    </row>
    <row r="28" spans="1:14" ht="15.4" customHeight="1">
      <c r="A28" s="65" t="s">
        <v>14</v>
      </c>
      <c r="B28" s="65"/>
      <c r="C28" s="65"/>
      <c r="D28" s="65"/>
      <c r="E28" s="65"/>
      <c r="F28" s="65">
        <v>558</v>
      </c>
      <c r="G28" s="65">
        <v>1139</v>
      </c>
      <c r="H28" s="65">
        <v>874</v>
      </c>
      <c r="I28" s="65">
        <v>760</v>
      </c>
      <c r="J28" s="65">
        <v>474</v>
      </c>
      <c r="K28" s="65"/>
      <c r="L28" s="65">
        <f t="shared" si="0"/>
        <v>3805</v>
      </c>
      <c r="M28" s="65"/>
      <c r="N28" s="65"/>
    </row>
    <row r="29" spans="1:14" ht="15.4" customHeight="1">
      <c r="A29" s="65" t="s">
        <v>15</v>
      </c>
      <c r="B29" s="65"/>
      <c r="C29" s="65"/>
      <c r="D29" s="65"/>
      <c r="E29" s="65"/>
      <c r="F29" s="65">
        <v>692</v>
      </c>
      <c r="G29" s="65">
        <v>882</v>
      </c>
      <c r="H29" s="65">
        <v>998</v>
      </c>
      <c r="I29" s="65">
        <v>651</v>
      </c>
      <c r="J29" s="65">
        <v>505</v>
      </c>
      <c r="K29" s="65"/>
      <c r="L29" s="65">
        <f t="shared" si="0"/>
        <v>3728</v>
      </c>
      <c r="M29" s="65"/>
      <c r="N29" s="65"/>
    </row>
    <row r="30" spans="1:14" ht="15.4" customHeight="1">
      <c r="A30" s="65" t="s">
        <v>16</v>
      </c>
      <c r="B30" s="65"/>
      <c r="C30" s="65"/>
      <c r="D30" s="65"/>
      <c r="E30" s="65"/>
      <c r="F30" s="65">
        <v>540</v>
      </c>
      <c r="G30" s="65">
        <v>857</v>
      </c>
      <c r="H30" s="65">
        <v>1090</v>
      </c>
      <c r="I30" s="65">
        <v>944</v>
      </c>
      <c r="J30" s="65">
        <v>601</v>
      </c>
      <c r="K30" s="65"/>
      <c r="L30" s="65">
        <f t="shared" si="0"/>
        <v>4032</v>
      </c>
      <c r="M30" s="65"/>
      <c r="N30" s="65"/>
    </row>
    <row r="31" spans="1:14" ht="15.4" customHeight="1">
      <c r="A31" s="65" t="s">
        <v>17</v>
      </c>
      <c r="B31" s="65"/>
      <c r="C31" s="65"/>
      <c r="D31" s="65"/>
      <c r="E31" s="65"/>
      <c r="F31" s="65">
        <v>531</v>
      </c>
      <c r="G31" s="65">
        <v>852</v>
      </c>
      <c r="H31" s="65">
        <v>780</v>
      </c>
      <c r="I31" s="65">
        <v>1049</v>
      </c>
      <c r="J31" s="65">
        <v>601</v>
      </c>
      <c r="K31" s="65"/>
      <c r="L31" s="65">
        <f t="shared" si="0"/>
        <v>3813</v>
      </c>
      <c r="M31" s="65"/>
      <c r="N31" s="65"/>
    </row>
    <row r="32" spans="1:14" ht="15.4" customHeight="1">
      <c r="A32" s="65" t="s">
        <v>18</v>
      </c>
      <c r="B32" s="65"/>
      <c r="C32" s="65"/>
      <c r="D32" s="65"/>
      <c r="E32" s="65"/>
      <c r="F32" s="65">
        <v>546</v>
      </c>
      <c r="G32" s="65">
        <v>1214</v>
      </c>
      <c r="H32" s="65">
        <v>724</v>
      </c>
      <c r="I32" s="65">
        <v>639</v>
      </c>
      <c r="J32" s="65">
        <v>521</v>
      </c>
      <c r="K32" s="65"/>
      <c r="L32" s="65">
        <f t="shared" si="0"/>
        <v>3644</v>
      </c>
      <c r="M32" s="65"/>
      <c r="N32" s="65"/>
    </row>
    <row r="33" spans="1:14" ht="15.4" customHeight="1">
      <c r="A33" s="65" t="s">
        <v>19</v>
      </c>
      <c r="B33" s="65"/>
      <c r="C33" s="65"/>
      <c r="D33" s="65"/>
      <c r="E33" s="65"/>
      <c r="F33" s="65">
        <v>381</v>
      </c>
      <c r="G33" s="65">
        <v>929</v>
      </c>
      <c r="H33" s="65">
        <v>1059</v>
      </c>
      <c r="I33" s="65">
        <v>620</v>
      </c>
      <c r="J33" s="65">
        <v>508</v>
      </c>
      <c r="K33" s="65"/>
      <c r="L33" s="65">
        <f t="shared" si="0"/>
        <v>3497</v>
      </c>
      <c r="M33" s="65"/>
      <c r="N33" s="65"/>
    </row>
    <row r="34" spans="1:14" ht="15.4" customHeight="1">
      <c r="A34" s="65" t="s">
        <v>20</v>
      </c>
      <c r="B34" s="65"/>
      <c r="C34" s="65"/>
      <c r="D34" s="65"/>
      <c r="E34" s="65"/>
      <c r="F34" s="65">
        <v>670</v>
      </c>
      <c r="G34" s="65">
        <v>762</v>
      </c>
      <c r="H34" s="65">
        <v>842</v>
      </c>
      <c r="I34" s="65">
        <v>607</v>
      </c>
      <c r="J34" s="65">
        <v>503</v>
      </c>
      <c r="K34" s="65"/>
      <c r="L34" s="65">
        <f t="shared" si="0"/>
        <v>3384</v>
      </c>
      <c r="M34" s="65"/>
      <c r="N34" s="65"/>
    </row>
    <row r="35" spans="1:14" ht="15.4" customHeight="1">
      <c r="A35" s="65" t="s">
        <v>21</v>
      </c>
      <c r="B35" s="65"/>
      <c r="C35" s="65"/>
      <c r="D35" s="65"/>
      <c r="E35" s="65"/>
      <c r="F35" s="65">
        <v>622</v>
      </c>
      <c r="G35" s="65">
        <v>878</v>
      </c>
      <c r="H35" s="65">
        <v>970</v>
      </c>
      <c r="I35" s="65">
        <v>867</v>
      </c>
      <c r="J35" s="65">
        <v>681</v>
      </c>
      <c r="K35" s="65"/>
      <c r="L35" s="65">
        <f t="shared" si="0"/>
        <v>4018</v>
      </c>
      <c r="M35" s="65"/>
      <c r="N35" s="65"/>
    </row>
    <row r="36" spans="1:14" ht="15.4" customHeight="1">
      <c r="A36" s="65" t="s">
        <v>22</v>
      </c>
      <c r="B36" s="65"/>
      <c r="C36" s="65"/>
      <c r="D36" s="65"/>
      <c r="E36" s="65"/>
      <c r="F36" s="65">
        <v>692</v>
      </c>
      <c r="G36" s="65">
        <v>836</v>
      </c>
      <c r="H36" s="65">
        <v>1074</v>
      </c>
      <c r="I36" s="65">
        <v>791</v>
      </c>
      <c r="J36" s="65">
        <v>500</v>
      </c>
      <c r="K36" s="65"/>
      <c r="L36" s="65">
        <f t="shared" si="0"/>
        <v>3893</v>
      </c>
      <c r="M36" s="65"/>
      <c r="N36" s="65"/>
    </row>
    <row r="37" spans="1:14" ht="15.4" customHeight="1">
      <c r="A37" s="65" t="s">
        <v>23</v>
      </c>
      <c r="B37" s="65"/>
      <c r="C37" s="65"/>
      <c r="D37" s="65"/>
      <c r="E37" s="65"/>
      <c r="F37" s="65">
        <v>432</v>
      </c>
      <c r="G37" s="65">
        <v>755</v>
      </c>
      <c r="H37" s="65">
        <v>964</v>
      </c>
      <c r="I37" s="65">
        <v>721</v>
      </c>
      <c r="J37" s="65">
        <v>510</v>
      </c>
      <c r="K37" s="65"/>
      <c r="L37" s="65">
        <f t="shared" si="0"/>
        <v>3382</v>
      </c>
      <c r="M37" s="65"/>
      <c r="N37" s="65"/>
    </row>
    <row r="38" spans="1:14" ht="15.4" customHeight="1">
      <c r="A38" s="65" t="s">
        <v>24</v>
      </c>
      <c r="B38" s="65"/>
      <c r="C38" s="65"/>
      <c r="D38" s="65"/>
      <c r="E38" s="65"/>
      <c r="F38" s="65">
        <v>656</v>
      </c>
      <c r="G38" s="65">
        <v>947</v>
      </c>
      <c r="H38" s="65">
        <v>1064</v>
      </c>
      <c r="I38" s="65">
        <v>768</v>
      </c>
      <c r="J38" s="65">
        <v>779</v>
      </c>
      <c r="K38" s="65"/>
      <c r="L38" s="65">
        <f t="shared" si="0"/>
        <v>4214</v>
      </c>
      <c r="M38" s="65"/>
      <c r="N38" s="65"/>
    </row>
    <row r="39" spans="1:14" ht="15.4" customHeight="1">
      <c r="A39" s="65" t="s">
        <v>25</v>
      </c>
      <c r="B39" s="65"/>
      <c r="C39" s="65"/>
      <c r="D39" s="65"/>
      <c r="E39" s="65"/>
      <c r="F39" s="65">
        <v>756</v>
      </c>
      <c r="G39" s="65">
        <v>827</v>
      </c>
      <c r="H39" s="65">
        <v>1107</v>
      </c>
      <c r="I39" s="65">
        <v>693</v>
      </c>
      <c r="J39" s="65">
        <v>542</v>
      </c>
      <c r="K39" s="65"/>
      <c r="L39" s="65">
        <f t="shared" si="0"/>
        <v>3925</v>
      </c>
      <c r="M39" s="65"/>
      <c r="N39" s="65"/>
    </row>
    <row r="40" spans="1:14" ht="15.4" customHeight="1">
      <c r="A40" s="65" t="s">
        <v>26</v>
      </c>
      <c r="B40" s="65"/>
      <c r="C40" s="65"/>
      <c r="D40" s="65"/>
      <c r="E40" s="65"/>
      <c r="F40" s="65">
        <v>663</v>
      </c>
      <c r="G40" s="65">
        <v>918</v>
      </c>
      <c r="H40" s="65">
        <v>827</v>
      </c>
      <c r="I40" s="65">
        <v>698</v>
      </c>
      <c r="J40" s="65">
        <v>702</v>
      </c>
      <c r="K40" s="65"/>
      <c r="L40" s="65">
        <f t="shared" si="0"/>
        <v>3808</v>
      </c>
      <c r="M40" s="65"/>
      <c r="N40" s="65"/>
    </row>
    <row r="41" spans="1:14" ht="15.4" customHeight="1">
      <c r="A41" s="65" t="s">
        <v>27</v>
      </c>
      <c r="B41" s="65"/>
      <c r="C41" s="65"/>
      <c r="D41" s="65"/>
      <c r="E41" s="65"/>
      <c r="F41" s="65">
        <v>471</v>
      </c>
      <c r="G41" s="65">
        <v>862</v>
      </c>
      <c r="H41" s="65">
        <v>920</v>
      </c>
      <c r="I41" s="65">
        <v>580</v>
      </c>
      <c r="J41" s="65">
        <v>672</v>
      </c>
      <c r="K41" s="65"/>
      <c r="L41" s="65">
        <f t="shared" si="0"/>
        <v>3505</v>
      </c>
      <c r="M41" s="65"/>
      <c r="N41" s="65"/>
    </row>
    <row r="42" spans="1:14" ht="15.4" customHeight="1">
      <c r="A42" s="65" t="s">
        <v>28</v>
      </c>
      <c r="B42" s="65"/>
      <c r="C42" s="65"/>
      <c r="D42" s="65"/>
      <c r="E42" s="65"/>
      <c r="F42" s="65">
        <v>342</v>
      </c>
      <c r="G42" s="65">
        <v>792</v>
      </c>
      <c r="H42" s="65">
        <v>932</v>
      </c>
      <c r="I42" s="65">
        <v>594</v>
      </c>
      <c r="J42" s="65">
        <v>471</v>
      </c>
      <c r="K42" s="65"/>
      <c r="L42" s="65">
        <f t="shared" si="0"/>
        <v>3131</v>
      </c>
      <c r="M42" s="65"/>
      <c r="N42" s="65"/>
    </row>
    <row r="43" spans="1:14" ht="15.4" customHeight="1">
      <c r="A43" s="65" t="s">
        <v>29</v>
      </c>
      <c r="B43" s="65"/>
      <c r="C43" s="65"/>
      <c r="D43" s="65"/>
      <c r="E43" s="65"/>
      <c r="F43" s="65">
        <v>762</v>
      </c>
      <c r="G43" s="65">
        <v>1287</v>
      </c>
      <c r="H43" s="65">
        <v>1053</v>
      </c>
      <c r="I43" s="65">
        <v>760</v>
      </c>
      <c r="J43" s="65">
        <v>726</v>
      </c>
      <c r="K43" s="65"/>
      <c r="L43" s="65">
        <f t="shared" si="0"/>
        <v>4588</v>
      </c>
      <c r="M43" s="65"/>
      <c r="N43" s="65"/>
    </row>
    <row r="44" spans="1:14" ht="15.4" customHeight="1">
      <c r="A44" s="65" t="s">
        <v>30</v>
      </c>
      <c r="B44" s="65"/>
      <c r="C44" s="65"/>
      <c r="D44" s="65"/>
      <c r="E44" s="65"/>
      <c r="F44" s="65">
        <v>426</v>
      </c>
      <c r="G44" s="65">
        <v>803</v>
      </c>
      <c r="H44" s="65">
        <v>914</v>
      </c>
      <c r="I44" s="65">
        <v>754</v>
      </c>
      <c r="J44" s="65">
        <v>682</v>
      </c>
      <c r="K44" s="65"/>
      <c r="L44" s="65">
        <f t="shared" si="0"/>
        <v>3579</v>
      </c>
      <c r="M44" s="65"/>
      <c r="N44" s="65"/>
    </row>
    <row r="45" spans="1:14" ht="15.4" customHeight="1">
      <c r="A45" s="65" t="s">
        <v>31</v>
      </c>
      <c r="B45" s="65"/>
      <c r="C45" s="65"/>
      <c r="D45" s="65"/>
      <c r="E45" s="65"/>
      <c r="F45" s="65">
        <v>636</v>
      </c>
      <c r="G45" s="65">
        <v>897</v>
      </c>
      <c r="H45" s="65">
        <v>1117</v>
      </c>
      <c r="I45" s="65">
        <v>872</v>
      </c>
      <c r="J45" s="65">
        <v>584</v>
      </c>
      <c r="K45" s="65"/>
      <c r="L45" s="65">
        <f t="shared" si="0"/>
        <v>4106</v>
      </c>
      <c r="M45" s="65"/>
      <c r="N45" s="65"/>
    </row>
    <row r="46" spans="1:14" ht="15.4" customHeight="1">
      <c r="A46" s="65" t="s">
        <v>32</v>
      </c>
      <c r="B46" s="65"/>
      <c r="C46" s="65"/>
      <c r="D46" s="65"/>
      <c r="E46" s="65"/>
      <c r="F46" s="65">
        <v>501</v>
      </c>
      <c r="G46" s="65">
        <v>846</v>
      </c>
      <c r="H46" s="65">
        <v>989</v>
      </c>
      <c r="I46" s="65">
        <v>821</v>
      </c>
      <c r="J46" s="65">
        <v>491</v>
      </c>
      <c r="K46" s="65"/>
      <c r="L46" s="65">
        <f t="shared" si="0"/>
        <v>3648</v>
      </c>
      <c r="M46" s="65"/>
      <c r="N46" s="65"/>
    </row>
    <row r="47" spans="1:14" ht="15.4" customHeight="1">
      <c r="A47" s="65" t="s">
        <v>33</v>
      </c>
      <c r="B47" s="65"/>
      <c r="C47" s="65"/>
      <c r="D47" s="65"/>
      <c r="E47" s="65"/>
      <c r="F47" s="65">
        <v>467</v>
      </c>
      <c r="G47" s="65">
        <v>839</v>
      </c>
      <c r="H47" s="65">
        <v>871</v>
      </c>
      <c r="I47" s="65">
        <v>647</v>
      </c>
      <c r="J47" s="65">
        <v>630</v>
      </c>
      <c r="K47" s="65"/>
      <c r="L47" s="65">
        <f t="shared" si="0"/>
        <v>3454</v>
      </c>
      <c r="M47" s="65"/>
      <c r="N47" s="65"/>
    </row>
    <row r="48" spans="1:14" ht="15.4" customHeight="1">
      <c r="A48" s="65" t="s">
        <v>34</v>
      </c>
      <c r="B48" s="65"/>
      <c r="C48" s="65"/>
      <c r="D48" s="65"/>
      <c r="E48" s="65"/>
      <c r="F48" s="65">
        <v>500</v>
      </c>
      <c r="G48" s="65">
        <v>950</v>
      </c>
      <c r="H48" s="65">
        <v>647</v>
      </c>
      <c r="I48" s="65">
        <v>785</v>
      </c>
      <c r="J48" s="65">
        <v>505</v>
      </c>
      <c r="K48" s="65"/>
      <c r="L48" s="65">
        <f t="shared" si="0"/>
        <v>3387</v>
      </c>
      <c r="M48" s="65"/>
      <c r="N48" s="65"/>
    </row>
    <row r="49" spans="1:14" ht="15.4" customHeight="1">
      <c r="A49" s="65" t="s">
        <v>35</v>
      </c>
      <c r="B49" s="65"/>
      <c r="C49" s="65"/>
      <c r="D49" s="65"/>
      <c r="E49" s="65"/>
      <c r="F49" s="65">
        <v>506</v>
      </c>
      <c r="G49" s="65">
        <v>765</v>
      </c>
      <c r="H49" s="65">
        <v>999</v>
      </c>
      <c r="I49" s="65">
        <v>842</v>
      </c>
      <c r="J49" s="65">
        <v>291</v>
      </c>
      <c r="K49" s="65"/>
      <c r="L49" s="65">
        <f t="shared" si="0"/>
        <v>3403</v>
      </c>
      <c r="M49" s="65"/>
      <c r="N49" s="65"/>
    </row>
    <row r="50" spans="1:14" ht="15.4" customHeight="1">
      <c r="A50" s="65" t="s">
        <v>36</v>
      </c>
      <c r="B50" s="65"/>
      <c r="C50" s="65"/>
      <c r="D50" s="65"/>
      <c r="E50" s="65"/>
      <c r="F50" s="65">
        <v>535</v>
      </c>
      <c r="G50" s="65">
        <v>888</v>
      </c>
      <c r="H50" s="65">
        <v>969</v>
      </c>
      <c r="I50" s="65">
        <v>866</v>
      </c>
      <c r="J50" s="65">
        <v>583</v>
      </c>
      <c r="K50" s="65"/>
      <c r="L50" s="65">
        <f t="shared" si="0"/>
        <v>3841</v>
      </c>
      <c r="M50" s="65"/>
      <c r="N50" s="65"/>
    </row>
    <row r="51" spans="1:14" ht="15.4" customHeight="1">
      <c r="A51" s="65" t="s">
        <v>37</v>
      </c>
      <c r="B51" s="65"/>
      <c r="C51" s="65"/>
      <c r="D51" s="65"/>
      <c r="E51" s="65"/>
      <c r="F51" s="65">
        <v>608</v>
      </c>
      <c r="G51" s="65">
        <v>977</v>
      </c>
      <c r="H51" s="65">
        <v>1063</v>
      </c>
      <c r="I51" s="65">
        <v>670</v>
      </c>
      <c r="J51" s="65">
        <v>517</v>
      </c>
      <c r="K51" s="65"/>
      <c r="L51" s="65">
        <f t="shared" si="0"/>
        <v>3835</v>
      </c>
      <c r="M51" s="65"/>
      <c r="N51" s="65"/>
    </row>
    <row r="52" spans="1:14" ht="15.4" customHeight="1">
      <c r="A52" s="65" t="s">
        <v>64</v>
      </c>
      <c r="B52" s="65"/>
      <c r="C52" s="65"/>
      <c r="D52" s="65"/>
      <c r="E52" s="65"/>
      <c r="F52" s="65">
        <v>420</v>
      </c>
      <c r="G52" s="65">
        <v>1027</v>
      </c>
      <c r="H52" s="65">
        <v>1139</v>
      </c>
      <c r="I52" s="65">
        <v>953</v>
      </c>
      <c r="J52" s="65">
        <v>593</v>
      </c>
      <c r="K52" s="65"/>
      <c r="L52" s="65">
        <f t="shared" si="0"/>
        <v>4132</v>
      </c>
      <c r="M52" s="65"/>
      <c r="N52" s="65"/>
    </row>
    <row r="53" spans="1:14" ht="15.4" customHeight="1">
      <c r="A53" s="65" t="s">
        <v>65</v>
      </c>
      <c r="B53" s="65"/>
      <c r="C53" s="65"/>
      <c r="D53" s="65"/>
      <c r="E53" s="65"/>
      <c r="F53" s="65">
        <v>533</v>
      </c>
      <c r="G53" s="65">
        <v>1005</v>
      </c>
      <c r="H53" s="65">
        <v>1081</v>
      </c>
      <c r="I53" s="65">
        <v>853</v>
      </c>
      <c r="J53" s="65">
        <v>568</v>
      </c>
      <c r="K53" s="65"/>
      <c r="L53" s="65">
        <f t="shared" si="0"/>
        <v>4040</v>
      </c>
      <c r="M53" s="65"/>
      <c r="N53" s="65"/>
    </row>
    <row r="54" spans="1:14" ht="15.4" customHeight="1">
      <c r="A54" s="2"/>
    </row>
    <row r="55" spans="1:14" ht="15.4" customHeight="1">
      <c r="A55" s="4" t="s">
        <v>38</v>
      </c>
      <c r="B55" s="65"/>
      <c r="C55" s="65"/>
      <c r="D55" s="65"/>
      <c r="E55" s="65"/>
      <c r="F55" s="65">
        <v>797</v>
      </c>
      <c r="G55" s="65">
        <v>1343</v>
      </c>
      <c r="H55" s="65">
        <v>1463</v>
      </c>
      <c r="I55" s="65">
        <v>1172</v>
      </c>
      <c r="J55" s="65">
        <v>779</v>
      </c>
      <c r="K55" s="65"/>
      <c r="L55" s="14">
        <f>MAX(L14:L53)</f>
        <v>4759</v>
      </c>
      <c r="M55" s="65"/>
      <c r="N55" s="65"/>
    </row>
    <row r="56" spans="1:14" ht="15.4" customHeight="1">
      <c r="A56" s="4" t="s">
        <v>39</v>
      </c>
      <c r="B56" s="65"/>
      <c r="C56" s="65"/>
      <c r="D56" s="65"/>
      <c r="E56" s="65"/>
      <c r="F56" s="65">
        <v>342</v>
      </c>
      <c r="G56" s="65">
        <v>678</v>
      </c>
      <c r="H56" s="65">
        <v>647</v>
      </c>
      <c r="I56" s="65">
        <v>533</v>
      </c>
      <c r="J56" s="65">
        <v>291</v>
      </c>
      <c r="K56" s="65"/>
      <c r="L56" s="14">
        <f>MIN(L14:L53)</f>
        <v>3131</v>
      </c>
      <c r="M56" s="65"/>
      <c r="N56" s="65"/>
    </row>
    <row r="57" spans="1:14" ht="15.4" customHeight="1">
      <c r="A57" s="4" t="s">
        <v>40</v>
      </c>
      <c r="B57" s="65"/>
      <c r="C57" s="65"/>
      <c r="D57" s="65"/>
      <c r="E57" s="65"/>
      <c r="F57" s="65">
        <v>561.1</v>
      </c>
      <c r="G57" s="65">
        <v>903.5</v>
      </c>
      <c r="H57" s="65">
        <v>1012.4</v>
      </c>
      <c r="I57" s="65">
        <v>781.1</v>
      </c>
      <c r="J57" s="65">
        <v>565.6</v>
      </c>
      <c r="K57" s="65"/>
      <c r="L57" s="14">
        <f>AVERAGE(L14:L53)</f>
        <v>3823.6750000000002</v>
      </c>
      <c r="M57" s="65"/>
      <c r="N57" s="65"/>
    </row>
    <row r="58" spans="1:14" ht="15.4" customHeight="1">
      <c r="A58" s="4" t="s">
        <v>41</v>
      </c>
      <c r="B58" s="65"/>
      <c r="C58" s="65"/>
      <c r="D58" s="65"/>
      <c r="E58" s="65"/>
      <c r="F58" s="65">
        <v>40</v>
      </c>
      <c r="G58" s="65">
        <v>40</v>
      </c>
      <c r="H58" s="65">
        <v>40</v>
      </c>
      <c r="I58" s="65">
        <v>40</v>
      </c>
      <c r="J58" s="65">
        <v>40</v>
      </c>
      <c r="K58" s="65"/>
      <c r="L58" s="65"/>
      <c r="M58" s="65"/>
      <c r="N58" s="65"/>
    </row>
    <row r="59" spans="1:14" s="8" customFormat="1" ht="15.75">
      <c r="A59" s="69" t="s">
        <v>139</v>
      </c>
      <c r="B59" s="67"/>
      <c r="C59" s="67"/>
      <c r="D59" s="67"/>
      <c r="E59" s="67"/>
      <c r="F59" s="15">
        <f>STDEVA(F14:F53)</f>
        <v>106.36410614922248</v>
      </c>
      <c r="G59" s="15">
        <f t="shared" ref="G59:L59" si="1">STDEVA(G14:G53)</f>
        <v>147.25783902341561</v>
      </c>
      <c r="H59" s="15">
        <f t="shared" si="1"/>
        <v>170.17105835765406</v>
      </c>
      <c r="I59" s="15">
        <f t="shared" si="1"/>
        <v>140.62920648979258</v>
      </c>
      <c r="J59" s="15">
        <f t="shared" si="1"/>
        <v>106.50892583277371</v>
      </c>
      <c r="K59" s="83"/>
      <c r="L59" s="15">
        <f t="shared" si="1"/>
        <v>373.53758520944308</v>
      </c>
      <c r="M59" s="67"/>
      <c r="N59" s="67"/>
    </row>
    <row r="60" spans="1:14" s="8" customFormat="1"/>
    <row r="61" spans="1:14" ht="15.75">
      <c r="A61" s="55" t="s">
        <v>132</v>
      </c>
    </row>
    <row r="62" spans="1:14" ht="120">
      <c r="A62" s="66" t="s">
        <v>133</v>
      </c>
    </row>
    <row r="63" spans="1:14" ht="90">
      <c r="A63" s="66" t="s">
        <v>134</v>
      </c>
    </row>
    <row r="64" spans="1:14">
      <c r="A64" s="98"/>
    </row>
    <row r="65" spans="1:1">
      <c r="A65" s="99"/>
    </row>
    <row r="66" spans="1:1" ht="15.75">
      <c r="A66" s="55" t="s">
        <v>60</v>
      </c>
    </row>
    <row r="67" spans="1:1" ht="135">
      <c r="A67" s="66" t="s">
        <v>135</v>
      </c>
    </row>
    <row r="68" spans="1:1" ht="120">
      <c r="A68" s="66" t="s">
        <v>136</v>
      </c>
    </row>
  </sheetData>
  <mergeCells count="3">
    <mergeCell ref="A10:D11"/>
    <mergeCell ref="E10:E11"/>
    <mergeCell ref="A64:A65"/>
  </mergeCells>
  <phoneticPr fontId="0" type="noConversion"/>
  <pageMargins left="0.7" right="0.7" top="0.75" bottom="0.75" header="0.3" footer="0.3"/>
  <pageSetup scale="73" orientation="portrait" r:id="rId1"/>
  <headerFooter>
    <oddHeader>&amp;RAppendix 2--SMNG Winter Sensitivity Analysis</oddHead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 sheet</vt:lpstr>
      <vt:lpstr>flow chart</vt:lpstr>
      <vt:lpstr>SMNG Lebanon monthly volume</vt:lpstr>
      <vt:lpstr>SMNG Mtn Grove monthly volume</vt:lpstr>
      <vt:lpstr>SMNG Branson monthly volume </vt:lpstr>
      <vt:lpstr>30 year normals</vt:lpstr>
      <vt:lpstr>Springfield monthly HDD's</vt:lpstr>
      <vt:lpstr>'30 year normals'!Print_Area</vt:lpstr>
      <vt:lpstr>'flow chart'!Print_Area</vt:lpstr>
      <vt:lpstr>'SMNG Branson monthly volume '!Print_Area</vt:lpstr>
      <vt:lpstr>'SMNG Lebanon monthly volume'!Print_Area</vt:lpstr>
      <vt:lpstr>'SMNG Mtn Grove monthly volume'!Print_Area</vt:lpstr>
      <vt:lpstr>'Springfield monthly HDD''s'!Print_Area</vt:lpstr>
    </vt:vector>
  </TitlesOfParts>
  <Company>KTM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Jim</cp:lastModifiedBy>
  <cp:lastPrinted>2011-09-30T19:28:55Z</cp:lastPrinted>
  <dcterms:created xsi:type="dcterms:W3CDTF">2009-04-23T03:08:06Z</dcterms:created>
  <dcterms:modified xsi:type="dcterms:W3CDTF">2011-09-30T21:29:52Z</dcterms:modified>
</cp:coreProperties>
</file>