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4"/>
  <workbookPr/>
  <mc:AlternateContent xmlns:mc="http://schemas.openxmlformats.org/markup-compatibility/2006">
    <mc:Choice Requires="x15">
      <x15ac:absPath xmlns:x15ac="http://schemas.microsoft.com/office/spreadsheetml/2010/11/ac" url="/Users/olf/Desktop/Revenue allocation stip_file/"/>
    </mc:Choice>
  </mc:AlternateContent>
  <xr:revisionPtr revIDLastSave="0" documentId="13_ncr:1_{DA032AE3-F37E-A947-8317-4FC880469B2A}" xr6:coauthVersionLast="47" xr6:coauthVersionMax="47" xr10:uidLastSave="{00000000-0000-0000-0000-000000000000}"/>
  <bookViews>
    <workbookView xWindow="0" yWindow="760" windowWidth="29240" windowHeight="13960" xr2:uid="{00000000-000D-0000-FFFF-FFFF00000000}"/>
  </bookViews>
  <sheets>
    <sheet name="Settlement Facilitation" sheetId="12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" i="12" l="1"/>
  <c r="D5" i="12" s="1"/>
  <c r="D6" i="12" s="1"/>
  <c r="D7" i="12" s="1"/>
  <c r="D8" i="12" s="1"/>
  <c r="D9" i="12" s="1"/>
  <c r="D10" i="12" s="1"/>
  <c r="D11" i="12" s="1"/>
  <c r="O14" i="12"/>
  <c r="O15" i="12" s="1"/>
  <c r="N16" i="12"/>
  <c r="N17" i="12" s="1"/>
  <c r="O16" i="12"/>
  <c r="O17" i="12" s="1"/>
  <c r="P16" i="12"/>
  <c r="P17" i="12" s="1"/>
  <c r="M16" i="12"/>
  <c r="M17" i="12" s="1"/>
  <c r="G16" i="12"/>
  <c r="G17" i="12" s="1"/>
  <c r="J14" i="12"/>
  <c r="J15" i="12" s="1"/>
  <c r="I14" i="12"/>
  <c r="I15" i="12" s="1"/>
  <c r="H14" i="12"/>
  <c r="H15" i="12" s="1"/>
  <c r="R13" i="12"/>
  <c r="L6" i="12"/>
  <c r="L7" i="12" s="1"/>
  <c r="M6" i="12"/>
  <c r="M7" i="12" s="1"/>
  <c r="G6" i="12"/>
  <c r="G7" i="12" s="1"/>
  <c r="H4" i="12"/>
  <c r="H5" i="12" s="1"/>
  <c r="I4" i="12"/>
  <c r="I5" i="12" s="1"/>
  <c r="J4" i="12"/>
  <c r="J5" i="12" s="1"/>
  <c r="K4" i="12"/>
  <c r="K5" i="12" s="1"/>
  <c r="R3" i="12"/>
  <c r="R12" i="12"/>
  <c r="A14" i="12" s="1"/>
  <c r="L14" i="12" s="1"/>
  <c r="L15" i="12" s="1"/>
  <c r="R2" i="12"/>
  <c r="A4" i="12" s="1"/>
  <c r="L4" i="12" s="1"/>
  <c r="L5" i="12" s="1"/>
  <c r="L8" i="12" l="1"/>
  <c r="L9" i="12" s="1"/>
  <c r="M4" i="12"/>
  <c r="M5" i="12" s="1"/>
  <c r="M8" i="12" s="1"/>
  <c r="M9" i="12" s="1"/>
  <c r="G14" i="12"/>
  <c r="G15" i="12" s="1"/>
  <c r="G18" i="12" s="1"/>
  <c r="G4" i="12"/>
  <c r="G5" i="12" s="1"/>
  <c r="P14" i="12"/>
  <c r="P15" i="12" s="1"/>
  <c r="P18" i="12" s="1"/>
  <c r="P19" i="12" s="1"/>
  <c r="K14" i="12"/>
  <c r="K15" i="12" s="1"/>
  <c r="N14" i="12"/>
  <c r="N15" i="12" s="1"/>
  <c r="N18" i="12" s="1"/>
  <c r="N19" i="12" s="1"/>
  <c r="M14" i="12"/>
  <c r="M15" i="12" s="1"/>
  <c r="M18" i="12" s="1"/>
  <c r="M19" i="12" s="1"/>
  <c r="O18" i="12"/>
  <c r="O19" i="12" s="1"/>
  <c r="R5" i="12" l="1"/>
  <c r="R6" i="12" s="1"/>
  <c r="G8" i="12"/>
  <c r="R15" i="12"/>
  <c r="R16" i="12" s="1"/>
  <c r="L16" i="12" s="1"/>
  <c r="L17" i="12" s="1"/>
  <c r="L18" i="12" s="1"/>
  <c r="L19" i="12" s="1"/>
  <c r="K16" i="12"/>
  <c r="K17" i="12" s="1"/>
  <c r="K18" i="12" s="1"/>
  <c r="K19" i="12" s="1"/>
  <c r="G19" i="12"/>
  <c r="J16" i="12" l="1"/>
  <c r="J17" i="12" s="1"/>
  <c r="J18" i="12" s="1"/>
  <c r="J19" i="12" s="1"/>
  <c r="H16" i="12"/>
  <c r="H17" i="12" s="1"/>
  <c r="H18" i="12" s="1"/>
  <c r="H19" i="12" s="1"/>
  <c r="I16" i="12"/>
  <c r="I17" i="12" s="1"/>
  <c r="I18" i="12" s="1"/>
  <c r="I19" i="12" s="1"/>
  <c r="J6" i="12"/>
  <c r="J7" i="12" s="1"/>
  <c r="J8" i="12" s="1"/>
  <c r="J9" i="12" s="1"/>
  <c r="K6" i="12"/>
  <c r="K7" i="12" s="1"/>
  <c r="K8" i="12" s="1"/>
  <c r="K9" i="12" s="1"/>
  <c r="H6" i="12"/>
  <c r="H7" i="12" s="1"/>
  <c r="H8" i="12" s="1"/>
  <c r="H9" i="12" s="1"/>
  <c r="I6" i="12"/>
  <c r="I7" i="12" s="1"/>
  <c r="I8" i="12" s="1"/>
  <c r="I9" i="12" s="1"/>
  <c r="G9" i="12"/>
  <c r="R18" i="12" l="1"/>
  <c r="R8" i="12"/>
</calcChain>
</file>

<file path=xl/sharedStrings.xml><?xml version="1.0" encoding="utf-8"?>
<sst xmlns="http://schemas.openxmlformats.org/spreadsheetml/2006/main" count="68" uniqueCount="34">
  <si>
    <t>Residential</t>
  </si>
  <si>
    <t>SGS</t>
  </si>
  <si>
    <t>MGS</t>
  </si>
  <si>
    <t>LGS</t>
  </si>
  <si>
    <t>LPS</t>
  </si>
  <si>
    <t>Lighting</t>
  </si>
  <si>
    <t xml:space="preserve">CCN </t>
  </si>
  <si>
    <t>Metro</t>
  </si>
  <si>
    <t>Total $</t>
  </si>
  <si>
    <t>Nucor</t>
  </si>
  <si>
    <t>West</t>
  </si>
  <si>
    <t xml:space="preserve">Residential </t>
  </si>
  <si>
    <t>Thermal -650</t>
  </si>
  <si>
    <t>TOD-630</t>
  </si>
  <si>
    <t>Total Ending Revenue</t>
  </si>
  <si>
    <t>Metered Lighting</t>
  </si>
  <si>
    <t>Increase %</t>
  </si>
  <si>
    <t>Adjustment</t>
  </si>
  <si>
    <t>+</t>
  </si>
  <si>
    <t>-</t>
  </si>
  <si>
    <t>=</t>
  </si>
  <si>
    <t>Total Revenue</t>
  </si>
  <si>
    <t>Revenue from "-" Classes</t>
  </si>
  <si>
    <t>Revenue from + &amp; = Classes</t>
  </si>
  <si>
    <t>Percent for "-" Classes</t>
  </si>
  <si>
    <t>&lt;</t>
  </si>
  <si>
    <t>+ &amp; = Class Increase %</t>
  </si>
  <si>
    <t>+ &amp; = Class Increase $</t>
  </si>
  <si>
    <t>"-" Class Increase %</t>
  </si>
  <si>
    <t>"-" Class Increase $</t>
  </si>
  <si>
    <t>Class Increase $</t>
  </si>
  <si>
    <t>Class Increase %</t>
  </si>
  <si>
    <t>Total Increase</t>
  </si>
  <si>
    <r>
      <t xml:space="preserve">Increase $ </t>
    </r>
    <r>
      <rPr>
        <i/>
        <sz val="8"/>
        <color theme="1"/>
        <rFont val="Calibri"/>
        <family val="2"/>
        <scheme val="minor"/>
      </rPr>
      <t>(net of CCN Imputation)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</si>
</sst>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00%"/>
    <numFmt numFmtId="166" formatCode="0.0%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Helv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0"/>
      <name val="MS Sans Serif"/>
    </font>
    <font>
      <b/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mediumGray">
        <fgColor indexed="22"/>
      </patternFill>
    </fill>
    <fill>
      <patternFill patternType="solid">
        <fgColor rgb="FFFFFF66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9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1" fillId="0" borderId="0"/>
    <xf numFmtId="0" fontId="4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3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7" fillId="0" borderId="0"/>
    <xf numFmtId="0" fontId="5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ont="0" applyFill="0" applyBorder="0" applyAlignment="0" applyProtection="0">
      <alignment horizontal="left"/>
    </xf>
    <xf numFmtId="15" fontId="9" fillId="0" borderId="0" applyFont="0" applyFill="0" applyBorder="0" applyAlignment="0" applyProtection="0"/>
    <xf numFmtId="4" fontId="9" fillId="0" borderId="0" applyFont="0" applyFill="0" applyBorder="0" applyAlignment="0" applyProtection="0"/>
    <xf numFmtId="0" fontId="8" fillId="0" borderId="1">
      <alignment horizontal="center"/>
    </xf>
    <xf numFmtId="3" fontId="9" fillId="0" borderId="0" applyFont="0" applyFill="0" applyBorder="0" applyAlignment="0" applyProtection="0"/>
    <xf numFmtId="0" fontId="9" fillId="2" borderId="0" applyNumberFormat="0" applyFont="0" applyBorder="0" applyAlignment="0" applyProtection="0"/>
    <xf numFmtId="0" fontId="9" fillId="0" borderId="0"/>
    <xf numFmtId="0" fontId="3" fillId="0" borderId="0"/>
    <xf numFmtId="0" fontId="5" fillId="0" borderId="0"/>
    <xf numFmtId="43" fontId="6" fillId="0" borderId="0" applyFont="0" applyFill="0" applyBorder="0" applyAlignment="0" applyProtection="0"/>
    <xf numFmtId="0" fontId="6" fillId="0" borderId="0"/>
    <xf numFmtId="0" fontId="3" fillId="0" borderId="0"/>
    <xf numFmtId="0" fontId="5" fillId="0" borderId="0"/>
    <xf numFmtId="43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5" fillId="0" borderId="0"/>
    <xf numFmtId="9" fontId="6" fillId="0" borderId="0" applyFont="0" applyFill="0" applyBorder="0" applyAlignment="0" applyProtection="0"/>
    <xf numFmtId="0" fontId="10" fillId="0" borderId="0"/>
  </cellStyleXfs>
  <cellXfs count="15">
    <xf numFmtId="0" fontId="0" fillId="0" borderId="0" xfId="0"/>
    <xf numFmtId="0" fontId="0" fillId="0" borderId="0" xfId="0" quotePrefix="1"/>
    <xf numFmtId="164" fontId="0" fillId="0" borderId="0" xfId="0" applyNumberFormat="1"/>
    <xf numFmtId="164" fontId="0" fillId="0" borderId="0" xfId="1" applyNumberFormat="1" applyFont="1"/>
    <xf numFmtId="166" fontId="0" fillId="0" borderId="0" xfId="2" applyNumberFormat="1" applyFont="1"/>
    <xf numFmtId="10" fontId="0" fillId="0" borderId="0" xfId="2" applyNumberFormat="1" applyFont="1"/>
    <xf numFmtId="165" fontId="0" fillId="0" borderId="0" xfId="2" applyNumberFormat="1" applyFont="1"/>
    <xf numFmtId="44" fontId="0" fillId="0" borderId="0" xfId="0" applyNumberFormat="1"/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64" fontId="12" fillId="3" borderId="0" xfId="1" applyNumberFormat="1" applyFont="1" applyFill="1" applyAlignment="1">
      <alignment horizontal="center" vertical="center"/>
    </xf>
    <xf numFmtId="165" fontId="0" fillId="4" borderId="0" xfId="2" applyNumberFormat="1" applyFont="1" applyFill="1"/>
  </cellXfs>
  <cellStyles count="39">
    <cellStyle name="Comma 2" xfId="12" xr:uid="{00000000-0005-0000-0000-000000000000}"/>
    <cellStyle name="Comma 2 2" xfId="6" xr:uid="{00000000-0005-0000-0000-000001000000}"/>
    <cellStyle name="Comma 3" xfId="17" xr:uid="{00000000-0005-0000-0000-000002000000}"/>
    <cellStyle name="Comma 3 2" xfId="34" xr:uid="{00000000-0005-0000-0000-000003000000}"/>
    <cellStyle name="Comma 4" xfId="19" xr:uid="{00000000-0005-0000-0000-000004000000}"/>
    <cellStyle name="Comma 5" xfId="30" xr:uid="{00000000-0005-0000-0000-000005000000}"/>
    <cellStyle name="Comma 6" xfId="8" xr:uid="{00000000-0005-0000-0000-000006000000}"/>
    <cellStyle name="Comma0 - Style4" xfId="5" xr:uid="{00000000-0005-0000-0000-000007000000}"/>
    <cellStyle name="Currency" xfId="1" builtinId="4"/>
    <cellStyle name="Currency 2" xfId="10" xr:uid="{00000000-0005-0000-0000-000009000000}"/>
    <cellStyle name="Currency 2 2" xfId="7" xr:uid="{00000000-0005-0000-0000-00000A000000}"/>
    <cellStyle name="Currency 3" xfId="35" xr:uid="{00000000-0005-0000-0000-00000B000000}"/>
    <cellStyle name="Normal" xfId="0" builtinId="0"/>
    <cellStyle name="Normal 2" xfId="14" xr:uid="{00000000-0005-0000-0000-00000D000000}"/>
    <cellStyle name="Normal 2 2" xfId="3" xr:uid="{00000000-0005-0000-0000-00000E000000}"/>
    <cellStyle name="Normal 2 3" xfId="15" xr:uid="{00000000-0005-0000-0000-00000F000000}"/>
    <cellStyle name="Normal 2 4" xfId="27" xr:uid="{00000000-0005-0000-0000-000010000000}"/>
    <cellStyle name="Normal 2 5" xfId="29" xr:uid="{00000000-0005-0000-0000-000011000000}"/>
    <cellStyle name="Normal 3" xfId="13" xr:uid="{00000000-0005-0000-0000-000012000000}"/>
    <cellStyle name="Normal 3 2" xfId="28" xr:uid="{00000000-0005-0000-0000-000013000000}"/>
    <cellStyle name="Normal 4" xfId="18" xr:uid="{00000000-0005-0000-0000-000014000000}"/>
    <cellStyle name="Normal 4 2" xfId="32" xr:uid="{00000000-0005-0000-0000-000015000000}"/>
    <cellStyle name="Normal 5" xfId="33" xr:uid="{00000000-0005-0000-0000-000016000000}"/>
    <cellStyle name="Normal 6" xfId="36" xr:uid="{00000000-0005-0000-0000-000017000000}"/>
    <cellStyle name="Normal 6 2" xfId="4" xr:uid="{00000000-0005-0000-0000-000018000000}"/>
    <cellStyle name="Normal 7" xfId="31" xr:uid="{00000000-0005-0000-0000-000019000000}"/>
    <cellStyle name="Normal 7 2" xfId="11" xr:uid="{00000000-0005-0000-0000-00001A000000}"/>
    <cellStyle name="Normal 8" xfId="38" xr:uid="{00000000-0005-0000-0000-00001B000000}"/>
    <cellStyle name="Percent" xfId="2" builtinId="5"/>
    <cellStyle name="Percent 2" xfId="16" xr:uid="{00000000-0005-0000-0000-00001D000000}"/>
    <cellStyle name="Percent 3" xfId="20" xr:uid="{00000000-0005-0000-0000-00001E000000}"/>
    <cellStyle name="Percent 4" xfId="37" xr:uid="{00000000-0005-0000-0000-00001F000000}"/>
    <cellStyle name="Percent 5" xfId="9" xr:uid="{00000000-0005-0000-0000-000020000000}"/>
    <cellStyle name="PSChar" xfId="21" xr:uid="{00000000-0005-0000-0000-000021000000}"/>
    <cellStyle name="PSDate" xfId="22" xr:uid="{00000000-0005-0000-0000-000022000000}"/>
    <cellStyle name="PSDec" xfId="23" xr:uid="{00000000-0005-0000-0000-000023000000}"/>
    <cellStyle name="PSHeading" xfId="24" xr:uid="{00000000-0005-0000-0000-000024000000}"/>
    <cellStyle name="PSInt" xfId="25" xr:uid="{00000000-0005-0000-0000-000025000000}"/>
    <cellStyle name="PSSpacer" xfId="26" xr:uid="{00000000-0005-0000-0000-000026000000}"/>
  </cellStyles>
  <dxfs count="0"/>
  <tableStyles count="0" defaultTableStyle="TableStyleMedium2" defaultPivotStyle="PivotStyleLight16"/>
  <colors>
    <mruColors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"/>
  <sheetViews>
    <sheetView tabSelected="1" zoomScale="90" zoomScaleNormal="90" workbookViewId="0">
      <selection activeCell="A12" sqref="A12"/>
    </sheetView>
  </sheetViews>
  <sheetFormatPr baseColWidth="10" defaultColWidth="8.83203125" defaultRowHeight="15"/>
  <cols>
    <col min="1" max="1" width="17.5" bestFit="1" customWidth="1"/>
    <col min="2" max="2" width="0.83203125" customWidth="1"/>
    <col min="3" max="3" width="8.5" customWidth="1"/>
    <col min="4" max="4" width="8.6640625" customWidth="1"/>
    <col min="5" max="5" width="0.6640625" customWidth="1"/>
    <col min="6" max="6" width="27.6640625" bestFit="1" customWidth="1"/>
    <col min="7" max="7" width="16.5" bestFit="1" customWidth="1"/>
    <col min="8" max="8" width="20.6640625" bestFit="1" customWidth="1"/>
    <col min="9" max="11" width="16.5" bestFit="1" customWidth="1"/>
    <col min="12" max="12" width="14.5" bestFit="1" customWidth="1"/>
    <col min="13" max="13" width="15.33203125" bestFit="1" customWidth="1"/>
    <col min="14" max="14" width="16.5" bestFit="1" customWidth="1"/>
    <col min="15" max="15" width="14.33203125" bestFit="1" customWidth="1"/>
    <col min="16" max="16" width="14.6640625" bestFit="1" customWidth="1"/>
    <col min="17" max="17" width="1.6640625" customWidth="1"/>
    <col min="18" max="18" width="16.33203125" bestFit="1" customWidth="1"/>
    <col min="19" max="19" width="29.1640625" bestFit="1" customWidth="1"/>
  </cols>
  <sheetData>
    <row r="1" spans="1:19" ht="28">
      <c r="A1" s="12" t="s">
        <v>33</v>
      </c>
      <c r="B1" s="9"/>
      <c r="C1" s="11" t="s">
        <v>25</v>
      </c>
      <c r="D1" s="11" t="s">
        <v>18</v>
      </c>
      <c r="E1" s="9"/>
      <c r="F1" s="8" t="s">
        <v>7</v>
      </c>
      <c r="G1" s="8" t="s">
        <v>0</v>
      </c>
      <c r="H1" s="8" t="s">
        <v>1</v>
      </c>
      <c r="I1" s="8" t="s">
        <v>2</v>
      </c>
      <c r="J1" s="8" t="s">
        <v>3</v>
      </c>
      <c r="K1" s="8" t="s">
        <v>4</v>
      </c>
      <c r="L1" s="8" t="s">
        <v>5</v>
      </c>
      <c r="M1" s="8" t="s">
        <v>6</v>
      </c>
      <c r="N1" s="8"/>
      <c r="O1" s="8"/>
      <c r="P1" s="8"/>
      <c r="Q1" s="8"/>
      <c r="R1" s="8" t="s">
        <v>8</v>
      </c>
    </row>
    <row r="2" spans="1:19" ht="16">
      <c r="A2" s="13">
        <v>25000000</v>
      </c>
      <c r="B2" s="3"/>
      <c r="C2" s="4">
        <v>0</v>
      </c>
      <c r="D2" s="14">
        <v>1.4E-2</v>
      </c>
      <c r="E2" s="3"/>
      <c r="F2" t="s">
        <v>14</v>
      </c>
      <c r="G2" s="3">
        <v>332224424</v>
      </c>
      <c r="H2" s="3">
        <v>70884863</v>
      </c>
      <c r="I2" s="3">
        <v>122614519</v>
      </c>
      <c r="J2" s="3">
        <v>182111913</v>
      </c>
      <c r="K2" s="3">
        <v>118830982</v>
      </c>
      <c r="L2" s="3">
        <v>9887749</v>
      </c>
      <c r="M2" s="3">
        <v>103282</v>
      </c>
      <c r="R2" s="3">
        <f>SUM(G2:M2)</f>
        <v>836657732</v>
      </c>
      <c r="S2" t="s">
        <v>21</v>
      </c>
    </row>
    <row r="3" spans="1:19" ht="19">
      <c r="A3" s="9" t="s">
        <v>16</v>
      </c>
      <c r="B3" s="9"/>
      <c r="C3" s="4">
        <v>0.01</v>
      </c>
      <c r="D3" s="14">
        <v>1.4E-2</v>
      </c>
      <c r="E3" s="9"/>
      <c r="F3" t="s">
        <v>17</v>
      </c>
      <c r="G3" s="10" t="s">
        <v>18</v>
      </c>
      <c r="H3" s="10" t="s">
        <v>19</v>
      </c>
      <c r="I3" s="10" t="s">
        <v>19</v>
      </c>
      <c r="J3" s="10" t="s">
        <v>19</v>
      </c>
      <c r="K3" s="10" t="s">
        <v>19</v>
      </c>
      <c r="L3" s="10" t="s">
        <v>20</v>
      </c>
      <c r="M3" s="10" t="s">
        <v>18</v>
      </c>
      <c r="R3" s="3">
        <f>SUMIF(G3:P3,"-",G2:P2)</f>
        <v>494442277</v>
      </c>
      <c r="S3" t="s">
        <v>22</v>
      </c>
    </row>
    <row r="4" spans="1:19">
      <c r="A4" s="5">
        <f>A2/R2</f>
        <v>2.9880797181230139E-2</v>
      </c>
      <c r="B4" s="5"/>
      <c r="C4" s="4">
        <v>0.02</v>
      </c>
      <c r="D4" s="6">
        <f t="shared" ref="D4:D11" si="0">D3-0.00025</f>
        <v>1.375E-2</v>
      </c>
      <c r="E4" s="5"/>
      <c r="F4" s="1" t="s">
        <v>26</v>
      </c>
      <c r="G4" s="5">
        <f t="shared" ref="G4:M4" si="1">IF(G3="+",VLOOKUP(TRUNC($A4,2),$C$2:$D$11,2,TRUE)*$A4*100,IF(G3="=",$A4,0))</f>
        <v>4.1086096124191444E-2</v>
      </c>
      <c r="H4" s="5">
        <f t="shared" si="1"/>
        <v>0</v>
      </c>
      <c r="I4" s="5">
        <f t="shared" si="1"/>
        <v>0</v>
      </c>
      <c r="J4" s="5">
        <f t="shared" si="1"/>
        <v>0</v>
      </c>
      <c r="K4" s="5">
        <f t="shared" si="1"/>
        <v>0</v>
      </c>
      <c r="L4" s="5">
        <f t="shared" si="1"/>
        <v>2.9880797181230139E-2</v>
      </c>
      <c r="M4" s="5">
        <f t="shared" si="1"/>
        <v>4.1086096124191444E-2</v>
      </c>
    </row>
    <row r="5" spans="1:19">
      <c r="C5" s="4">
        <v>0.03</v>
      </c>
      <c r="D5" s="6">
        <f t="shared" si="0"/>
        <v>1.35E-2</v>
      </c>
      <c r="F5" s="1" t="s">
        <v>27</v>
      </c>
      <c r="G5" s="2">
        <f>G4*G2</f>
        <v>13649804.619268134</v>
      </c>
      <c r="H5" s="2">
        <f t="shared" ref="H5:M5" si="2">H4*H2</f>
        <v>0</v>
      </c>
      <c r="I5" s="2">
        <f t="shared" si="2"/>
        <v>0</v>
      </c>
      <c r="J5" s="2">
        <f t="shared" si="2"/>
        <v>0</v>
      </c>
      <c r="K5" s="2">
        <f t="shared" si="2"/>
        <v>0</v>
      </c>
      <c r="L5" s="2">
        <f t="shared" si="2"/>
        <v>295453.82244791114</v>
      </c>
      <c r="M5" s="2">
        <f t="shared" si="2"/>
        <v>4243.4541798987411</v>
      </c>
      <c r="R5" s="3">
        <f>SUM(G5:P5)</f>
        <v>13949501.895895943</v>
      </c>
      <c r="S5" t="s">
        <v>23</v>
      </c>
    </row>
    <row r="6" spans="1:19">
      <c r="C6" s="4">
        <v>0.04</v>
      </c>
      <c r="D6" s="6">
        <f t="shared" si="0"/>
        <v>1.325E-2</v>
      </c>
      <c r="F6" s="1" t="s">
        <v>28</v>
      </c>
      <c r="G6" s="5">
        <f>IF(G3="-",$R6,0)</f>
        <v>0</v>
      </c>
      <c r="H6" s="5">
        <f t="shared" ref="H6:M6" si="3">IF(H3="-",$R6,0)</f>
        <v>2.2349419979117314E-2</v>
      </c>
      <c r="I6" s="5">
        <f t="shared" si="3"/>
        <v>2.2349419979117314E-2</v>
      </c>
      <c r="J6" s="5">
        <f t="shared" si="3"/>
        <v>2.2349419979117314E-2</v>
      </c>
      <c r="K6" s="5">
        <f t="shared" si="3"/>
        <v>2.2349419979117314E-2</v>
      </c>
      <c r="L6" s="5">
        <f t="shared" si="3"/>
        <v>0</v>
      </c>
      <c r="M6" s="5">
        <f t="shared" si="3"/>
        <v>0</v>
      </c>
      <c r="R6" s="5">
        <f>(A2-R5)/R3</f>
        <v>2.2349419979117314E-2</v>
      </c>
      <c r="S6" t="s">
        <v>24</v>
      </c>
    </row>
    <row r="7" spans="1:19">
      <c r="C7" s="4">
        <v>0.05</v>
      </c>
      <c r="D7" s="6">
        <f t="shared" si="0"/>
        <v>1.2999999999999999E-2</v>
      </c>
      <c r="F7" s="1" t="s">
        <v>29</v>
      </c>
      <c r="G7" s="7">
        <f>G6*G2</f>
        <v>0</v>
      </c>
      <c r="H7" s="7">
        <f t="shared" ref="H7:M7" si="4">H6*H2</f>
        <v>1584235.5733491937</v>
      </c>
      <c r="I7" s="7">
        <f t="shared" si="4"/>
        <v>2740363.3806684595</v>
      </c>
      <c r="J7" s="7">
        <f t="shared" si="4"/>
        <v>4070095.6268374743</v>
      </c>
      <c r="K7" s="7">
        <f t="shared" si="4"/>
        <v>2655803.52324893</v>
      </c>
      <c r="L7" s="7">
        <f t="shared" si="4"/>
        <v>0</v>
      </c>
      <c r="M7" s="7">
        <f t="shared" si="4"/>
        <v>0</v>
      </c>
    </row>
    <row r="8" spans="1:19">
      <c r="C8" s="4">
        <v>0.06</v>
      </c>
      <c r="D8" s="6">
        <f t="shared" si="0"/>
        <v>1.2749999999999999E-2</v>
      </c>
      <c r="F8" t="s">
        <v>30</v>
      </c>
      <c r="G8" s="2">
        <f>SUM(G5+G7)</f>
        <v>13649804.619268134</v>
      </c>
      <c r="H8" s="2">
        <f t="shared" ref="H8:M8" si="5">SUM(H5+H7)</f>
        <v>1584235.5733491937</v>
      </c>
      <c r="I8" s="2">
        <f t="shared" si="5"/>
        <v>2740363.3806684595</v>
      </c>
      <c r="J8" s="2">
        <f t="shared" si="5"/>
        <v>4070095.6268374743</v>
      </c>
      <c r="K8" s="2">
        <f t="shared" si="5"/>
        <v>2655803.52324893</v>
      </c>
      <c r="L8" s="2">
        <f t="shared" si="5"/>
        <v>295453.82244791114</v>
      </c>
      <c r="M8" s="2">
        <f t="shared" si="5"/>
        <v>4243.4541798987411</v>
      </c>
      <c r="R8" s="3">
        <f>SUM(G8:M8)</f>
        <v>25000000</v>
      </c>
      <c r="S8" t="s">
        <v>32</v>
      </c>
    </row>
    <row r="9" spans="1:19">
      <c r="C9" s="4">
        <v>7.0000000000000007E-2</v>
      </c>
      <c r="D9" s="6">
        <f t="shared" si="0"/>
        <v>1.2499999999999999E-2</v>
      </c>
      <c r="F9" t="s">
        <v>31</v>
      </c>
      <c r="G9" s="5">
        <f>G8/G2</f>
        <v>4.1086096124191444E-2</v>
      </c>
      <c r="H9" s="5">
        <f t="shared" ref="H9:M9" si="6">H8/H2</f>
        <v>2.2349419979117314E-2</v>
      </c>
      <c r="I9" s="5">
        <f t="shared" si="6"/>
        <v>2.2349419979117314E-2</v>
      </c>
      <c r="J9" s="5">
        <f t="shared" si="6"/>
        <v>2.2349419979117314E-2</v>
      </c>
      <c r="K9" s="5">
        <f t="shared" si="6"/>
        <v>2.2349419979117314E-2</v>
      </c>
      <c r="L9" s="5">
        <f t="shared" si="6"/>
        <v>2.9880797181230139E-2</v>
      </c>
      <c r="M9" s="5">
        <f t="shared" si="6"/>
        <v>4.1086096124191451E-2</v>
      </c>
    </row>
    <row r="10" spans="1:19">
      <c r="C10" s="4">
        <v>0.08</v>
      </c>
      <c r="D10" s="6">
        <f t="shared" si="0"/>
        <v>1.2249999999999999E-2</v>
      </c>
    </row>
    <row r="11" spans="1:19" ht="28">
      <c r="A11" s="12" t="s">
        <v>33</v>
      </c>
      <c r="C11" s="4">
        <v>0.09</v>
      </c>
      <c r="D11" s="6">
        <f t="shared" si="0"/>
        <v>1.1999999999999999E-2</v>
      </c>
      <c r="F11" s="8" t="s">
        <v>10</v>
      </c>
      <c r="G11" s="8" t="s">
        <v>11</v>
      </c>
      <c r="H11" s="8" t="s">
        <v>1</v>
      </c>
      <c r="I11" s="8" t="s">
        <v>3</v>
      </c>
      <c r="J11" s="8" t="s">
        <v>4</v>
      </c>
      <c r="K11" s="8" t="s">
        <v>15</v>
      </c>
      <c r="L11" s="8" t="s">
        <v>12</v>
      </c>
      <c r="M11" s="8" t="s">
        <v>5</v>
      </c>
      <c r="N11" s="8" t="s">
        <v>13</v>
      </c>
      <c r="O11" s="8" t="s">
        <v>9</v>
      </c>
      <c r="P11" s="8" t="s">
        <v>6</v>
      </c>
      <c r="Q11" s="8"/>
      <c r="R11" s="8" t="s">
        <v>8</v>
      </c>
    </row>
    <row r="12" spans="1:19" ht="16">
      <c r="A12" s="13">
        <v>42500000</v>
      </c>
      <c r="F12" t="s">
        <v>14</v>
      </c>
      <c r="G12" s="3">
        <v>377570070</v>
      </c>
      <c r="H12" s="3">
        <v>120104604</v>
      </c>
      <c r="I12" s="3">
        <v>90331044</v>
      </c>
      <c r="J12" s="3">
        <v>118343027</v>
      </c>
      <c r="K12" s="3">
        <v>102437</v>
      </c>
      <c r="L12" s="3">
        <v>471093</v>
      </c>
      <c r="M12" s="3">
        <v>12956162</v>
      </c>
      <c r="N12" s="3">
        <v>18684</v>
      </c>
      <c r="O12" s="3">
        <v>8982355</v>
      </c>
      <c r="P12" s="3">
        <v>43020</v>
      </c>
      <c r="Q12" s="8"/>
      <c r="R12" s="3">
        <f>SUM(G12:P12)</f>
        <v>728922496</v>
      </c>
    </row>
    <row r="13" spans="1:19" ht="19">
      <c r="A13" s="9" t="s">
        <v>16</v>
      </c>
      <c r="F13" t="s">
        <v>17</v>
      </c>
      <c r="G13" s="10" t="s">
        <v>18</v>
      </c>
      <c r="H13" s="10" t="s">
        <v>19</v>
      </c>
      <c r="I13" s="10" t="s">
        <v>19</v>
      </c>
      <c r="J13" s="10" t="s">
        <v>19</v>
      </c>
      <c r="K13" s="10" t="s">
        <v>20</v>
      </c>
      <c r="L13" s="10" t="s">
        <v>19</v>
      </c>
      <c r="M13" s="10" t="s">
        <v>20</v>
      </c>
      <c r="N13" s="10" t="s">
        <v>18</v>
      </c>
      <c r="O13" s="10">
        <v>0</v>
      </c>
      <c r="P13" s="10" t="s">
        <v>18</v>
      </c>
      <c r="Q13" s="8"/>
      <c r="R13" s="3">
        <f>SUMIF(G13:P13,"-",G12:P12)</f>
        <v>329249768</v>
      </c>
      <c r="S13" t="s">
        <v>22</v>
      </c>
    </row>
    <row r="14" spans="1:19">
      <c r="A14" s="5">
        <f>A12/R12</f>
        <v>5.8305238531148308E-2</v>
      </c>
      <c r="F14" s="1" t="s">
        <v>26</v>
      </c>
      <c r="G14" s="5">
        <f t="shared" ref="G14:P14" si="7">IF(G13="+",VLOOKUP(TRUNC($A14,2),$C$2:$D$11,2,TRUE)*$A14*100,IF(G13="=",$A14,0))</f>
        <v>7.57968100904928E-2</v>
      </c>
      <c r="H14" s="5">
        <f t="shared" si="7"/>
        <v>0</v>
      </c>
      <c r="I14" s="5">
        <f t="shared" si="7"/>
        <v>0</v>
      </c>
      <c r="J14" s="5">
        <f t="shared" si="7"/>
        <v>0</v>
      </c>
      <c r="K14" s="5">
        <f t="shared" si="7"/>
        <v>5.8305238531148308E-2</v>
      </c>
      <c r="L14" s="5">
        <f t="shared" si="7"/>
        <v>0</v>
      </c>
      <c r="M14" s="5">
        <f t="shared" si="7"/>
        <v>5.8305238531148308E-2</v>
      </c>
      <c r="N14" s="5">
        <f t="shared" si="7"/>
        <v>7.57968100904928E-2</v>
      </c>
      <c r="O14" s="5">
        <f t="shared" si="7"/>
        <v>0</v>
      </c>
      <c r="P14" s="5">
        <f t="shared" si="7"/>
        <v>7.57968100904928E-2</v>
      </c>
      <c r="Q14" s="8"/>
    </row>
    <row r="15" spans="1:19">
      <c r="F15" s="1" t="s">
        <v>27</v>
      </c>
      <c r="G15" s="2">
        <f>G14*G12</f>
        <v>28618606.891644072</v>
      </c>
      <c r="H15" s="2">
        <f t="shared" ref="H15" si="8">H14*H12</f>
        <v>0</v>
      </c>
      <c r="I15" s="2">
        <f t="shared" ref="I15" si="9">I14*I12</f>
        <v>0</v>
      </c>
      <c r="J15" s="2">
        <f t="shared" ref="J15" si="10">J14*J12</f>
        <v>0</v>
      </c>
      <c r="K15" s="2">
        <f t="shared" ref="K15" si="11">K14*K12</f>
        <v>5972.6137194152388</v>
      </c>
      <c r="L15" s="2">
        <f t="shared" ref="L15" si="12">L14*L12</f>
        <v>0</v>
      </c>
      <c r="M15" s="2">
        <f t="shared" ref="M15" si="13">M14*M12</f>
        <v>755412.11585819954</v>
      </c>
      <c r="N15" s="2">
        <f t="shared" ref="N15" si="14">N14*N12</f>
        <v>1416.1875997307675</v>
      </c>
      <c r="O15" s="2">
        <f t="shared" ref="O15" si="15">O14*O12</f>
        <v>0</v>
      </c>
      <c r="P15" s="2">
        <f t="shared" ref="P15" si="16">P14*P12</f>
        <v>3260.7787700930003</v>
      </c>
      <c r="Q15" s="8"/>
      <c r="R15" s="3">
        <f>SUM(G15:P15)</f>
        <v>29384668.58759151</v>
      </c>
      <c r="S15" t="s">
        <v>23</v>
      </c>
    </row>
    <row r="16" spans="1:19">
      <c r="F16" s="1" t="s">
        <v>28</v>
      </c>
      <c r="G16" s="5">
        <f>IF(G13="-",$R16,0)</f>
        <v>0</v>
      </c>
      <c r="H16" s="5">
        <f t="shared" ref="H16:M16" si="17">IF(H13="-",$R16,0)</f>
        <v>3.9833988318583993E-2</v>
      </c>
      <c r="I16" s="5">
        <f t="shared" si="17"/>
        <v>3.9833988318583993E-2</v>
      </c>
      <c r="J16" s="5">
        <f t="shared" si="17"/>
        <v>3.9833988318583993E-2</v>
      </c>
      <c r="K16" s="5">
        <f t="shared" si="17"/>
        <v>0</v>
      </c>
      <c r="L16" s="5">
        <f t="shared" si="17"/>
        <v>3.9833988318583993E-2</v>
      </c>
      <c r="M16" s="5">
        <f t="shared" si="17"/>
        <v>0</v>
      </c>
      <c r="N16" s="5">
        <f t="shared" ref="N16:P16" si="18">IF(N13="-",$R16,0)</f>
        <v>0</v>
      </c>
      <c r="O16" s="5">
        <f t="shared" si="18"/>
        <v>0</v>
      </c>
      <c r="P16" s="5">
        <f t="shared" si="18"/>
        <v>0</v>
      </c>
      <c r="Q16" s="5"/>
      <c r="R16" s="5">
        <f>(A12-R15)/R13</f>
        <v>3.9833988318583993E-2</v>
      </c>
      <c r="S16" t="s">
        <v>24</v>
      </c>
    </row>
    <row r="17" spans="6:19">
      <c r="F17" s="1" t="s">
        <v>29</v>
      </c>
      <c r="G17" s="7">
        <f>G16*G12</f>
        <v>0</v>
      </c>
      <c r="H17" s="7">
        <f t="shared" ref="H17" si="19">H16*H12</f>
        <v>4784245.3927441565</v>
      </c>
      <c r="I17" s="7">
        <f t="shared" ref="I17" si="20">I16*I12</f>
        <v>3598245.7515014969</v>
      </c>
      <c r="J17" s="7">
        <f t="shared" ref="J17" si="21">J16*J12</f>
        <v>4714074.7551038703</v>
      </c>
      <c r="K17" s="7">
        <f t="shared" ref="K17" si="22">K16*K12</f>
        <v>0</v>
      </c>
      <c r="L17" s="7">
        <f t="shared" ref="L17" si="23">L16*L12</f>
        <v>18765.513058966688</v>
      </c>
      <c r="M17" s="7">
        <f t="shared" ref="M17" si="24">M16*M12</f>
        <v>0</v>
      </c>
      <c r="N17" s="7">
        <f t="shared" ref="N17" si="25">N16*N12</f>
        <v>0</v>
      </c>
      <c r="O17" s="7">
        <f t="shared" ref="O17" si="26">O16*O12</f>
        <v>0</v>
      </c>
      <c r="P17" s="7">
        <f t="shared" ref="P17" si="27">P16*P12</f>
        <v>0</v>
      </c>
      <c r="Q17" s="7"/>
    </row>
    <row r="18" spans="6:19">
      <c r="F18" t="s">
        <v>30</v>
      </c>
      <c r="G18" s="2">
        <f>SUM(G15+G17)</f>
        <v>28618606.891644072</v>
      </c>
      <c r="H18" s="2">
        <f t="shared" ref="H18" si="28">SUM(H15+H17)</f>
        <v>4784245.3927441565</v>
      </c>
      <c r="I18" s="2">
        <f t="shared" ref="I18" si="29">SUM(I15+I17)</f>
        <v>3598245.7515014969</v>
      </c>
      <c r="J18" s="2">
        <f t="shared" ref="J18" si="30">SUM(J15+J17)</f>
        <v>4714074.7551038703</v>
      </c>
      <c r="K18" s="2">
        <f t="shared" ref="K18" si="31">SUM(K15+K17)</f>
        <v>5972.6137194152388</v>
      </c>
      <c r="L18" s="2">
        <f t="shared" ref="L18" si="32">SUM(L15+L17)</f>
        <v>18765.513058966688</v>
      </c>
      <c r="M18" s="2">
        <f t="shared" ref="M18" si="33">SUM(M15+M17)</f>
        <v>755412.11585819954</v>
      </c>
      <c r="N18" s="2">
        <f t="shared" ref="N18" si="34">SUM(N15+N17)</f>
        <v>1416.1875997307675</v>
      </c>
      <c r="O18" s="2">
        <f t="shared" ref="O18" si="35">SUM(O15+O17)</f>
        <v>0</v>
      </c>
      <c r="P18" s="2">
        <f t="shared" ref="P18" si="36">SUM(P15+P17)</f>
        <v>3260.7787700930003</v>
      </c>
      <c r="Q18" s="2"/>
      <c r="R18" s="3">
        <f>SUM(G18:M18)</f>
        <v>42495323.033630185</v>
      </c>
      <c r="S18" t="s">
        <v>32</v>
      </c>
    </row>
    <row r="19" spans="6:19">
      <c r="F19" t="s">
        <v>31</v>
      </c>
      <c r="G19" s="5">
        <f>G18/G12</f>
        <v>7.57968100904928E-2</v>
      </c>
      <c r="H19" s="5">
        <f t="shared" ref="H19" si="37">H18/H12</f>
        <v>3.9833988318583993E-2</v>
      </c>
      <c r="I19" s="5">
        <f t="shared" ref="I19" si="38">I18/I12</f>
        <v>3.9833988318583993E-2</v>
      </c>
      <c r="J19" s="5">
        <f t="shared" ref="J19" si="39">J18/J12</f>
        <v>3.9833988318583993E-2</v>
      </c>
      <c r="K19" s="5">
        <f t="shared" ref="K19" si="40">K18/K12</f>
        <v>5.8305238531148301E-2</v>
      </c>
      <c r="L19" s="5">
        <f t="shared" ref="L19" si="41">L18/L12</f>
        <v>3.9833988318583993E-2</v>
      </c>
      <c r="M19" s="5">
        <f t="shared" ref="M19" si="42">M18/M12</f>
        <v>5.8305238531148308E-2</v>
      </c>
      <c r="N19" s="5">
        <f t="shared" ref="N19" si="43">N18/N12</f>
        <v>7.57968100904928E-2</v>
      </c>
      <c r="O19" s="5">
        <f t="shared" ref="O19" si="44">O18/O12</f>
        <v>0</v>
      </c>
      <c r="P19" s="5">
        <f t="shared" ref="P19" si="45">P18/P12</f>
        <v>7.57968100904928E-2</v>
      </c>
      <c r="Q19" s="5"/>
    </row>
  </sheetData>
  <pageMargins left="0.7" right="0.7" top="0.75" bottom="0.75" header="0.3" footer="0.3"/>
  <pageSetup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Settlement Facilitation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Lange, Sarah</dc:creator>
  <cp:lastModifiedBy>Microsoft Office User</cp:lastModifiedBy>
  <dcterms:created xsi:type="dcterms:W3CDTF">2022-06-07T19:17:16Z</dcterms:created>
  <dcterms:modified xsi:type="dcterms:W3CDTF">2022-09-07T19:44:45Z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{DC23A580-0FB7-46EF-8B5F-4C074314E421}</vt:lpwstr>
  </property>
</Properties>
</file>