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2" sheetId="4" r:id="rId2"/>
    <sheet name="Monthly Cost Tracker AP3" sheetId="12" r:id="rId3"/>
    <sheet name="Monthly Cost Tracker AP4" sheetId="13" r:id="rId4"/>
    <sheet name="18A" sheetId="5" r:id="rId5"/>
    <sheet name="18B" sheetId="6" r:id="rId6"/>
    <sheet name="18C" sheetId="7" r:id="rId7"/>
    <sheet name="18D" sheetId="8" r:id="rId8"/>
    <sheet name="18E" sheetId="9" r:id="rId9"/>
    <sheet name="18F" sheetId="10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9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localSheetId="3" hidden="1">#REF!</definedName>
    <definedName name="_pcSlicerSheet_Slicer1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9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localSheetId="3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9">#REF!</definedName>
    <definedName name="_pg1" localSheetId="0">#REF!</definedName>
    <definedName name="_pg1" localSheetId="1">#REF!</definedName>
    <definedName name="_pg1" localSheetId="2">#REF!</definedName>
    <definedName name="_pg1" localSheetId="3">#REF!</definedName>
    <definedName name="_pg1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9">#REF!</definedName>
    <definedName name="_PG2" localSheetId="0">#REF!</definedName>
    <definedName name="_PG2" localSheetId="1">#REF!</definedName>
    <definedName name="_PG2" localSheetId="2">#REF!</definedName>
    <definedName name="_PG2" localSheetId="3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hidden="1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9">#REF!</definedName>
    <definedName name="cosales" localSheetId="0">#REF!</definedName>
    <definedName name="cosales" localSheetId="1">#REF!</definedName>
    <definedName name="cosales" localSheetId="2">#REF!</definedName>
    <definedName name="cosales" localSheetId="3">#REF!</definedName>
    <definedName name="cosales">#REF!</definedName>
    <definedName name="d" hidden="1">[6]_pcSlicerSheet5!$A$2:$A$7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9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 localSheetId="3">[9]ACCOUNTING!#REF!</definedName>
    <definedName name="p">[9]ACCOUNTING!#REF!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9">#REF!</definedName>
    <definedName name="POOL" localSheetId="0">#REF!</definedName>
    <definedName name="POOL" localSheetId="1">#REF!</definedName>
    <definedName name="POOL" localSheetId="2">#REF!</definedName>
    <definedName name="POOL" localSheetId="3">#REF!</definedName>
    <definedName name="POOL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9">#REF!</definedName>
    <definedName name="PUR" localSheetId="0">#REF!</definedName>
    <definedName name="PUR" localSheetId="1">#REF!</definedName>
    <definedName name="PUR" localSheetId="2">#REF!</definedName>
    <definedName name="PUR" localSheetId="3">#REF!</definedName>
    <definedName name="PUR">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9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 localSheetId="3">[10]ACCOUNTING!#REF!</definedName>
    <definedName name="q">[10]ACCOUNTING!#REF!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9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 localSheetId="3">[9]ACCOUNTING!#REF!</definedName>
    <definedName name="rr">[9]ACCOUNTING!#REF!</definedName>
    <definedName name="rrr">[9]Purchase!$A$1:$E$120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9">#REF!</definedName>
    <definedName name="SALES" localSheetId="0">#REF!</definedName>
    <definedName name="SALES" localSheetId="1">#REF!</definedName>
    <definedName name="SALES" localSheetId="2">#REF!</definedName>
    <definedName name="SALES" localSheetId="3">#REF!</definedName>
    <definedName name="SALES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9">#REF!</definedName>
    <definedName name="SPA" localSheetId="0">#REF!</definedName>
    <definedName name="SPA" localSheetId="1">#REF!</definedName>
    <definedName name="SPA" localSheetId="2">#REF!</definedName>
    <definedName name="SPA" localSheetId="3">#REF!</definedName>
    <definedName name="SPA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9">#REF!</definedName>
    <definedName name="UL" localSheetId="0">#REF!</definedName>
    <definedName name="UL" localSheetId="1">#REF!</definedName>
    <definedName name="UL" localSheetId="2">#REF!</definedName>
    <definedName name="UL" localSheetId="3">#REF!</definedName>
    <definedName name="UL">#REF!</definedName>
    <definedName name="ULOAD">#N/A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9">#REF!</definedName>
    <definedName name="upload" localSheetId="0">#REF!</definedName>
    <definedName name="upload" localSheetId="1">#REF!</definedName>
    <definedName name="upload" localSheetId="2">#REF!</definedName>
    <definedName name="upload" localSheetId="3">#REF!</definedName>
    <definedName name="upload">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9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localSheetId="3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8" l="1"/>
  <c r="D15" i="8"/>
  <c r="D14" i="8"/>
  <c r="D12" i="8" l="1"/>
  <c r="D11" i="8"/>
  <c r="D10" i="8"/>
  <c r="D9" i="8"/>
  <c r="D8" i="8"/>
  <c r="C17" i="5" l="1"/>
  <c r="C13" i="5"/>
  <c r="C29" i="13" l="1"/>
  <c r="C34" i="12"/>
  <c r="C32" i="12"/>
  <c r="C29" i="12"/>
  <c r="C30" i="4"/>
  <c r="C29" i="4"/>
  <c r="C26" i="13" l="1"/>
  <c r="C20" i="13"/>
  <c r="C4" i="13"/>
  <c r="C27" i="13" l="1"/>
  <c r="C30" i="13" s="1"/>
  <c r="C32" i="13" s="1"/>
  <c r="E9" i="8" l="1"/>
  <c r="E10" i="8"/>
  <c r="E11" i="8"/>
  <c r="E12" i="8"/>
  <c r="E14" i="8"/>
  <c r="E15" i="8"/>
  <c r="E16" i="8"/>
  <c r="E8" i="8"/>
  <c r="C4" i="12" l="1"/>
  <c r="C26" i="4"/>
  <c r="C37" i="11" l="1"/>
  <c r="C35" i="11"/>
  <c r="C30" i="11"/>
  <c r="C20" i="12" l="1"/>
  <c r="C26" i="12" l="1"/>
  <c r="C27" i="12" l="1"/>
  <c r="C30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20" i="4" l="1"/>
  <c r="C27" i="4" s="1"/>
  <c r="C34" i="4" l="1"/>
</calcChain>
</file>

<file path=xl/sharedStrings.xml><?xml version="1.0" encoding="utf-8"?>
<sst xmlns="http://schemas.openxmlformats.org/spreadsheetml/2006/main" count="189" uniqueCount="79">
  <si>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</si>
  <si>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</si>
  <si>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</si>
  <si>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</si>
  <si>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</si>
  <si>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</si>
  <si>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</si>
  <si>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</si>
  <si>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</si>
  <si>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</si>
  <si>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</si>
  <si>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</si>
  <si>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</si>
  <si>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</si>
  <si>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</si>
  <si>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</si>
  <si>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</si>
  <si>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</si>
  <si>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</si>
  <si>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</si>
  <si>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</si>
  <si>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</si>
  <si>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</si>
  <si>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</si>
  <si>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</si>
  <si>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</si>
  <si>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</si>
  <si>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</si>
  <si>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</si>
  <si>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</si>
  <si>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</si>
  <si>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</si>
  <si>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</si>
  <si>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</si>
  <si>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</si>
  <si>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</si>
  <si>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</si>
  <si>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</si>
  <si>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</si>
  <si>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</si>
  <si>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</si>
  <si>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</si>
  <si>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</si>
  <si>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</si>
  <si>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</si>
  <si>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</si>
  <si>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</si>
  <si>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</si>
  <si>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</si>
  <si>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</si>
  <si>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</si>
  <si>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</si>
  <si>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</si>
  <si>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</si>
  <si>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</si>
  <si>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</si>
  <si>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</si>
  <si>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</si>
  <si>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</si>
  <si>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</si>
  <si>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</si>
  <si>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</si>
  <si>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</si>
  <si>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</si>
  <si>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</si>
  <si>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</si>
  <si>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</si>
  <si>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</si>
  <si>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</si>
  <si>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</si>
  <si>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</si>
  <si>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</si>
  <si>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</si>
  <si>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</si>
  <si>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</si>
  <si>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</si>
  <si>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</si>
  <si>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</si>
  <si>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t>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</si>
</sst>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RAM/Rate%20Filings/September%202020/RESRAM%20Rate%20Filing_AP%202%20Working%20File_int%20updat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RAM/Monthly%20Filings/2021/RESRAM%20Data%20based%20on%202021%20Electric%20budget_2Years_LPS_Spl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Cost Tracker 1"/>
      <sheetName val="Monthly Cost Tracker 2"/>
      <sheetName val="True-Up"/>
      <sheetName val="Rate Schedule"/>
      <sheetName val="RRR"/>
      <sheetName val="SRP"/>
      <sheetName val="RAC"/>
      <sheetName val="Jan 19 int"/>
      <sheetName val="Feb 19 int"/>
      <sheetName val="Mar 19 int"/>
      <sheetName val="Apr 19 int"/>
      <sheetName val="May 19 int"/>
      <sheetName val="June 19 int"/>
      <sheetName val="July 19 int"/>
      <sheetName val="Monthly Cost Tracker 1_AP1"/>
      <sheetName val="Aug 19 Int"/>
      <sheetName val="Sept 19 Int"/>
      <sheetName val="Oct 19 Int"/>
      <sheetName val="Nov 19 Int"/>
      <sheetName val="Dec 19 Int"/>
      <sheetName val="Jan 20 Int"/>
      <sheetName val="Feb 20 Int"/>
      <sheetName val="Mar 20 Int"/>
      <sheetName val="Apr 20 Int"/>
      <sheetName val="May 20 Int"/>
      <sheetName val="June 20 Int"/>
      <sheetName val="July 20 Int"/>
    </sheetNames>
    <sheetDataSet>
      <sheetData sheetId="0" refreshError="1"/>
      <sheetData sheetId="1" refreshError="1"/>
      <sheetData sheetId="2" refreshError="1"/>
      <sheetData sheetId="3">
        <row r="22">
          <cell r="C22">
            <v>1.663353535602408E-4</v>
          </cell>
        </row>
      </sheetData>
      <sheetData sheetId="4" refreshError="1"/>
      <sheetData sheetId="5">
        <row r="38">
          <cell r="E38">
            <v>1429394</v>
          </cell>
          <cell r="F38">
            <v>273641.81</v>
          </cell>
          <cell r="G38">
            <v>574204.51</v>
          </cell>
          <cell r="H38">
            <v>208986.67</v>
          </cell>
          <cell r="J38">
            <v>10701.63</v>
          </cell>
          <cell r="K38">
            <v>61799.69</v>
          </cell>
          <cell r="L38">
            <v>103922.99</v>
          </cell>
          <cell r="N38">
            <v>15057.61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PS Splits"/>
    </sheetNames>
    <sheetDataSet>
      <sheetData sheetId="0">
        <row r="13">
          <cell r="R13">
            <v>18032.047027651282</v>
          </cell>
          <cell r="S13">
            <v>155316.37457801073</v>
          </cell>
          <cell r="T13">
            <v>107685.04839433798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36328125" defaultRowHeight="14.5" x14ac:dyDescent="0.35"/>
  <cols>
    <col min="1" max="1" width="49.26953125" customWidth="1"/>
    <col min="2" max="3" width="21.089843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9" customFormat="1" x14ac:dyDescent="0.3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35">
      <c r="A6" s="5" t="s">
        <v>60</v>
      </c>
      <c r="B6" s="6"/>
      <c r="C6" s="53">
        <v>0</v>
      </c>
    </row>
    <row r="7" spans="1:14" x14ac:dyDescent="0.35">
      <c r="A7" s="5" t="s">
        <v>61</v>
      </c>
      <c r="B7" s="6"/>
      <c r="C7" s="53">
        <v>0</v>
      </c>
    </row>
    <row r="8" spans="1:14" x14ac:dyDescent="0.35">
      <c r="A8" s="5" t="s">
        <v>62</v>
      </c>
      <c r="B8" s="6"/>
      <c r="C8" s="53">
        <v>0</v>
      </c>
    </row>
    <row r="9" spans="1:14" x14ac:dyDescent="0.35">
      <c r="A9" s="5" t="s">
        <v>3</v>
      </c>
      <c r="B9" s="6"/>
      <c r="C9" s="53">
        <v>0</v>
      </c>
    </row>
    <row r="10" spans="1:14" x14ac:dyDescent="0.35">
      <c r="A10" s="5" t="s">
        <v>63</v>
      </c>
      <c r="B10" s="6"/>
      <c r="C10" s="53">
        <v>0</v>
      </c>
    </row>
    <row r="11" spans="1:14" x14ac:dyDescent="0.35">
      <c r="A11" s="5" t="s">
        <v>64</v>
      </c>
      <c r="B11" s="6"/>
      <c r="C11" s="53">
        <v>0</v>
      </c>
    </row>
    <row r="12" spans="1:14" x14ac:dyDescent="0.35">
      <c r="A12" s="5" t="s">
        <v>65</v>
      </c>
      <c r="B12" s="6"/>
      <c r="C12" s="53">
        <v>0</v>
      </c>
    </row>
    <row r="13" spans="1:14" x14ac:dyDescent="0.35">
      <c r="A13" s="5" t="s">
        <v>4</v>
      </c>
      <c r="B13" s="7"/>
      <c r="C13" s="50">
        <v>0</v>
      </c>
    </row>
    <row r="14" spans="1:14" x14ac:dyDescent="0.35">
      <c r="A14" s="5" t="s">
        <v>5</v>
      </c>
      <c r="B14" s="6"/>
      <c r="C14" s="53">
        <v>0</v>
      </c>
    </row>
    <row r="15" spans="1:14" x14ac:dyDescent="0.35">
      <c r="A15" s="5" t="s">
        <v>6</v>
      </c>
      <c r="B15" s="6"/>
      <c r="C15" s="53">
        <v>0</v>
      </c>
    </row>
    <row r="16" spans="1:14" x14ac:dyDescent="0.35">
      <c r="A16" s="5" t="s">
        <v>7</v>
      </c>
      <c r="B16" s="6"/>
      <c r="C16" s="53">
        <v>0</v>
      </c>
    </row>
    <row r="17" spans="1:3" x14ac:dyDescent="0.35">
      <c r="A17" s="5" t="s">
        <v>8</v>
      </c>
      <c r="B17" s="6"/>
      <c r="C17" s="53">
        <v>0</v>
      </c>
    </row>
    <row r="18" spans="1:3" x14ac:dyDescent="0.35">
      <c r="A18" s="5" t="s">
        <v>9</v>
      </c>
      <c r="B18" s="6"/>
      <c r="C18" s="53">
        <v>0</v>
      </c>
    </row>
    <row r="19" spans="1:3" x14ac:dyDescent="0.35">
      <c r="A19" s="5" t="s">
        <v>66</v>
      </c>
      <c r="B19" s="6"/>
      <c r="C19" s="53">
        <v>0</v>
      </c>
    </row>
    <row r="20" spans="1:3" x14ac:dyDescent="0.35">
      <c r="A20" s="5" t="s">
        <v>10</v>
      </c>
      <c r="B20" s="6"/>
      <c r="C20" s="53">
        <v>0</v>
      </c>
    </row>
    <row r="21" spans="1:3" ht="15" thickBot="1" x14ac:dyDescent="0.4">
      <c r="A21" s="3" t="s">
        <v>11</v>
      </c>
      <c r="B21" s="9"/>
      <c r="C21" s="54">
        <f t="shared" ref="C21" si="0">SUM(C6:C15)</f>
        <v>0</v>
      </c>
    </row>
    <row r="22" spans="1:3" x14ac:dyDescent="0.35">
      <c r="A22" s="3"/>
      <c r="B22" s="31"/>
      <c r="C22" s="55"/>
    </row>
    <row r="23" spans="1:3" x14ac:dyDescent="0.35">
      <c r="A23" s="3" t="s">
        <v>32</v>
      </c>
      <c r="B23" s="30"/>
      <c r="C23" s="55">
        <v>-641855.02</v>
      </c>
    </row>
    <row r="24" spans="1:3" x14ac:dyDescent="0.35">
      <c r="B24" s="10"/>
      <c r="C24" s="56"/>
    </row>
    <row r="25" spans="1:3" x14ac:dyDescent="0.35">
      <c r="A25" s="11" t="s">
        <v>28</v>
      </c>
      <c r="B25" s="12"/>
      <c r="C25" s="57">
        <v>0</v>
      </c>
    </row>
    <row r="26" spans="1:3" x14ac:dyDescent="0.35">
      <c r="A26" s="5" t="s">
        <v>29</v>
      </c>
      <c r="B26" s="24"/>
      <c r="C26" s="57">
        <v>0</v>
      </c>
    </row>
    <row r="27" spans="1:3" x14ac:dyDescent="0.35">
      <c r="A27" s="3" t="s">
        <v>30</v>
      </c>
      <c r="B27" s="6"/>
      <c r="C27" s="58">
        <f>+C25+C26+C23</f>
        <v>-641855.02</v>
      </c>
    </row>
    <row r="28" spans="1:3" ht="15" thickBot="1" x14ac:dyDescent="0.4">
      <c r="A28" s="13" t="s">
        <v>12</v>
      </c>
      <c r="B28" s="25"/>
      <c r="C28" s="59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3"/>
      <c r="C31" s="53">
        <f>(C28+B33)*C30</f>
        <v>115.52313370376734</v>
      </c>
    </row>
    <row r="32" spans="1:3" x14ac:dyDescent="0.35">
      <c r="A32" s="3"/>
      <c r="B32" s="60"/>
      <c r="C32" s="60"/>
    </row>
    <row r="33" spans="1:3" ht="15" thickBot="1" x14ac:dyDescent="0.4">
      <c r="A33" s="13" t="s">
        <v>15</v>
      </c>
      <c r="B33" s="61">
        <v>1314351.5414953057</v>
      </c>
      <c r="C33" s="61">
        <f t="shared" ref="C33" si="1">C28+C31+B33</f>
        <v>672612.04462900944</v>
      </c>
    </row>
    <row r="35" spans="1:3" x14ac:dyDescent="0.35">
      <c r="A35" s="3" t="s">
        <v>67</v>
      </c>
      <c r="C35" s="60">
        <f>-C33</f>
        <v>-672612.04462900944</v>
      </c>
    </row>
    <row r="37" spans="1:3" ht="15" thickBot="1" x14ac:dyDescent="0.4">
      <c r="A37" s="13" t="s">
        <v>68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5" x14ac:dyDescent="0.35"/>
  <cols>
    <col min="1" max="1" width="14.36328125" customWidth="1"/>
    <col min="2" max="2" width="50.6328125" customWidth="1"/>
    <col min="3" max="3" width="3.36328125" customWidth="1"/>
    <col min="4" max="4" width="21.632812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58</v>
      </c>
    </row>
    <row r="4" spans="1:1" x14ac:dyDescent="0.35">
      <c r="A4" s="22" t="str">
        <f>+'18A'!A5</f>
        <v>January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C36" sqref="C36"/>
    </sheetView>
  </sheetViews>
  <sheetFormatPr defaultColWidth="13.36328125" defaultRowHeight="14.5" x14ac:dyDescent="0.35"/>
  <cols>
    <col min="1" max="1" width="49.26953125" customWidth="1"/>
    <col min="2" max="3" width="21.089843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31</v>
      </c>
    </row>
    <row r="4" spans="1:14" x14ac:dyDescent="0.35">
      <c r="A4" s="1"/>
      <c r="B4" s="2" t="s">
        <v>26</v>
      </c>
      <c r="C4" s="2">
        <v>44592</v>
      </c>
    </row>
    <row r="5" spans="1:14" s="29" customFormat="1" x14ac:dyDescent="0.3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35">
      <c r="A6" s="5" t="s">
        <v>60</v>
      </c>
      <c r="B6" s="6"/>
      <c r="C6" s="53">
        <v>0</v>
      </c>
    </row>
    <row r="7" spans="1:14" x14ac:dyDescent="0.35">
      <c r="A7" s="5" t="s">
        <v>61</v>
      </c>
      <c r="B7" s="6"/>
      <c r="C7" s="53">
        <v>0</v>
      </c>
    </row>
    <row r="8" spans="1:14" x14ac:dyDescent="0.35">
      <c r="A8" s="5" t="s">
        <v>62</v>
      </c>
      <c r="B8" s="6"/>
      <c r="C8" s="53">
        <v>0</v>
      </c>
    </row>
    <row r="9" spans="1:14" x14ac:dyDescent="0.35">
      <c r="A9" s="5" t="s">
        <v>63</v>
      </c>
      <c r="B9" s="6"/>
      <c r="C9" s="53">
        <v>0</v>
      </c>
    </row>
    <row r="10" spans="1:14" x14ac:dyDescent="0.35">
      <c r="A10" s="5" t="s">
        <v>64</v>
      </c>
      <c r="B10" s="6"/>
      <c r="C10" s="53">
        <v>0</v>
      </c>
    </row>
    <row r="11" spans="1:14" x14ac:dyDescent="0.35">
      <c r="A11" s="5" t="s">
        <v>65</v>
      </c>
      <c r="B11" s="6"/>
      <c r="C11" s="53">
        <v>0</v>
      </c>
    </row>
    <row r="12" spans="1:14" x14ac:dyDescent="0.35">
      <c r="A12" s="5" t="s">
        <v>4</v>
      </c>
      <c r="B12" s="7"/>
      <c r="C12" s="50">
        <v>0</v>
      </c>
    </row>
    <row r="13" spans="1:14" x14ac:dyDescent="0.35">
      <c r="A13" s="5" t="s">
        <v>5</v>
      </c>
      <c r="B13" s="6"/>
      <c r="C13" s="53">
        <v>0</v>
      </c>
    </row>
    <row r="14" spans="1:14" x14ac:dyDescent="0.35">
      <c r="A14" s="5" t="s">
        <v>6</v>
      </c>
      <c r="B14" s="6"/>
      <c r="C14" s="53">
        <v>0</v>
      </c>
    </row>
    <row r="15" spans="1:14" x14ac:dyDescent="0.35">
      <c r="A15" s="5" t="s">
        <v>7</v>
      </c>
      <c r="B15" s="6"/>
      <c r="C15" s="53">
        <v>0</v>
      </c>
    </row>
    <row r="16" spans="1:14" x14ac:dyDescent="0.35">
      <c r="A16" s="5" t="s">
        <v>8</v>
      </c>
      <c r="B16" s="6"/>
      <c r="C16" s="53">
        <v>0</v>
      </c>
    </row>
    <row r="17" spans="1:3" x14ac:dyDescent="0.35">
      <c r="A17" s="5" t="s">
        <v>9</v>
      </c>
      <c r="B17" s="6"/>
      <c r="C17" s="53">
        <v>0</v>
      </c>
    </row>
    <row r="18" spans="1:3" x14ac:dyDescent="0.35">
      <c r="A18" s="5" t="s">
        <v>66</v>
      </c>
      <c r="B18" s="6"/>
      <c r="C18" s="53">
        <v>0</v>
      </c>
    </row>
    <row r="19" spans="1:3" x14ac:dyDescent="0.35">
      <c r="A19" s="5" t="s">
        <v>10</v>
      </c>
      <c r="B19" s="6"/>
      <c r="C19" s="53">
        <v>0</v>
      </c>
    </row>
    <row r="20" spans="1:3" ht="15" thickBot="1" x14ac:dyDescent="0.4">
      <c r="A20" s="3" t="s">
        <v>11</v>
      </c>
      <c r="B20" s="9"/>
      <c r="C20" s="54">
        <f t="shared" ref="C20" si="0">SUM(C6:C14)</f>
        <v>0</v>
      </c>
    </row>
    <row r="21" spans="1:3" x14ac:dyDescent="0.35">
      <c r="B21" s="10"/>
      <c r="C21" s="56"/>
    </row>
    <row r="22" spans="1:3" x14ac:dyDescent="0.35">
      <c r="A22" s="3" t="s">
        <v>69</v>
      </c>
      <c r="B22" s="10"/>
      <c r="C22" s="56">
        <v>-100747.01999999997</v>
      </c>
    </row>
    <row r="23" spans="1:3" x14ac:dyDescent="0.35">
      <c r="B23" s="10"/>
      <c r="C23" s="56"/>
    </row>
    <row r="24" spans="1:3" x14ac:dyDescent="0.35">
      <c r="A24" s="11" t="s">
        <v>28</v>
      </c>
      <c r="B24" s="12"/>
      <c r="C24" s="57">
        <v>0</v>
      </c>
    </row>
    <row r="25" spans="1:3" x14ac:dyDescent="0.35">
      <c r="A25" s="5" t="s">
        <v>29</v>
      </c>
      <c r="B25" s="24"/>
      <c r="C25" s="57">
        <v>0</v>
      </c>
    </row>
    <row r="26" spans="1:3" x14ac:dyDescent="0.35">
      <c r="A26" s="3" t="s">
        <v>30</v>
      </c>
      <c r="B26" s="6"/>
      <c r="C26" s="58">
        <f>+C24+C25+C22</f>
        <v>-100747.01999999997</v>
      </c>
    </row>
    <row r="27" spans="1:3" ht="15" thickBot="1" x14ac:dyDescent="0.4">
      <c r="A27" s="13" t="s">
        <v>12</v>
      </c>
      <c r="B27" s="25"/>
      <c r="C27" s="59">
        <f>C26+C20</f>
        <v>-100747.01999999997</v>
      </c>
    </row>
    <row r="28" spans="1:3" x14ac:dyDescent="0.35">
      <c r="A28" s="3"/>
      <c r="B28" s="4"/>
      <c r="C28" s="62"/>
    </row>
    <row r="29" spans="1:3" x14ac:dyDescent="0.35">
      <c r="A29" s="14" t="s">
        <v>13</v>
      </c>
      <c r="B29" s="15"/>
      <c r="C29" s="15">
        <f>(0.23445/12)/100</f>
        <v>1.9537499999999999E-4</v>
      </c>
    </row>
    <row r="30" spans="1:3" x14ac:dyDescent="0.35">
      <c r="A30" s="16" t="s">
        <v>14</v>
      </c>
      <c r="B30" s="53"/>
      <c r="C30" s="53">
        <f>(C27+B34)*C29</f>
        <v>-1.5891828510053503</v>
      </c>
    </row>
    <row r="31" spans="1:3" x14ac:dyDescent="0.35">
      <c r="A31" s="16"/>
      <c r="B31" s="53"/>
      <c r="C31" s="53"/>
    </row>
    <row r="32" spans="1:3" x14ac:dyDescent="0.35">
      <c r="A32" s="3" t="s">
        <v>77</v>
      </c>
      <c r="B32" s="53"/>
      <c r="C32" s="53">
        <v>8135.6</v>
      </c>
    </row>
    <row r="33" spans="1:3" x14ac:dyDescent="0.35">
      <c r="A33" s="3"/>
      <c r="B33" s="60"/>
      <c r="C33" s="60"/>
    </row>
    <row r="34" spans="1:3" ht="15" thickBot="1" x14ac:dyDescent="0.4">
      <c r="A34" s="13" t="s">
        <v>15</v>
      </c>
      <c r="B34" s="61">
        <v>92613.006687112706</v>
      </c>
      <c r="C34" s="61">
        <f>C27+C30+B34+C32</f>
        <v>-2.4957382756838342E-3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zoomScaleNormal="100" workbookViewId="0">
      <pane ySplit="4" topLeftCell="A5" activePane="bottomLeft" state="frozen"/>
      <selection pane="bottomLeft" activeCell="E20" sqref="E20"/>
    </sheetView>
  </sheetViews>
  <sheetFormatPr defaultColWidth="13.36328125" defaultRowHeight="14.5" x14ac:dyDescent="0.35"/>
  <cols>
    <col min="1" max="1" width="49.26953125" customWidth="1"/>
    <col min="2" max="3" width="21.089843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59</v>
      </c>
    </row>
    <row r="4" spans="1:14" x14ac:dyDescent="0.35">
      <c r="A4" s="1"/>
      <c r="B4" s="2" t="s">
        <v>26</v>
      </c>
      <c r="C4" s="2">
        <f>'Monthly Cost Tracker AP2'!C4</f>
        <v>44592</v>
      </c>
    </row>
    <row r="5" spans="1:14" s="29" customFormat="1" x14ac:dyDescent="0.3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35">
      <c r="A6" s="5" t="s">
        <v>60</v>
      </c>
      <c r="B6" s="6"/>
      <c r="C6" s="53">
        <v>0</v>
      </c>
    </row>
    <row r="7" spans="1:14" x14ac:dyDescent="0.35">
      <c r="A7" s="5" t="s">
        <v>61</v>
      </c>
      <c r="B7" s="6"/>
      <c r="C7" s="53">
        <v>0</v>
      </c>
    </row>
    <row r="8" spans="1:14" x14ac:dyDescent="0.35">
      <c r="A8" s="5" t="s">
        <v>62</v>
      </c>
      <c r="B8" s="6"/>
      <c r="C8" s="53">
        <v>0</v>
      </c>
    </row>
    <row r="9" spans="1:14" x14ac:dyDescent="0.35">
      <c r="A9" s="5" t="s">
        <v>63</v>
      </c>
      <c r="B9" s="6"/>
      <c r="C9" s="53">
        <v>0</v>
      </c>
    </row>
    <row r="10" spans="1:14" x14ac:dyDescent="0.35">
      <c r="A10" s="5" t="s">
        <v>64</v>
      </c>
      <c r="B10" s="6"/>
      <c r="C10" s="53">
        <v>0</v>
      </c>
    </row>
    <row r="11" spans="1:14" x14ac:dyDescent="0.35">
      <c r="A11" s="5" t="s">
        <v>65</v>
      </c>
      <c r="B11" s="6"/>
      <c r="C11" s="53">
        <v>0</v>
      </c>
    </row>
    <row r="12" spans="1:14" x14ac:dyDescent="0.35">
      <c r="A12" s="5" t="s">
        <v>4</v>
      </c>
      <c r="B12" s="7"/>
      <c r="C12" s="50">
        <v>0</v>
      </c>
    </row>
    <row r="13" spans="1:14" x14ac:dyDescent="0.35">
      <c r="A13" s="5" t="s">
        <v>5</v>
      </c>
      <c r="B13" s="6"/>
      <c r="C13" s="50">
        <v>0</v>
      </c>
      <c r="F13" s="63"/>
      <c r="G13" s="64"/>
    </row>
    <row r="14" spans="1:14" x14ac:dyDescent="0.35">
      <c r="A14" s="5" t="s">
        <v>6</v>
      </c>
      <c r="B14" s="6"/>
      <c r="C14" s="53">
        <v>0</v>
      </c>
    </row>
    <row r="15" spans="1:14" x14ac:dyDescent="0.35">
      <c r="A15" s="5" t="s">
        <v>7</v>
      </c>
      <c r="B15" s="6"/>
      <c r="C15" s="53">
        <v>0</v>
      </c>
    </row>
    <row r="16" spans="1:14" x14ac:dyDescent="0.35">
      <c r="A16" s="5" t="s">
        <v>8</v>
      </c>
      <c r="B16" s="6"/>
      <c r="C16" s="53">
        <v>0</v>
      </c>
    </row>
    <row r="17" spans="1:3" x14ac:dyDescent="0.35">
      <c r="A17" s="5" t="s">
        <v>9</v>
      </c>
      <c r="B17" s="6"/>
      <c r="C17" s="53">
        <v>0</v>
      </c>
    </row>
    <row r="18" spans="1:3" x14ac:dyDescent="0.35">
      <c r="A18" s="5" t="s">
        <v>66</v>
      </c>
      <c r="B18" s="6"/>
      <c r="C18" s="53">
        <v>0</v>
      </c>
    </row>
    <row r="19" spans="1:3" x14ac:dyDescent="0.35">
      <c r="A19" s="5" t="s">
        <v>10</v>
      </c>
      <c r="B19" s="6"/>
      <c r="C19" s="53">
        <v>0</v>
      </c>
    </row>
    <row r="20" spans="1:3" ht="15" thickBot="1" x14ac:dyDescent="0.4">
      <c r="A20" s="3" t="s">
        <v>11</v>
      </c>
      <c r="B20" s="9"/>
      <c r="C20" s="54">
        <f>SUM(C6:C19)</f>
        <v>0</v>
      </c>
    </row>
    <row r="21" spans="1:3" x14ac:dyDescent="0.35">
      <c r="B21" s="10"/>
      <c r="C21" s="56"/>
    </row>
    <row r="22" spans="1:3" x14ac:dyDescent="0.35">
      <c r="A22" s="3" t="s">
        <v>32</v>
      </c>
      <c r="B22" s="10"/>
      <c r="C22" s="56"/>
    </row>
    <row r="23" spans="1:3" x14ac:dyDescent="0.35">
      <c r="B23" s="10"/>
      <c r="C23" s="56"/>
    </row>
    <row r="24" spans="1:3" x14ac:dyDescent="0.35">
      <c r="A24" s="11" t="s">
        <v>28</v>
      </c>
      <c r="B24" s="12"/>
      <c r="C24" s="57">
        <v>0</v>
      </c>
    </row>
    <row r="25" spans="1:3" x14ac:dyDescent="0.35">
      <c r="A25" s="5" t="s">
        <v>29</v>
      </c>
      <c r="B25" s="24"/>
      <c r="C25" s="57">
        <v>0</v>
      </c>
    </row>
    <row r="26" spans="1:3" x14ac:dyDescent="0.35">
      <c r="A26" s="3" t="s">
        <v>30</v>
      </c>
      <c r="B26" s="6"/>
      <c r="C26" s="58">
        <f t="shared" ref="C26" si="0">+C24+C25</f>
        <v>0</v>
      </c>
    </row>
    <row r="27" spans="1:3" ht="15" thickBot="1" x14ac:dyDescent="0.4">
      <c r="A27" s="13" t="s">
        <v>12</v>
      </c>
      <c r="B27" s="25"/>
      <c r="C27" s="59">
        <f t="shared" ref="C27" si="1">-C26+C20</f>
        <v>0</v>
      </c>
    </row>
    <row r="28" spans="1:3" x14ac:dyDescent="0.35">
      <c r="A28" s="3"/>
      <c r="B28" s="4"/>
      <c r="C28" s="62"/>
    </row>
    <row r="29" spans="1:3" x14ac:dyDescent="0.35">
      <c r="A29" s="14" t="s">
        <v>13</v>
      </c>
      <c r="B29" s="15"/>
      <c r="C29" s="15">
        <f>(0.23445/12)/100</f>
        <v>1.9537499999999999E-4</v>
      </c>
    </row>
    <row r="30" spans="1:3" x14ac:dyDescent="0.35">
      <c r="A30" s="16" t="s">
        <v>14</v>
      </c>
      <c r="B30" s="53"/>
      <c r="C30" s="53">
        <f>(C27+B34)*C29</f>
        <v>-2976.0112112944721</v>
      </c>
    </row>
    <row r="31" spans="1:3" x14ac:dyDescent="0.35">
      <c r="A31" s="16"/>
      <c r="B31" s="53"/>
      <c r="C31" s="53"/>
    </row>
    <row r="32" spans="1:3" x14ac:dyDescent="0.35">
      <c r="A32" s="3" t="s">
        <v>77</v>
      </c>
      <c r="B32" s="53"/>
      <c r="C32" s="53">
        <f>-'Monthly Cost Tracker AP2'!C32</f>
        <v>-8135.6</v>
      </c>
    </row>
    <row r="33" spans="1:3" x14ac:dyDescent="0.35">
      <c r="A33" s="3"/>
      <c r="B33" s="60"/>
      <c r="C33" s="60"/>
    </row>
    <row r="34" spans="1:3" ht="15" thickBot="1" x14ac:dyDescent="0.4">
      <c r="A34" s="13" t="s">
        <v>15</v>
      </c>
      <c r="B34" s="61">
        <v>-15232303.064846948</v>
      </c>
      <c r="C34" s="61">
        <f>C27+C30+B34+C32</f>
        <v>-15243414.676058242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pane ySplit="4" topLeftCell="A5" activePane="bottomLeft" state="frozen"/>
      <selection pane="bottomLeft" activeCell="C34" sqref="C34"/>
    </sheetView>
  </sheetViews>
  <sheetFormatPr defaultColWidth="13.36328125" defaultRowHeight="14.5" x14ac:dyDescent="0.35"/>
  <cols>
    <col min="1" max="1" width="54.54296875" customWidth="1"/>
    <col min="2" max="3" width="21.089843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70</v>
      </c>
    </row>
    <row r="4" spans="1:14" x14ac:dyDescent="0.35">
      <c r="A4" s="1"/>
      <c r="B4" s="2" t="s">
        <v>26</v>
      </c>
      <c r="C4" s="2">
        <f>'Monthly Cost Tracker AP2'!C4</f>
        <v>44592</v>
      </c>
    </row>
    <row r="5" spans="1:14" s="29" customFormat="1" x14ac:dyDescent="0.35">
      <c r="A5" s="27" t="s">
        <v>27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35">
      <c r="A6" s="5" t="s">
        <v>71</v>
      </c>
      <c r="B6" s="6"/>
      <c r="C6" s="53">
        <v>191576.56000000006</v>
      </c>
    </row>
    <row r="7" spans="1:14" x14ac:dyDescent="0.35">
      <c r="A7" s="5" t="s">
        <v>72</v>
      </c>
      <c r="B7" s="6"/>
      <c r="C7" s="53">
        <v>31637.69</v>
      </c>
    </row>
    <row r="8" spans="1:14" x14ac:dyDescent="0.35">
      <c r="A8" s="5" t="s">
        <v>73</v>
      </c>
      <c r="B8" s="6"/>
      <c r="C8" s="53">
        <v>0</v>
      </c>
    </row>
    <row r="9" spans="1:14" x14ac:dyDescent="0.35">
      <c r="A9" s="5" t="s">
        <v>74</v>
      </c>
      <c r="B9" s="6"/>
      <c r="C9" s="53">
        <v>0</v>
      </c>
    </row>
    <row r="10" spans="1:14" x14ac:dyDescent="0.35">
      <c r="A10" s="5" t="s">
        <v>75</v>
      </c>
      <c r="B10" s="6"/>
      <c r="C10" s="53">
        <v>0</v>
      </c>
    </row>
    <row r="11" spans="1:14" x14ac:dyDescent="0.35">
      <c r="A11" s="5" t="s">
        <v>76</v>
      </c>
      <c r="B11" s="6"/>
      <c r="C11" s="53">
        <v>0</v>
      </c>
    </row>
    <row r="12" spans="1:14" x14ac:dyDescent="0.35">
      <c r="A12" s="5" t="s">
        <v>4</v>
      </c>
      <c r="B12" s="7"/>
      <c r="C12" s="50">
        <v>265084.75</v>
      </c>
    </row>
    <row r="13" spans="1:14" x14ac:dyDescent="0.35">
      <c r="A13" s="5" t="s">
        <v>5</v>
      </c>
      <c r="B13" s="6"/>
      <c r="C13" s="50">
        <v>-4026133.2998290118</v>
      </c>
      <c r="F13" s="63"/>
      <c r="G13" s="64"/>
    </row>
    <row r="14" spans="1:14" x14ac:dyDescent="0.35">
      <c r="A14" s="5" t="s">
        <v>6</v>
      </c>
      <c r="B14" s="6"/>
      <c r="C14" s="53">
        <v>-316199.90950000036</v>
      </c>
    </row>
    <row r="15" spans="1:14" x14ac:dyDescent="0.35">
      <c r="A15" s="5" t="s">
        <v>7</v>
      </c>
      <c r="B15" s="6"/>
      <c r="C15" s="53">
        <v>1143316</v>
      </c>
    </row>
    <row r="16" spans="1:14" x14ac:dyDescent="0.35">
      <c r="A16" s="5" t="s">
        <v>8</v>
      </c>
      <c r="B16" s="6"/>
      <c r="C16" s="53">
        <v>532962</v>
      </c>
    </row>
    <row r="17" spans="1:3" x14ac:dyDescent="0.35">
      <c r="A17" s="5" t="s">
        <v>9</v>
      </c>
      <c r="B17" s="6"/>
      <c r="C17" s="53">
        <v>2761589.5799999982</v>
      </c>
    </row>
    <row r="18" spans="1:3" x14ac:dyDescent="0.35">
      <c r="A18" s="5" t="s">
        <v>66</v>
      </c>
      <c r="B18" s="6"/>
      <c r="C18" s="53">
        <v>159848</v>
      </c>
    </row>
    <row r="19" spans="1:3" x14ac:dyDescent="0.35">
      <c r="A19" s="5" t="s">
        <v>10</v>
      </c>
      <c r="B19" s="6"/>
      <c r="C19" s="53">
        <v>656221.25</v>
      </c>
    </row>
    <row r="20" spans="1:3" ht="15" thickBot="1" x14ac:dyDescent="0.4">
      <c r="A20" s="3" t="s">
        <v>11</v>
      </c>
      <c r="B20" s="9"/>
      <c r="C20" s="54">
        <f>SUM(C6:C19)</f>
        <v>1399902.6206709859</v>
      </c>
    </row>
    <row r="21" spans="1:3" x14ac:dyDescent="0.35">
      <c r="B21" s="10"/>
      <c r="C21" s="56"/>
    </row>
    <row r="22" spans="1:3" x14ac:dyDescent="0.35">
      <c r="A22" s="3" t="s">
        <v>32</v>
      </c>
      <c r="B22" s="10"/>
      <c r="C22" s="56"/>
    </row>
    <row r="23" spans="1:3" x14ac:dyDescent="0.35">
      <c r="B23" s="10"/>
      <c r="C23" s="56"/>
    </row>
    <row r="24" spans="1:3" x14ac:dyDescent="0.35">
      <c r="A24" s="11" t="s">
        <v>28</v>
      </c>
      <c r="B24" s="12"/>
      <c r="C24" s="57">
        <v>339700.61</v>
      </c>
    </row>
    <row r="25" spans="1:3" x14ac:dyDescent="0.35">
      <c r="A25" s="5" t="s">
        <v>29</v>
      </c>
      <c r="B25" s="24"/>
      <c r="C25" s="57">
        <v>0</v>
      </c>
    </row>
    <row r="26" spans="1:3" x14ac:dyDescent="0.35">
      <c r="A26" s="3" t="s">
        <v>30</v>
      </c>
      <c r="B26" s="6"/>
      <c r="C26" s="58">
        <f t="shared" ref="C26" si="0">+C24+C25</f>
        <v>339700.61</v>
      </c>
    </row>
    <row r="27" spans="1:3" ht="15" thickBot="1" x14ac:dyDescent="0.4">
      <c r="A27" s="13" t="s">
        <v>12</v>
      </c>
      <c r="B27" s="25"/>
      <c r="C27" s="59">
        <f t="shared" ref="C27" si="1">-C26+C20</f>
        <v>1060202.010670986</v>
      </c>
    </row>
    <row r="28" spans="1:3" x14ac:dyDescent="0.35">
      <c r="A28" s="3"/>
      <c r="B28" s="4"/>
      <c r="C28" s="62"/>
    </row>
    <row r="29" spans="1:3" x14ac:dyDescent="0.35">
      <c r="A29" s="14" t="s">
        <v>13</v>
      </c>
      <c r="B29" s="15"/>
      <c r="C29" s="15">
        <f>(0.23445/12)/100</f>
        <v>1.9537499999999999E-4</v>
      </c>
    </row>
    <row r="30" spans="1:3" x14ac:dyDescent="0.35">
      <c r="A30" s="16" t="s">
        <v>14</v>
      </c>
      <c r="B30" s="53"/>
      <c r="C30" s="53">
        <f>(C27+B32)*C29</f>
        <v>1612.1077000643145</v>
      </c>
    </row>
    <row r="31" spans="1:3" x14ac:dyDescent="0.35">
      <c r="A31" s="3"/>
      <c r="B31" s="60"/>
      <c r="C31" s="60"/>
    </row>
    <row r="32" spans="1:3" ht="15" thickBot="1" x14ac:dyDescent="0.4">
      <c r="A32" s="13" t="s">
        <v>15</v>
      </c>
      <c r="B32" s="61">
        <v>7191148.9813408609</v>
      </c>
      <c r="C32" s="61">
        <f t="shared" ref="C32" si="2">C27+C30+B32</f>
        <v>8252963.0997119118</v>
      </c>
    </row>
  </sheetData>
  <pageMargins left="0.7" right="0.7" top="0.75" bottom="0.75" header="0.3" footer="0.3"/>
  <pageSetup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4.5" x14ac:dyDescent="0.35"/>
  <cols>
    <col min="1" max="1" width="32" customWidth="1"/>
    <col min="2" max="2" width="16.26953125" customWidth="1"/>
    <col min="3" max="3" width="19.6328125" customWidth="1"/>
    <col min="4" max="4" width="21.632812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53</v>
      </c>
    </row>
    <row r="4" spans="1:4" x14ac:dyDescent="0.35">
      <c r="A4" s="20" t="s">
        <v>16</v>
      </c>
    </row>
    <row r="5" spans="1:4" x14ac:dyDescent="0.35">
      <c r="A5" s="21" t="s">
        <v>78</v>
      </c>
    </row>
    <row r="7" spans="1:4" ht="15" thickBot="1" x14ac:dyDescent="0.4">
      <c r="A7" s="19"/>
      <c r="D7" s="8"/>
    </row>
    <row r="8" spans="1:4" x14ac:dyDescent="0.35">
      <c r="A8" s="52" t="s">
        <v>46</v>
      </c>
      <c r="B8" s="52" t="s">
        <v>34</v>
      </c>
      <c r="C8" s="48" t="s">
        <v>19</v>
      </c>
      <c r="D8" s="8"/>
    </row>
    <row r="9" spans="1:4" x14ac:dyDescent="0.35">
      <c r="A9" s="45" t="s">
        <v>35</v>
      </c>
      <c r="B9" s="36" t="s">
        <v>36</v>
      </c>
      <c r="C9" s="46">
        <v>233361.36</v>
      </c>
    </row>
    <row r="10" spans="1:4" x14ac:dyDescent="0.35">
      <c r="A10" s="45" t="s">
        <v>37</v>
      </c>
      <c r="B10" s="36" t="s">
        <v>36</v>
      </c>
      <c r="C10" s="46">
        <v>50518.91</v>
      </c>
      <c r="D10" s="8"/>
    </row>
    <row r="11" spans="1:4" x14ac:dyDescent="0.35">
      <c r="A11" s="45" t="s">
        <v>38</v>
      </c>
      <c r="B11" s="36" t="s">
        <v>36</v>
      </c>
      <c r="C11" s="46">
        <v>107844.59</v>
      </c>
      <c r="D11" s="8"/>
    </row>
    <row r="12" spans="1:4" x14ac:dyDescent="0.35">
      <c r="A12" s="45" t="s">
        <v>39</v>
      </c>
      <c r="B12" s="36" t="s">
        <v>40</v>
      </c>
      <c r="C12" s="46">
        <v>53992.09</v>
      </c>
      <c r="D12" s="8"/>
    </row>
    <row r="13" spans="1:4" x14ac:dyDescent="0.35">
      <c r="A13" s="45" t="s">
        <v>41</v>
      </c>
      <c r="B13" s="36" t="s">
        <v>36</v>
      </c>
      <c r="C13" s="46">
        <f>1655.67+42.51+891.82</f>
        <v>2590</v>
      </c>
      <c r="D13" s="32"/>
    </row>
    <row r="14" spans="1:4" x14ac:dyDescent="0.35">
      <c r="A14" s="45" t="s">
        <v>42</v>
      </c>
      <c r="B14" s="36"/>
      <c r="C14" s="46"/>
      <c r="D14" s="32"/>
    </row>
    <row r="15" spans="1:4" x14ac:dyDescent="0.35">
      <c r="A15" s="47" t="s">
        <v>43</v>
      </c>
      <c r="B15" s="36" t="s">
        <v>40</v>
      </c>
      <c r="C15" s="46">
        <v>2462.8000000000002</v>
      </c>
      <c r="D15" s="32"/>
    </row>
    <row r="16" spans="1:4" x14ac:dyDescent="0.35">
      <c r="A16" s="47" t="s">
        <v>44</v>
      </c>
      <c r="B16" s="36" t="s">
        <v>40</v>
      </c>
      <c r="C16" s="46">
        <v>25113.48</v>
      </c>
      <c r="D16" s="32"/>
    </row>
    <row r="17" spans="1:4" x14ac:dyDescent="0.35">
      <c r="A17" s="47" t="s">
        <v>45</v>
      </c>
      <c r="B17" s="36" t="s">
        <v>40</v>
      </c>
      <c r="C17" s="46">
        <f>430.62+21172.5</f>
        <v>21603.119999999999</v>
      </c>
      <c r="D17" s="32"/>
    </row>
    <row r="18" spans="1:4" x14ac:dyDescent="0.35">
      <c r="D18" s="32"/>
    </row>
    <row r="19" spans="1:4" ht="15" thickBot="1" x14ac:dyDescent="0.4">
      <c r="A19" s="43" t="s">
        <v>33</v>
      </c>
      <c r="B19" s="42"/>
      <c r="C19" s="44">
        <f>SUM(C9:C18)</f>
        <v>497486.34999999992</v>
      </c>
      <c r="D19" s="32"/>
    </row>
    <row r="20" spans="1:4" ht="15" thickTop="1" x14ac:dyDescent="0.35">
      <c r="D20" s="32"/>
    </row>
    <row r="21" spans="1:4" x14ac:dyDescent="0.35">
      <c r="D21" s="32"/>
    </row>
    <row r="22" spans="1:4" x14ac:dyDescent="0.35">
      <c r="D22" s="32"/>
    </row>
    <row r="23" spans="1:4" x14ac:dyDescent="0.35">
      <c r="A23" s="34"/>
      <c r="B23" s="35"/>
      <c r="C23" s="35"/>
    </row>
    <row r="24" spans="1:4" x14ac:dyDescent="0.35">
      <c r="A24" s="34"/>
      <c r="B24" s="35"/>
      <c r="C24" s="35"/>
    </row>
    <row r="25" spans="1:4" x14ac:dyDescent="0.35">
      <c r="A25" s="34"/>
      <c r="B25" s="35"/>
      <c r="C25" s="35"/>
    </row>
    <row r="26" spans="1:4" x14ac:dyDescent="0.35">
      <c r="A26" s="34"/>
      <c r="B26" s="35"/>
      <c r="C26" s="35"/>
    </row>
    <row r="27" spans="1:4" x14ac:dyDescent="0.35">
      <c r="A27" s="33"/>
      <c r="B27" s="33"/>
      <c r="C27" s="33"/>
    </row>
    <row r="28" spans="1:4" x14ac:dyDescent="0.35">
      <c r="A28" s="33"/>
      <c r="B28" s="33"/>
    </row>
    <row r="29" spans="1:4" x14ac:dyDescent="0.35">
      <c r="A29" s="33"/>
      <c r="B29" s="33"/>
    </row>
    <row r="30" spans="1:4" x14ac:dyDescent="0.35">
      <c r="A30" s="33"/>
      <c r="B30" s="33"/>
    </row>
    <row r="31" spans="1:4" x14ac:dyDescent="0.35">
      <c r="A31" s="33"/>
      <c r="B31" s="33"/>
    </row>
    <row r="32" spans="1:4" x14ac:dyDescent="0.35">
      <c r="A32" s="33"/>
      <c r="B32" s="33"/>
    </row>
    <row r="33" spans="1:2" x14ac:dyDescent="0.35">
      <c r="A33" s="33"/>
      <c r="B33" s="33"/>
    </row>
    <row r="34" spans="1:2" x14ac:dyDescent="0.35">
      <c r="A34" s="33"/>
      <c r="B34" s="33"/>
    </row>
    <row r="35" spans="1:2" x14ac:dyDescent="0.35">
      <c r="A35" s="33"/>
      <c r="B35" s="33"/>
    </row>
    <row r="36" spans="1:2" x14ac:dyDescent="0.35">
      <c r="A36" s="33"/>
      <c r="B36" s="33"/>
    </row>
    <row r="37" spans="1:2" x14ac:dyDescent="0.35">
      <c r="A37" s="33"/>
      <c r="B37" s="33"/>
    </row>
    <row r="38" spans="1:2" x14ac:dyDescent="0.35">
      <c r="A38" s="33"/>
      <c r="B38" s="33"/>
    </row>
    <row r="39" spans="1:2" x14ac:dyDescent="0.35">
      <c r="A39" s="33"/>
      <c r="B39" s="33"/>
    </row>
    <row r="40" spans="1:2" x14ac:dyDescent="0.35">
      <c r="A40" s="33"/>
      <c r="B40" s="33"/>
    </row>
    <row r="41" spans="1:2" x14ac:dyDescent="0.35">
      <c r="A41" s="33"/>
      <c r="B41" s="33"/>
    </row>
    <row r="42" spans="1:2" x14ac:dyDescent="0.35">
      <c r="A42" s="33"/>
      <c r="B42" s="33"/>
    </row>
    <row r="43" spans="1:2" x14ac:dyDescent="0.35">
      <c r="A43" s="33"/>
      <c r="B43" s="33"/>
    </row>
    <row r="44" spans="1:2" x14ac:dyDescent="0.35">
      <c r="A44" s="33"/>
      <c r="B44" s="33"/>
    </row>
    <row r="45" spans="1:2" x14ac:dyDescent="0.35">
      <c r="A45" s="33"/>
      <c r="B45" s="33"/>
    </row>
    <row r="46" spans="1:2" x14ac:dyDescent="0.35">
      <c r="A46" s="33"/>
      <c r="B46" s="33"/>
    </row>
    <row r="47" spans="1:2" x14ac:dyDescent="0.35">
      <c r="B47" s="3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4.5" x14ac:dyDescent="0.35"/>
  <cols>
    <col min="1" max="1" width="14" customWidth="1"/>
    <col min="2" max="2" width="50.6328125" customWidth="1"/>
    <col min="3" max="3" width="3.36328125" customWidth="1"/>
    <col min="4" max="4" width="21.6328125" customWidth="1"/>
  </cols>
  <sheetData>
    <row r="1" spans="1:4" x14ac:dyDescent="0.35">
      <c r="A1" s="20" t="s">
        <v>0</v>
      </c>
    </row>
    <row r="2" spans="1:4" x14ac:dyDescent="0.35">
      <c r="A2" s="20" t="s">
        <v>55</v>
      </c>
    </row>
    <row r="3" spans="1:4" x14ac:dyDescent="0.35">
      <c r="A3" s="20" t="s">
        <v>53</v>
      </c>
    </row>
    <row r="4" spans="1:4" x14ac:dyDescent="0.35">
      <c r="A4" s="20" t="s">
        <v>17</v>
      </c>
    </row>
    <row r="5" spans="1:4" x14ac:dyDescent="0.35">
      <c r="A5" s="22" t="str">
        <f>+'18A'!A5</f>
        <v>January 2022</v>
      </c>
    </row>
    <row r="7" spans="1:4" x14ac:dyDescent="0.35">
      <c r="A7" s="18" t="s">
        <v>56</v>
      </c>
      <c r="B7" s="17"/>
      <c r="D7" s="8"/>
    </row>
    <row r="8" spans="1:4" x14ac:dyDescent="0.35">
      <c r="A8" s="2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4.5" x14ac:dyDescent="0.35"/>
  <cols>
    <col min="1" max="1" width="14.36328125" customWidth="1"/>
    <col min="2" max="2" width="50.6328125" customWidth="1"/>
    <col min="3" max="3" width="3.36328125" customWidth="1"/>
    <col min="4" max="4" width="21.632812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54</v>
      </c>
    </row>
    <row r="4" spans="1:4" x14ac:dyDescent="0.35">
      <c r="A4" s="22" t="str">
        <f>+'18A'!A5</f>
        <v>January 2022</v>
      </c>
    </row>
    <row r="6" spans="1:4" x14ac:dyDescent="0.35">
      <c r="A6" s="18"/>
      <c r="B6" s="17"/>
      <c r="D6" s="8"/>
    </row>
    <row r="7" spans="1:4" x14ac:dyDescent="0.35">
      <c r="A7" t="s">
        <v>47</v>
      </c>
    </row>
    <row r="9" spans="1:4" s="33" customFormat="1" x14ac:dyDescent="0.35"/>
    <row r="10" spans="1:4" s="33" customFormat="1" x14ac:dyDescent="0.35"/>
    <row r="11" spans="1:4" s="33" customFormat="1" x14ac:dyDescent="0.35"/>
    <row r="12" spans="1:4" s="33" customFormat="1" x14ac:dyDescent="0.3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G19" sqref="G19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36328125" customWidth="1"/>
    <col min="7" max="7" width="14.81640625" customWidth="1"/>
    <col min="13" max="13" width="11.632812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53</v>
      </c>
    </row>
    <row r="4" spans="1:7" x14ac:dyDescent="0.35">
      <c r="A4" s="20" t="s">
        <v>18</v>
      </c>
    </row>
    <row r="5" spans="1:7" x14ac:dyDescent="0.35">
      <c r="A5" s="22" t="str">
        <f>+'18A'!A5</f>
        <v>January 2022</v>
      </c>
    </row>
    <row r="6" spans="1:7" ht="15" thickBot="1" x14ac:dyDescent="0.4"/>
    <row r="7" spans="1:7" ht="42.75" customHeight="1" x14ac:dyDescent="0.35">
      <c r="A7" s="48" t="s">
        <v>46</v>
      </c>
      <c r="B7" s="48" t="s">
        <v>34</v>
      </c>
      <c r="C7" s="48" t="s">
        <v>19</v>
      </c>
      <c r="D7" s="48" t="s">
        <v>52</v>
      </c>
      <c r="E7" s="48" t="s">
        <v>50</v>
      </c>
      <c r="F7" s="48" t="s">
        <v>51</v>
      </c>
      <c r="G7" s="48" t="s">
        <v>48</v>
      </c>
    </row>
    <row r="8" spans="1:7" x14ac:dyDescent="0.35">
      <c r="A8" s="36" t="s">
        <v>35</v>
      </c>
      <c r="B8" s="36" t="s">
        <v>36</v>
      </c>
      <c r="C8" s="46">
        <f>'18A'!C9</f>
        <v>233361.36</v>
      </c>
      <c r="D8" s="49">
        <f>([11]SRP!$E$38)*1000</f>
        <v>1429394000</v>
      </c>
      <c r="E8" s="41">
        <f>'[11]Rate Schedule'!$C$22</f>
        <v>1.663353535602408E-4</v>
      </c>
      <c r="F8" s="46">
        <f>D8*E8</f>
        <v>237758.75636688684</v>
      </c>
      <c r="G8" s="46">
        <f>F8-C8</f>
        <v>4397.3963668868528</v>
      </c>
    </row>
    <row r="9" spans="1:7" x14ac:dyDescent="0.35">
      <c r="A9" s="36" t="s">
        <v>37</v>
      </c>
      <c r="B9" s="36" t="s">
        <v>36</v>
      </c>
      <c r="C9" s="46">
        <f>'18A'!C10</f>
        <v>50518.91</v>
      </c>
      <c r="D9" s="49">
        <f>([11]SRP!$F$38+[11]SRP!$J$38)*1000</f>
        <v>284343440</v>
      </c>
      <c r="E9" s="41">
        <f>'[11]Rate Schedule'!$C$22</f>
        <v>1.663353535602408E-4</v>
      </c>
      <c r="F9" s="46">
        <f t="shared" ref="F9:F16" si="0">D9*E9</f>
        <v>47296.366624935115</v>
      </c>
      <c r="G9" s="46">
        <f t="shared" ref="G9:G16" si="1">F9-C9</f>
        <v>-3222.5433750648881</v>
      </c>
    </row>
    <row r="10" spans="1:7" x14ac:dyDescent="0.35">
      <c r="A10" s="36" t="s">
        <v>38</v>
      </c>
      <c r="B10" s="36" t="s">
        <v>36</v>
      </c>
      <c r="C10" s="46">
        <f>'18A'!C11</f>
        <v>107844.59</v>
      </c>
      <c r="D10" s="49">
        <f>([11]SRP!$G$38+[11]SRP!$K$38)*1000</f>
        <v>636004200</v>
      </c>
      <c r="E10" s="41">
        <f>'[11]Rate Schedule'!$C$22</f>
        <v>1.663353535602408E-4</v>
      </c>
      <c r="F10" s="46">
        <f t="shared" si="0"/>
        <v>105789.98347279811</v>
      </c>
      <c r="G10" s="46">
        <f t="shared" si="1"/>
        <v>-2054.6065272018895</v>
      </c>
    </row>
    <row r="11" spans="1:7" x14ac:dyDescent="0.35">
      <c r="A11" s="36" t="s">
        <v>39</v>
      </c>
      <c r="B11" s="36" t="s">
        <v>40</v>
      </c>
      <c r="C11" s="46">
        <f>'18A'!C12</f>
        <v>53992.09</v>
      </c>
      <c r="D11" s="49">
        <f>([11]SRP!$H$38+[11]SRP!$L$38)*1000</f>
        <v>312909660.00000006</v>
      </c>
      <c r="E11" s="41">
        <f>'[11]Rate Schedule'!$C$22</f>
        <v>1.663353535602408E-4</v>
      </c>
      <c r="F11" s="46">
        <f t="shared" si="0"/>
        <v>52047.938928514748</v>
      </c>
      <c r="G11" s="46">
        <f t="shared" si="1"/>
        <v>-1944.1510714852484</v>
      </c>
    </row>
    <row r="12" spans="1:7" x14ac:dyDescent="0.35">
      <c r="A12" s="36" t="s">
        <v>49</v>
      </c>
      <c r="B12" s="36" t="s">
        <v>36</v>
      </c>
      <c r="C12" s="46">
        <f>'18A'!C13</f>
        <v>2590</v>
      </c>
      <c r="D12" s="49">
        <f>[11]SRP!$N$38*1000</f>
        <v>15057610</v>
      </c>
      <c r="E12" s="41">
        <f>'[11]Rate Schedule'!$C$22</f>
        <v>1.663353535602408E-4</v>
      </c>
      <c r="F12" s="46">
        <f t="shared" si="0"/>
        <v>2504.6128831222177</v>
      </c>
      <c r="G12" s="46">
        <f t="shared" si="1"/>
        <v>-85.387116877782319</v>
      </c>
    </row>
    <row r="13" spans="1:7" x14ac:dyDescent="0.35">
      <c r="A13" s="36" t="s">
        <v>42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35">
      <c r="A14" s="37" t="s">
        <v>43</v>
      </c>
      <c r="B14" s="36" t="s">
        <v>40</v>
      </c>
      <c r="C14" s="46">
        <f>'18A'!C15</f>
        <v>2462.8000000000002</v>
      </c>
      <c r="D14" s="49">
        <f>[12]Data!$R$13*1000</f>
        <v>18032047.027651284</v>
      </c>
      <c r="E14" s="41">
        <f>'[11]Rate Schedule'!$C$22</f>
        <v>1.663353535602408E-4</v>
      </c>
      <c r="F14" s="46">
        <f t="shared" si="0"/>
        <v>2999.3669177592656</v>
      </c>
      <c r="G14" s="46">
        <f t="shared" si="1"/>
        <v>536.56691775926538</v>
      </c>
    </row>
    <row r="15" spans="1:7" x14ac:dyDescent="0.35">
      <c r="A15" s="37" t="s">
        <v>44</v>
      </c>
      <c r="B15" s="36" t="s">
        <v>40</v>
      </c>
      <c r="C15" s="46">
        <f>'18A'!C16</f>
        <v>25113.48</v>
      </c>
      <c r="D15" s="49">
        <f>[12]Data!$S$13*1000</f>
        <v>155316374.57801074</v>
      </c>
      <c r="E15" s="41">
        <f>'[11]Rate Schedule'!$C$22</f>
        <v>1.663353535602408E-4</v>
      </c>
      <c r="F15" s="46">
        <f t="shared" si="0"/>
        <v>25834.604079128214</v>
      </c>
      <c r="G15" s="46">
        <f t="shared" si="1"/>
        <v>721.12407912821436</v>
      </c>
    </row>
    <row r="16" spans="1:7" x14ac:dyDescent="0.35">
      <c r="A16" s="37" t="s">
        <v>45</v>
      </c>
      <c r="B16" s="36" t="s">
        <v>40</v>
      </c>
      <c r="C16" s="46">
        <f>'18A'!C17</f>
        <v>21603.119999999999</v>
      </c>
      <c r="D16" s="49">
        <f>[12]Data!$T$13*1000</f>
        <v>107685048.39433798</v>
      </c>
      <c r="E16" s="41">
        <f>'[11]Rate Schedule'!$C$22</f>
        <v>1.663353535602408E-4</v>
      </c>
      <c r="F16" s="46">
        <f t="shared" si="0"/>
        <v>17911.83059782385</v>
      </c>
      <c r="G16" s="46">
        <f t="shared" si="1"/>
        <v>-3691.2894021761495</v>
      </c>
    </row>
    <row r="17" spans="1:7" x14ac:dyDescent="0.35">
      <c r="C17" s="50"/>
      <c r="D17" s="49"/>
      <c r="E17" s="38"/>
      <c r="F17" s="46"/>
      <c r="G17" s="46"/>
    </row>
    <row r="18" spans="1:7" ht="15" thickBot="1" x14ac:dyDescent="0.4">
      <c r="A18" s="43" t="s">
        <v>33</v>
      </c>
      <c r="B18" s="42"/>
      <c r="C18" s="44">
        <f>SUM(C8:C17)</f>
        <v>497486.34999999992</v>
      </c>
      <c r="D18" s="51">
        <f>SUM(D8:D17)</f>
        <v>2958742380</v>
      </c>
      <c r="E18" s="39"/>
      <c r="F18" s="44">
        <f>SUM(F8:F17)</f>
        <v>492143.45987096836</v>
      </c>
      <c r="G18" s="44">
        <f>SUM(G8:G17)</f>
        <v>-5342.8901290316253</v>
      </c>
    </row>
    <row r="19" spans="1:7" ht="15" thickTop="1" x14ac:dyDescent="0.35">
      <c r="G19" s="40"/>
    </row>
    <row r="20" spans="1:7" x14ac:dyDescent="0.35">
      <c r="D20" s="4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4.5" x14ac:dyDescent="0.35"/>
  <cols>
    <col min="1" max="1" width="14.36328125" customWidth="1"/>
    <col min="2" max="2" width="50.6328125" customWidth="1"/>
    <col min="3" max="3" width="3.36328125" customWidth="1"/>
    <col min="4" max="4" width="21.632812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57</v>
      </c>
    </row>
    <row r="4" spans="1:1" x14ac:dyDescent="0.35">
      <c r="A4" s="22" t="str">
        <f>+'18A'!A5</f>
        <v>January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Cost Tracker AP1</vt:lpstr>
      <vt:lpstr>Monthly Cost Tracker AP2</vt:lpstr>
      <vt:lpstr>Monthly Cost Tracker AP3</vt:lpstr>
      <vt:lpstr>Monthly Cost Tracker AP4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2022-03-14T20:08:14Z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