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2023\"/>
    </mc:Choice>
  </mc:AlternateContent>
  <bookViews>
    <workbookView xWindow="0" yWindow="0" windowWidth="28800" windowHeight="11700" tabRatio="658" firstSheet="1" activeTab="1"/>
  </bookViews>
  <sheets>
    <sheet name="Monthly Cost Tracker AP1" sheetId="11" state="hidden" r:id="rId1"/>
    <sheet name="Monthly Cost Tracker AP4" sheetId="13" r:id="rId2"/>
    <sheet name="Monthly Cost Tracker AP5" sheetId="14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[6]_pcSlicerSheet5!$A$2:$A$7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>[9]ACCOUNTING!#REF!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>[10]ACCOUNTING!#REF!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>[9]ACCOUNTING!#REF!</definedName>
    <definedName name="rrr">[9]Purchase!$A$1:$E$120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hidden="1">[9]ACCOUNTING!#REF!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5" l="1"/>
  <c r="C13" i="5"/>
  <c r="C29" i="14" l="1"/>
  <c r="C29" i="13"/>
  <c r="F8" i="8" l="1"/>
  <c r="C4" i="14" l="1"/>
  <c r="C26" i="13"/>
  <c r="C27" i="13" s="1"/>
  <c r="C26" i="14" l="1"/>
  <c r="C20" i="14"/>
  <c r="C21" i="6"/>
  <c r="D12" i="6"/>
  <c r="D13" i="6"/>
  <c r="D14" i="6"/>
  <c r="D15" i="6"/>
  <c r="D17" i="6"/>
  <c r="D18" i="6"/>
  <c r="D19" i="6"/>
  <c r="D11" i="6"/>
  <c r="E64" i="6"/>
  <c r="E12" i="6"/>
  <c r="E13" i="6"/>
  <c r="E14" i="6"/>
  <c r="E15" i="6"/>
  <c r="E17" i="6"/>
  <c r="E18" i="6"/>
  <c r="E19" i="6"/>
  <c r="E11" i="6"/>
  <c r="C20" i="13"/>
  <c r="C30" i="13"/>
  <c r="C34" i="13" s="1"/>
  <c r="C37" i="11"/>
  <c r="C35" i="11"/>
  <c r="C30" i="11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C12" i="8"/>
  <c r="C27" i="11"/>
  <c r="C28" i="11"/>
  <c r="C21" i="11"/>
  <c r="C31" i="11"/>
  <c r="C33" i="11"/>
  <c r="A4" i="10"/>
  <c r="A4" i="9"/>
  <c r="A5" i="8"/>
  <c r="A4" i="7"/>
  <c r="A5" i="6"/>
  <c r="C9" i="6" s="1"/>
  <c r="C27" i="14" l="1"/>
  <c r="C30" i="14" s="1"/>
  <c r="E21" i="6"/>
  <c r="G16" i="8"/>
  <c r="G15" i="8"/>
  <c r="G14" i="8"/>
  <c r="G11" i="8"/>
  <c r="F18" i="8"/>
  <c r="D18" i="8"/>
  <c r="G9" i="8"/>
  <c r="G10" i="8"/>
  <c r="G12" i="8"/>
  <c r="C18" i="8"/>
  <c r="G8" i="8"/>
  <c r="C10" i="6"/>
  <c r="C32" i="14" l="1"/>
  <c r="G18" i="8"/>
</calcChain>
</file>

<file path=xl/sharedStrings.xml><?xml version="1.0" encoding="utf-8"?>
<sst xmlns="http://schemas.openxmlformats.org/spreadsheetml/2006/main" count="184" uniqueCount="82">
  <si>
    <t>Ameren Missouri</t>
  </si>
  <si>
    <t>RESRAM Monthly Accounting</t>
  </si>
  <si>
    <t>Accumulation Period 1</t>
  </si>
  <si>
    <t>547004 - Landfill-Gas Fuel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</si>
  <si>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</si>
  <si>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</si>
  <si>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</si>
  <si>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</si>
  <si>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</si>
  <si>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</si>
  <si>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</si>
  <si>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</si>
  <si>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</si>
  <si>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</si>
  <si>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</si>
  <si>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</si>
  <si>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</si>
  <si>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</si>
  <si>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</si>
  <si>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</si>
  <si>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</si>
  <si>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</si>
  <si>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</si>
  <si>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</si>
  <si>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</si>
  <si>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</si>
  <si>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</si>
  <si>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</si>
  <si>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</si>
  <si>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</si>
  <si>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</si>
  <si>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</si>
  <si>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</si>
  <si>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</si>
  <si>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</si>
  <si>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</si>
  <si>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</si>
  <si>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</si>
  <si>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</si>
  <si>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</si>
  <si>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</si>
  <si>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</si>
  <si>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</si>
  <si>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</si>
  <si>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</si>
  <si>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</si>
  <si>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</si>
  <si>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</si>
  <si>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</si>
  <si>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</si>
  <si>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</si>
  <si>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</si>
  <si>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</si>
  <si>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</si>
  <si>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</si>
  <si>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</si>
  <si>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</si>
  <si>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</si>
  <si>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</si>
  <si>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</si>
  <si>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</si>
  <si>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</si>
  <si>
    <t>Interconnection Expenses</t>
  </si>
  <si>
    <t>Reclass AP1 to AP2</t>
  </si>
  <si>
    <t>Final Balance</t>
  </si>
  <si>
    <t>Accumulation Period 4</t>
  </si>
  <si>
    <t>557/509BLH &amp; 509RWD/557RWD- Wind REC Costs</t>
  </si>
  <si>
    <t>557/509CSR &amp; 509RCS/557RCS- Solar REC Costs</t>
  </si>
  <si>
    <t>557/5090BM &amp; 509RBM/557RBM- Landfill-Gas REC Costs</t>
  </si>
  <si>
    <t>557/509H20 &amp; 509RH2/557RH2- Hydro REC Costs</t>
  </si>
  <si>
    <t>557/509PSR &amp; 509RPS/557RPS- Non Customer Solar REC Costs</t>
  </si>
  <si>
    <t>557/509SRP &amp; 509SRP/557SRP- Solar Rebate Processing Costs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</si>
  <si>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</si>
  <si>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RESRAM Amt in Base Rates/Test Year kWh</t>
  </si>
  <si>
    <t>Calculated Rate Allocation by Rate Class</t>
  </si>
  <si>
    <t>RESRAM Rebasing excerpt from File No. ER-2021-0240 Unanimous Stipulation and Agreement</t>
  </si>
  <si>
    <t>Billed kWh used to set rates in ER-2021-0240 rate case</t>
  </si>
  <si>
    <t>447 &amp; 555 - Net OSSR/Purchased Power (100%)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</si>
  <si>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</si>
  <si>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5</t>
  </si>
  <si>
    <t>Reclass AP3 to AP4</t>
  </si>
  <si>
    <t>Jun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</si>
</sst>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85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  <xf numFmtId="168" fontId="10" fillId="0" borderId="0" xfId="1" applyNumberFormat="1" applyFont="1"/>
    <xf numFmtId="0" fontId="10" fillId="0" borderId="0" xfId="0" applyFont="1"/>
    <xf numFmtId="0" fontId="11" fillId="0" borderId="0" xfId="0" applyFont="1" applyAlignment="1"/>
    <xf numFmtId="0" fontId="11" fillId="0" borderId="0" xfId="0" applyFont="1"/>
    <xf numFmtId="166" fontId="9" fillId="3" borderId="5" xfId="6" applyNumberFormat="1" applyFont="1" applyFill="1" applyBorder="1" applyAlignment="1">
      <alignment horizontal="center"/>
    </xf>
    <xf numFmtId="0" fontId="11" fillId="0" borderId="0" xfId="0" applyFont="1" applyFill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170" fontId="14" fillId="0" borderId="0" xfId="0" applyNumberFormat="1" applyFont="1"/>
    <xf numFmtId="0" fontId="5" fillId="4" borderId="0" xfId="0" applyFont="1" applyFill="1"/>
    <xf numFmtId="169" fontId="0" fillId="0" borderId="0" xfId="5" applyNumberFormat="1" applyFont="1"/>
    <xf numFmtId="169" fontId="0" fillId="0" borderId="4" xfId="0" applyNumberFormat="1" applyBorder="1"/>
    <xf numFmtId="0" fontId="15" fillId="0" borderId="0" xfId="0" applyFont="1"/>
    <xf numFmtId="43" fontId="16" fillId="0" borderId="0" xfId="0" applyNumberFormat="1" applyFont="1"/>
    <xf numFmtId="0" fontId="14" fillId="0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Fill="1" applyAlignment="1">
      <alignment horizontal="center"/>
    </xf>
    <xf numFmtId="44" fontId="0" fillId="0" borderId="0" xfId="0" applyNumberFormat="1" applyFill="1"/>
    <xf numFmtId="169" fontId="14" fillId="0" borderId="0" xfId="5" applyNumberFormat="1" applyFont="1" applyFill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30</xdr:row>
      <xdr:rowOff>127000</xdr:rowOff>
    </xdr:from>
    <xdr:to>
      <xdr:col>4</xdr:col>
      <xdr:colOff>1338886</xdr:colOff>
      <xdr:row>37</xdr:row>
      <xdr:rowOff>56998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5715000"/>
          <a:ext cx="7714286" cy="12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273051</xdr:colOff>
      <xdr:row>42</xdr:row>
      <xdr:rowOff>163907</xdr:rowOff>
    </xdr:from>
    <xdr:to>
      <xdr:col>4</xdr:col>
      <xdr:colOff>473833</xdr:colOff>
      <xdr:row>70</xdr:row>
      <xdr:rowOff>6351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3051" y="7987107"/>
          <a:ext cx="6715882" cy="50113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7"/>
  <sheetViews>
    <sheetView zoomScaleNormal="100" workbookViewId="0">
      <pane ySplit="4" topLeftCell="A5" activePane="bottomLeft" state="frozen"/>
      <selection pane="bottomLeft" activeCell="A35" sqref="A35"/>
    </sheetView>
  </sheetViews>
  <sheetFormatPr defaultColWidth="13.453125" defaultRowHeight="14.5" x14ac:dyDescent="0.35"/>
  <cols>
    <col min="1" max="1" width="49.2695312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2</v>
      </c>
    </row>
    <row r="4" spans="1:14" x14ac:dyDescent="0.35">
      <c r="A4" s="1"/>
      <c r="B4" s="2" t="s">
        <v>26</v>
      </c>
      <c r="C4" s="2">
        <v>44227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56</v>
      </c>
      <c r="B6" s="6"/>
      <c r="C6" s="52">
        <v>0</v>
      </c>
    </row>
    <row r="7" spans="1:14" x14ac:dyDescent="0.35">
      <c r="A7" s="5" t="s">
        <v>57</v>
      </c>
      <c r="B7" s="6"/>
      <c r="C7" s="52">
        <v>0</v>
      </c>
    </row>
    <row r="8" spans="1:14" x14ac:dyDescent="0.35">
      <c r="A8" s="5" t="s">
        <v>58</v>
      </c>
      <c r="B8" s="6"/>
      <c r="C8" s="52">
        <v>0</v>
      </c>
    </row>
    <row r="9" spans="1:14" x14ac:dyDescent="0.35">
      <c r="A9" s="5" t="s">
        <v>3</v>
      </c>
      <c r="B9" s="6"/>
      <c r="C9" s="52">
        <v>0</v>
      </c>
    </row>
    <row r="10" spans="1:14" x14ac:dyDescent="0.35">
      <c r="A10" s="5" t="s">
        <v>59</v>
      </c>
      <c r="B10" s="6"/>
      <c r="C10" s="52">
        <v>0</v>
      </c>
    </row>
    <row r="11" spans="1:14" x14ac:dyDescent="0.35">
      <c r="A11" s="5" t="s">
        <v>60</v>
      </c>
      <c r="B11" s="6"/>
      <c r="C11" s="52">
        <v>0</v>
      </c>
    </row>
    <row r="12" spans="1:14" x14ac:dyDescent="0.35">
      <c r="A12" s="5" t="s">
        <v>61</v>
      </c>
      <c r="B12" s="6"/>
      <c r="C12" s="52">
        <v>0</v>
      </c>
    </row>
    <row r="13" spans="1:14" x14ac:dyDescent="0.35">
      <c r="A13" s="5" t="s">
        <v>4</v>
      </c>
      <c r="B13" s="7"/>
      <c r="C13" s="49">
        <v>0</v>
      </c>
    </row>
    <row r="14" spans="1:14" x14ac:dyDescent="0.35">
      <c r="A14" s="5" t="s">
        <v>5</v>
      </c>
      <c r="B14" s="6"/>
      <c r="C14" s="52">
        <v>0</v>
      </c>
    </row>
    <row r="15" spans="1:14" x14ac:dyDescent="0.35">
      <c r="A15" s="5" t="s">
        <v>6</v>
      </c>
      <c r="B15" s="6"/>
      <c r="C15" s="52">
        <v>0</v>
      </c>
    </row>
    <row r="16" spans="1:14" x14ac:dyDescent="0.35">
      <c r="A16" s="5" t="s">
        <v>7</v>
      </c>
      <c r="B16" s="6"/>
      <c r="C16" s="52">
        <v>0</v>
      </c>
    </row>
    <row r="17" spans="1:3" x14ac:dyDescent="0.35">
      <c r="A17" s="5" t="s">
        <v>8</v>
      </c>
      <c r="B17" s="6"/>
      <c r="C17" s="52">
        <v>0</v>
      </c>
    </row>
    <row r="18" spans="1:3" x14ac:dyDescent="0.35">
      <c r="A18" s="5" t="s">
        <v>9</v>
      </c>
      <c r="B18" s="6"/>
      <c r="C18" s="52">
        <v>0</v>
      </c>
    </row>
    <row r="19" spans="1:3" x14ac:dyDescent="0.35">
      <c r="A19" s="5" t="s">
        <v>62</v>
      </c>
      <c r="B19" s="6"/>
      <c r="C19" s="52">
        <v>0</v>
      </c>
    </row>
    <row r="20" spans="1:3" x14ac:dyDescent="0.35">
      <c r="A20" s="5" t="s">
        <v>10</v>
      </c>
      <c r="B20" s="6"/>
      <c r="C20" s="52">
        <v>0</v>
      </c>
    </row>
    <row r="21" spans="1:3" ht="15" thickBot="1" x14ac:dyDescent="0.4">
      <c r="A21" s="3" t="s">
        <v>11</v>
      </c>
      <c r="B21" s="9"/>
      <c r="C21" s="53">
        <f t="shared" ref="C21" si="0">SUM(C6:C15)</f>
        <v>0</v>
      </c>
    </row>
    <row r="22" spans="1:3" x14ac:dyDescent="0.35">
      <c r="A22" s="3"/>
      <c r="B22" s="30"/>
      <c r="C22" s="54"/>
    </row>
    <row r="23" spans="1:3" x14ac:dyDescent="0.35">
      <c r="A23" s="3" t="s">
        <v>31</v>
      </c>
      <c r="B23" s="29"/>
      <c r="C23" s="54">
        <v>-641855.02</v>
      </c>
    </row>
    <row r="24" spans="1:3" x14ac:dyDescent="0.35">
      <c r="B24" s="10"/>
      <c r="C24" s="55"/>
    </row>
    <row r="25" spans="1:3" x14ac:dyDescent="0.35">
      <c r="A25" s="11" t="s">
        <v>28</v>
      </c>
      <c r="B25" s="12"/>
      <c r="C25" s="56">
        <v>0</v>
      </c>
    </row>
    <row r="26" spans="1:3" x14ac:dyDescent="0.35">
      <c r="A26" s="5" t="s">
        <v>29</v>
      </c>
      <c r="B26" s="23"/>
      <c r="C26" s="56">
        <v>0</v>
      </c>
    </row>
    <row r="27" spans="1:3" x14ac:dyDescent="0.35">
      <c r="A27" s="3" t="s">
        <v>30</v>
      </c>
      <c r="B27" s="6"/>
      <c r="C27" s="57">
        <f>+C25+C26+C23</f>
        <v>-641855.02</v>
      </c>
    </row>
    <row r="28" spans="1:3" ht="15" thickBot="1" x14ac:dyDescent="0.4">
      <c r="A28" s="13" t="s">
        <v>12</v>
      </c>
      <c r="B28" s="24"/>
      <c r="C28" s="58">
        <f>C27+C21</f>
        <v>-641855.02</v>
      </c>
    </row>
    <row r="29" spans="1:3" x14ac:dyDescent="0.35">
      <c r="A29" s="3"/>
      <c r="B29" s="4"/>
      <c r="C29" s="4"/>
    </row>
    <row r="30" spans="1:3" x14ac:dyDescent="0.35">
      <c r="A30" s="14" t="s">
        <v>13</v>
      </c>
      <c r="B30" s="15"/>
      <c r="C30" s="15">
        <f>(0.206139/12)/100</f>
        <v>1.717825E-4</v>
      </c>
    </row>
    <row r="31" spans="1:3" x14ac:dyDescent="0.35">
      <c r="A31" s="16" t="s">
        <v>14</v>
      </c>
      <c r="B31" s="52"/>
      <c r="C31" s="52">
        <f>(C28+B33)*C30</f>
        <v>115.52313370376734</v>
      </c>
    </row>
    <row r="32" spans="1:3" x14ac:dyDescent="0.35">
      <c r="A32" s="3"/>
      <c r="B32" s="59"/>
      <c r="C32" s="59"/>
    </row>
    <row r="33" spans="1:3" ht="15" thickBot="1" x14ac:dyDescent="0.4">
      <c r="A33" s="13" t="s">
        <v>15</v>
      </c>
      <c r="B33" s="60">
        <v>1314351.5414953057</v>
      </c>
      <c r="C33" s="60">
        <f t="shared" ref="C33" si="1">C28+C31+B33</f>
        <v>672612.04462900944</v>
      </c>
    </row>
    <row r="35" spans="1:3" x14ac:dyDescent="0.35">
      <c r="A35" s="3" t="s">
        <v>63</v>
      </c>
      <c r="C35" s="59">
        <f>-C33</f>
        <v>-672612.04462900944</v>
      </c>
    </row>
    <row r="37" spans="1:3" ht="15" thickBot="1" x14ac:dyDescent="0.4">
      <c r="A37" s="13" t="s">
        <v>64</v>
      </c>
      <c r="B37" s="60"/>
      <c r="C37" s="60">
        <f>C33+C35</f>
        <v>0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4"/>
  <sheetViews>
    <sheetView tabSelected="1" zoomScaleNormal="100" workbookViewId="0">
      <pane ySplit="4" topLeftCell="A5" activePane="bottomLeft" state="frozen"/>
      <selection pane="bottomLeft" activeCell="D34" sqref="D34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65</v>
      </c>
    </row>
    <row r="4" spans="1:14" x14ac:dyDescent="0.35">
      <c r="A4" s="1"/>
      <c r="B4" s="2" t="s">
        <v>26</v>
      </c>
      <c r="C4" s="2">
        <v>45107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66</v>
      </c>
      <c r="B6" s="6"/>
      <c r="C6" s="52"/>
    </row>
    <row r="7" spans="1:14" x14ac:dyDescent="0.35">
      <c r="A7" s="5" t="s">
        <v>67</v>
      </c>
      <c r="B7" s="6"/>
      <c r="C7" s="52"/>
    </row>
    <row r="8" spans="1:14" x14ac:dyDescent="0.35">
      <c r="A8" s="5" t="s">
        <v>68</v>
      </c>
      <c r="B8" s="6"/>
      <c r="C8" s="52"/>
    </row>
    <row r="9" spans="1:14" x14ac:dyDescent="0.35">
      <c r="A9" s="5" t="s">
        <v>69</v>
      </c>
      <c r="B9" s="6"/>
      <c r="C9" s="52"/>
    </row>
    <row r="10" spans="1:14" x14ac:dyDescent="0.35">
      <c r="A10" s="5" t="s">
        <v>70</v>
      </c>
      <c r="B10" s="6"/>
      <c r="C10" s="52"/>
    </row>
    <row r="11" spans="1:14" x14ac:dyDescent="0.35">
      <c r="A11" s="5" t="s">
        <v>71</v>
      </c>
      <c r="B11" s="6"/>
      <c r="C11" s="52"/>
    </row>
    <row r="12" spans="1:14" x14ac:dyDescent="0.35">
      <c r="A12" s="5" t="s">
        <v>4</v>
      </c>
      <c r="B12" s="7"/>
      <c r="C12" s="49"/>
    </row>
    <row r="13" spans="1:14" x14ac:dyDescent="0.35">
      <c r="A13" s="5" t="s">
        <v>5</v>
      </c>
      <c r="B13" s="6"/>
      <c r="C13" s="49"/>
      <c r="F13" s="62"/>
      <c r="G13" s="63"/>
    </row>
    <row r="14" spans="1:14" x14ac:dyDescent="0.35">
      <c r="A14" s="5" t="s">
        <v>77</v>
      </c>
      <c r="B14" s="6"/>
      <c r="C14" s="52"/>
    </row>
    <row r="15" spans="1:14" x14ac:dyDescent="0.35">
      <c r="A15" s="5" t="s">
        <v>7</v>
      </c>
      <c r="B15" s="6"/>
      <c r="C15" s="52"/>
    </row>
    <row r="16" spans="1:14" x14ac:dyDescent="0.35">
      <c r="A16" s="5" t="s">
        <v>8</v>
      </c>
      <c r="B16" s="6"/>
      <c r="C16" s="52"/>
    </row>
    <row r="17" spans="1:4" x14ac:dyDescent="0.35">
      <c r="A17" s="5" t="s">
        <v>9</v>
      </c>
      <c r="B17" s="6"/>
      <c r="C17" s="52"/>
    </row>
    <row r="18" spans="1:4" x14ac:dyDescent="0.35">
      <c r="A18" s="5" t="s">
        <v>62</v>
      </c>
      <c r="B18" s="6"/>
      <c r="C18" s="52"/>
    </row>
    <row r="19" spans="1:4" x14ac:dyDescent="0.35">
      <c r="A19" s="5" t="s">
        <v>10</v>
      </c>
      <c r="B19" s="6"/>
      <c r="C19" s="52"/>
    </row>
    <row r="20" spans="1:4" ht="15" thickBot="1" x14ac:dyDescent="0.4">
      <c r="A20" s="3" t="s">
        <v>11</v>
      </c>
      <c r="B20" s="9"/>
      <c r="C20" s="53">
        <f>SUM(C6:C19)</f>
        <v>0</v>
      </c>
    </row>
    <row r="21" spans="1:4" x14ac:dyDescent="0.35">
      <c r="B21" s="10"/>
      <c r="C21" s="55"/>
    </row>
    <row r="22" spans="1:4" x14ac:dyDescent="0.35">
      <c r="A22" s="3" t="s">
        <v>31</v>
      </c>
      <c r="B22" s="10"/>
      <c r="C22" s="54">
        <v>-807313.70000138634</v>
      </c>
      <c r="D22" s="76"/>
    </row>
    <row r="23" spans="1:4" x14ac:dyDescent="0.35">
      <c r="B23" s="10"/>
      <c r="C23" s="55"/>
    </row>
    <row r="24" spans="1:4" x14ac:dyDescent="0.35">
      <c r="A24" s="11" t="s">
        <v>28</v>
      </c>
      <c r="B24" s="12"/>
      <c r="C24" s="56">
        <v>0</v>
      </c>
    </row>
    <row r="25" spans="1:4" x14ac:dyDescent="0.35">
      <c r="A25" s="5" t="s">
        <v>29</v>
      </c>
      <c r="B25" s="23"/>
      <c r="C25" s="56"/>
    </row>
    <row r="26" spans="1:4" x14ac:dyDescent="0.35">
      <c r="A26" s="3" t="s">
        <v>30</v>
      </c>
      <c r="B26" s="6"/>
      <c r="C26" s="57">
        <f>+C24+C25+C22</f>
        <v>-807313.70000138634</v>
      </c>
    </row>
    <row r="27" spans="1:4" ht="15" thickBot="1" x14ac:dyDescent="0.4">
      <c r="A27" s="13" t="s">
        <v>12</v>
      </c>
      <c r="B27" s="24"/>
      <c r="C27" s="58">
        <f>C26+C20</f>
        <v>-807313.70000138634</v>
      </c>
    </row>
    <row r="28" spans="1:4" x14ac:dyDescent="0.35">
      <c r="A28" s="3"/>
      <c r="B28" s="4"/>
      <c r="C28" s="61"/>
    </row>
    <row r="29" spans="1:4" x14ac:dyDescent="0.35">
      <c r="A29" s="14" t="s">
        <v>13</v>
      </c>
      <c r="B29" s="15"/>
      <c r="C29" s="15">
        <f>(5.394822/12)/100</f>
        <v>4.4956850000000001E-3</v>
      </c>
    </row>
    <row r="30" spans="1:4" x14ac:dyDescent="0.35">
      <c r="A30" s="16" t="s">
        <v>14</v>
      </c>
      <c r="B30" s="52"/>
      <c r="C30" s="52">
        <f>(C27+B34)*C29</f>
        <v>35965.364771244997</v>
      </c>
    </row>
    <row r="31" spans="1:4" x14ac:dyDescent="0.35">
      <c r="A31" s="3"/>
      <c r="B31" s="59"/>
      <c r="C31" s="59"/>
    </row>
    <row r="32" spans="1:4" x14ac:dyDescent="0.35">
      <c r="A32" s="3" t="s">
        <v>80</v>
      </c>
      <c r="B32" s="59"/>
      <c r="C32" s="59"/>
    </row>
    <row r="33" spans="1:3" x14ac:dyDescent="0.35">
      <c r="A33" s="3"/>
      <c r="B33" s="59"/>
      <c r="C33" s="59"/>
    </row>
    <row r="34" spans="1:3" ht="15" thickBot="1" x14ac:dyDescent="0.4">
      <c r="A34" s="13" t="s">
        <v>15</v>
      </c>
      <c r="B34" s="60">
        <v>8807288.069034135</v>
      </c>
      <c r="C34" s="60">
        <f>C27+C30+B34+C32</f>
        <v>8035939.733803994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N32"/>
  <sheetViews>
    <sheetView zoomScaleNormal="100" workbookViewId="0">
      <pane ySplit="4" topLeftCell="A5" activePane="bottomLeft" state="frozen"/>
      <selection pane="bottomLeft" activeCell="C29" sqref="C29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4" width="18.1796875" customWidth="1"/>
    <col min="5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79</v>
      </c>
    </row>
    <row r="4" spans="1:14" x14ac:dyDescent="0.35">
      <c r="A4" s="1"/>
      <c r="B4" s="2" t="s">
        <v>26</v>
      </c>
      <c r="C4" s="2">
        <f>'Monthly Cost Tracker AP4'!C4</f>
        <v>45107</v>
      </c>
    </row>
    <row r="5" spans="1:14" s="28" customFormat="1" x14ac:dyDescent="0.35">
      <c r="A5" s="26" t="s">
        <v>27</v>
      </c>
      <c r="B5" s="27"/>
      <c r="C5" s="25"/>
      <c r="D5" s="78"/>
      <c r="E5" s="79"/>
      <c r="F5" s="80"/>
      <c r="G5" s="78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66</v>
      </c>
      <c r="B6" s="6"/>
      <c r="C6" s="52">
        <v>79717.489999999991</v>
      </c>
      <c r="D6" s="32"/>
      <c r="E6" s="81"/>
      <c r="F6" s="82"/>
      <c r="G6" s="32"/>
    </row>
    <row r="7" spans="1:14" x14ac:dyDescent="0.35">
      <c r="A7" s="5" t="s">
        <v>67</v>
      </c>
      <c r="B7" s="6"/>
      <c r="C7" s="52">
        <v>3.46</v>
      </c>
      <c r="D7" s="32"/>
      <c r="E7" s="81"/>
      <c r="F7" s="82"/>
      <c r="G7" s="32"/>
    </row>
    <row r="8" spans="1:14" x14ac:dyDescent="0.35">
      <c r="A8" s="5" t="s">
        <v>68</v>
      </c>
      <c r="B8" s="6"/>
      <c r="C8" s="52">
        <v>0</v>
      </c>
      <c r="D8" s="32"/>
      <c r="E8" s="81"/>
      <c r="F8" s="82"/>
      <c r="G8" s="32"/>
    </row>
    <row r="9" spans="1:14" x14ac:dyDescent="0.35">
      <c r="A9" s="5" t="s">
        <v>69</v>
      </c>
      <c r="B9" s="6"/>
      <c r="C9" s="52">
        <v>0</v>
      </c>
      <c r="D9" s="32"/>
      <c r="E9" s="81"/>
      <c r="F9" s="82"/>
      <c r="G9" s="32"/>
    </row>
    <row r="10" spans="1:14" x14ac:dyDescent="0.35">
      <c r="A10" s="5" t="s">
        <v>70</v>
      </c>
      <c r="B10" s="6"/>
      <c r="C10" s="52">
        <v>0</v>
      </c>
      <c r="D10" s="32"/>
      <c r="E10" s="81"/>
      <c r="F10" s="82"/>
      <c r="G10" s="32"/>
    </row>
    <row r="11" spans="1:14" x14ac:dyDescent="0.35">
      <c r="A11" s="5" t="s">
        <v>71</v>
      </c>
      <c r="B11" s="6"/>
      <c r="C11" s="52">
        <v>0</v>
      </c>
      <c r="D11" s="32"/>
      <c r="E11" s="81"/>
      <c r="F11" s="82"/>
      <c r="G11" s="32"/>
    </row>
    <row r="12" spans="1:14" x14ac:dyDescent="0.35">
      <c r="A12" s="5" t="s">
        <v>4</v>
      </c>
      <c r="B12" s="7"/>
      <c r="C12" s="49">
        <v>165161.67000000001</v>
      </c>
      <c r="D12" s="32"/>
      <c r="E12" s="81"/>
      <c r="F12" s="82"/>
      <c r="G12" s="83"/>
    </row>
    <row r="13" spans="1:14" x14ac:dyDescent="0.35">
      <c r="A13" s="5" t="s">
        <v>5</v>
      </c>
      <c r="B13" s="6"/>
      <c r="C13" s="49">
        <v>-16799376.518106017</v>
      </c>
      <c r="D13" s="32"/>
      <c r="E13" s="81"/>
      <c r="F13" s="82"/>
      <c r="G13" s="83"/>
    </row>
    <row r="14" spans="1:14" x14ac:dyDescent="0.35">
      <c r="A14" s="5" t="s">
        <v>77</v>
      </c>
      <c r="B14" s="6"/>
      <c r="C14" s="52">
        <v>-1892459.6399999971</v>
      </c>
      <c r="D14" s="32"/>
      <c r="E14" s="81"/>
      <c r="F14" s="82"/>
      <c r="G14" s="83"/>
    </row>
    <row r="15" spans="1:14" x14ac:dyDescent="0.35">
      <c r="A15" s="5" t="s">
        <v>7</v>
      </c>
      <c r="B15" s="6"/>
      <c r="C15" s="52">
        <v>6947475.3088195166</v>
      </c>
      <c r="D15" s="32"/>
      <c r="E15" s="81"/>
      <c r="F15" s="82"/>
      <c r="G15" s="83"/>
    </row>
    <row r="16" spans="1:14" x14ac:dyDescent="0.35">
      <c r="A16" s="5" t="s">
        <v>8</v>
      </c>
      <c r="B16" s="6"/>
      <c r="C16" s="52">
        <v>3480434.25</v>
      </c>
      <c r="D16" s="32"/>
      <c r="E16" s="81"/>
      <c r="F16" s="82"/>
      <c r="G16" s="83"/>
    </row>
    <row r="17" spans="1:7" x14ac:dyDescent="0.35">
      <c r="A17" s="5" t="s">
        <v>9</v>
      </c>
      <c r="B17" s="6"/>
      <c r="C17" s="52">
        <v>1717498.7</v>
      </c>
      <c r="D17" s="32"/>
      <c r="E17" s="81"/>
      <c r="F17" s="82"/>
      <c r="G17" s="83"/>
    </row>
    <row r="18" spans="1:7" x14ac:dyDescent="0.35">
      <c r="A18" s="5" t="s">
        <v>62</v>
      </c>
      <c r="B18" s="6"/>
      <c r="C18" s="52">
        <v>174561</v>
      </c>
      <c r="D18" s="32"/>
      <c r="E18" s="81"/>
      <c r="F18" s="82"/>
      <c r="G18" s="83"/>
    </row>
    <row r="19" spans="1:7" x14ac:dyDescent="0.35">
      <c r="A19" s="5" t="s">
        <v>10</v>
      </c>
      <c r="B19" s="6"/>
      <c r="C19" s="52">
        <v>758333.33333333337</v>
      </c>
      <c r="D19" s="32"/>
      <c r="E19" s="81"/>
      <c r="F19" s="82"/>
      <c r="G19" s="83"/>
    </row>
    <row r="20" spans="1:7" ht="15" thickBot="1" x14ac:dyDescent="0.4">
      <c r="A20" s="3" t="s">
        <v>11</v>
      </c>
      <c r="B20" s="9"/>
      <c r="C20" s="53">
        <f>SUM(C6:C19)</f>
        <v>-5368650.9459531661</v>
      </c>
      <c r="D20" s="32"/>
      <c r="E20" s="32"/>
      <c r="F20" s="32"/>
      <c r="G20" s="32"/>
    </row>
    <row r="21" spans="1:7" x14ac:dyDescent="0.35">
      <c r="B21" s="10"/>
      <c r="C21" s="55"/>
      <c r="D21" s="32"/>
      <c r="E21" s="32"/>
      <c r="F21" s="32"/>
      <c r="G21" s="32"/>
    </row>
    <row r="22" spans="1:7" x14ac:dyDescent="0.35">
      <c r="A22" s="3" t="s">
        <v>31</v>
      </c>
      <c r="B22" s="10"/>
      <c r="C22" s="55"/>
      <c r="D22" s="32"/>
      <c r="E22" s="32"/>
      <c r="F22" s="32"/>
      <c r="G22" s="32"/>
    </row>
    <row r="23" spans="1:7" x14ac:dyDescent="0.35">
      <c r="B23" s="10"/>
      <c r="C23" s="55"/>
      <c r="D23" s="32"/>
      <c r="E23" s="32"/>
      <c r="F23" s="32"/>
      <c r="G23" s="32"/>
    </row>
    <row r="24" spans="1:7" x14ac:dyDescent="0.35">
      <c r="A24" s="11" t="s">
        <v>28</v>
      </c>
      <c r="B24" s="12"/>
      <c r="C24" s="56">
        <v>57286.910606602905</v>
      </c>
      <c r="D24" s="32"/>
      <c r="E24" s="32"/>
      <c r="F24" s="32"/>
      <c r="G24" s="32"/>
    </row>
    <row r="25" spans="1:7" x14ac:dyDescent="0.35">
      <c r="A25" s="5" t="s">
        <v>29</v>
      </c>
      <c r="B25" s="23"/>
      <c r="C25" s="56">
        <v>1866911.624236092</v>
      </c>
      <c r="D25" s="32"/>
      <c r="E25" s="32"/>
      <c r="F25" s="32"/>
      <c r="G25" s="32"/>
    </row>
    <row r="26" spans="1:7" x14ac:dyDescent="0.35">
      <c r="A26" s="3" t="s">
        <v>30</v>
      </c>
      <c r="B26" s="6"/>
      <c r="C26" s="57">
        <f t="shared" ref="C26" si="0">+C24+C25</f>
        <v>1924198.5348426949</v>
      </c>
      <c r="D26" s="32"/>
      <c r="E26" s="32"/>
      <c r="F26" s="32"/>
      <c r="G26" s="32"/>
    </row>
    <row r="27" spans="1:7" ht="15" thickBot="1" x14ac:dyDescent="0.4">
      <c r="A27" s="13" t="s">
        <v>12</v>
      </c>
      <c r="B27" s="24"/>
      <c r="C27" s="58">
        <f t="shared" ref="C27" si="1">-C26+C20</f>
        <v>-7292849.4807958612</v>
      </c>
      <c r="D27" s="32"/>
      <c r="E27" s="32"/>
      <c r="F27" s="32"/>
      <c r="G27" s="32"/>
    </row>
    <row r="28" spans="1:7" x14ac:dyDescent="0.35">
      <c r="A28" s="3"/>
      <c r="B28" s="4"/>
      <c r="C28" s="61"/>
      <c r="D28" s="32"/>
      <c r="E28" s="32"/>
      <c r="F28" s="32"/>
      <c r="G28" s="32"/>
    </row>
    <row r="29" spans="1:7" x14ac:dyDescent="0.35">
      <c r="A29" s="14" t="s">
        <v>13</v>
      </c>
      <c r="B29" s="15"/>
      <c r="C29" s="15">
        <f>(5.394822/12)/100</f>
        <v>4.4956850000000001E-3</v>
      </c>
      <c r="D29" s="32"/>
      <c r="E29" s="32"/>
      <c r="F29" s="32"/>
      <c r="G29" s="32"/>
    </row>
    <row r="30" spans="1:7" x14ac:dyDescent="0.35">
      <c r="A30" s="16" t="s">
        <v>14</v>
      </c>
      <c r="B30" s="52"/>
      <c r="C30" s="52">
        <f>(C27+B32)*C29</f>
        <v>134633.33363650701</v>
      </c>
      <c r="D30" s="32"/>
      <c r="E30" s="81"/>
      <c r="F30" s="82"/>
      <c r="G30" s="83"/>
    </row>
    <row r="31" spans="1:7" x14ac:dyDescent="0.35">
      <c r="A31" s="3"/>
      <c r="B31" s="59"/>
      <c r="C31" s="59"/>
      <c r="D31" s="32"/>
      <c r="E31" s="32"/>
      <c r="F31" s="32"/>
      <c r="G31" s="32"/>
    </row>
    <row r="32" spans="1:7" ht="15" thickBot="1" x14ac:dyDescent="0.4">
      <c r="A32" s="13" t="s">
        <v>15</v>
      </c>
      <c r="B32" s="60">
        <v>37240084.137251332</v>
      </c>
      <c r="C32" s="60">
        <f t="shared" ref="C32" si="2">C27+C30+B32</f>
        <v>30081867.99009198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zoomScaleNormal="100" workbookViewId="0">
      <selection activeCell="C18" sqref="C18"/>
    </sheetView>
  </sheetViews>
  <sheetFormatPr defaultRowHeight="14.5" x14ac:dyDescent="0.35"/>
  <cols>
    <col min="1" max="1" width="32" customWidth="1"/>
    <col min="2" max="2" width="16.26953125" customWidth="1"/>
    <col min="3" max="3" width="19.54296875" customWidth="1"/>
    <col min="4" max="4" width="21.54296875" customWidth="1"/>
    <col min="5" max="5" width="12.26953125" bestFit="1" customWidth="1"/>
    <col min="6" max="6" width="14" bestFit="1" customWidth="1"/>
    <col min="7" max="7" width="16" customWidth="1"/>
    <col min="8" max="9" width="14" bestFit="1" customWidth="1"/>
    <col min="10" max="10" width="12.26953125" bestFit="1" customWidth="1"/>
  </cols>
  <sheetData>
    <row r="1" spans="1:4" x14ac:dyDescent="0.35">
      <c r="A1" s="20" t="s">
        <v>0</v>
      </c>
    </row>
    <row r="2" spans="1:4" x14ac:dyDescent="0.35">
      <c r="A2" s="20" t="s">
        <v>19</v>
      </c>
    </row>
    <row r="3" spans="1:4" x14ac:dyDescent="0.35">
      <c r="A3" s="20" t="s">
        <v>52</v>
      </c>
    </row>
    <row r="4" spans="1:4" x14ac:dyDescent="0.35">
      <c r="A4" s="20" t="s">
        <v>16</v>
      </c>
    </row>
    <row r="5" spans="1:4" x14ac:dyDescent="0.35">
      <c r="A5" s="21" t="s">
        <v>81</v>
      </c>
    </row>
    <row r="7" spans="1:4" ht="15" thickBot="1" x14ac:dyDescent="0.4">
      <c r="A7" s="19"/>
      <c r="D7" s="8"/>
    </row>
    <row r="8" spans="1:4" x14ac:dyDescent="0.35">
      <c r="A8" s="51" t="s">
        <v>45</v>
      </c>
      <c r="B8" s="51" t="s">
        <v>33</v>
      </c>
      <c r="C8" s="47" t="s">
        <v>19</v>
      </c>
      <c r="D8" s="8"/>
    </row>
    <row r="9" spans="1:4" x14ac:dyDescent="0.35">
      <c r="A9" s="44" t="s">
        <v>34</v>
      </c>
      <c r="B9" s="35" t="s">
        <v>35</v>
      </c>
      <c r="C9" s="45">
        <v>342161.75</v>
      </c>
    </row>
    <row r="10" spans="1:4" x14ac:dyDescent="0.35">
      <c r="A10" s="44" t="s">
        <v>36</v>
      </c>
      <c r="B10" s="35" t="s">
        <v>35</v>
      </c>
      <c r="C10" s="45">
        <v>88459.87</v>
      </c>
      <c r="D10" s="8"/>
    </row>
    <row r="11" spans="1:4" x14ac:dyDescent="0.35">
      <c r="A11" s="44" t="s">
        <v>37</v>
      </c>
      <c r="B11" s="35" t="s">
        <v>35</v>
      </c>
      <c r="C11" s="45">
        <v>213159.63</v>
      </c>
      <c r="D11" s="8"/>
    </row>
    <row r="12" spans="1:4" x14ac:dyDescent="0.35">
      <c r="A12" s="44" t="s">
        <v>38</v>
      </c>
      <c r="B12" s="35" t="s">
        <v>39</v>
      </c>
      <c r="C12" s="45">
        <v>104485.33</v>
      </c>
      <c r="D12" s="8"/>
    </row>
    <row r="13" spans="1:4" x14ac:dyDescent="0.35">
      <c r="A13" s="44" t="s">
        <v>40</v>
      </c>
      <c r="B13" s="35" t="s">
        <v>35</v>
      </c>
      <c r="C13" s="45">
        <f>1912.34+49.68+1087.2</f>
        <v>3049.2200000000003</v>
      </c>
      <c r="D13" s="31"/>
    </row>
    <row r="14" spans="1:4" x14ac:dyDescent="0.35">
      <c r="A14" s="44" t="s">
        <v>41</v>
      </c>
      <c r="B14" s="35"/>
      <c r="C14" s="45"/>
      <c r="D14" s="31"/>
    </row>
    <row r="15" spans="1:4" x14ac:dyDescent="0.35">
      <c r="A15" s="46" t="s">
        <v>42</v>
      </c>
      <c r="B15" s="35" t="s">
        <v>39</v>
      </c>
      <c r="C15" s="45">
        <v>5558.71</v>
      </c>
      <c r="D15" s="31"/>
    </row>
    <row r="16" spans="1:4" x14ac:dyDescent="0.35">
      <c r="A16" s="46" t="s">
        <v>43</v>
      </c>
      <c r="B16" s="35" t="s">
        <v>39</v>
      </c>
      <c r="C16" s="45">
        <v>58511.13</v>
      </c>
      <c r="D16" s="31"/>
    </row>
    <row r="17" spans="1:4" x14ac:dyDescent="0.35">
      <c r="A17" s="46" t="s">
        <v>44</v>
      </c>
      <c r="B17" s="35" t="s">
        <v>39</v>
      </c>
      <c r="C17" s="45">
        <f>832.08+47215.6</f>
        <v>48047.68</v>
      </c>
      <c r="D17" s="31"/>
    </row>
    <row r="18" spans="1:4" x14ac:dyDescent="0.35">
      <c r="D18" s="31"/>
    </row>
    <row r="19" spans="1:4" ht="15" thickBot="1" x14ac:dyDescent="0.4">
      <c r="A19" s="42" t="s">
        <v>32</v>
      </c>
      <c r="B19" s="41"/>
      <c r="C19" s="43">
        <f>SUM(C9:C18)</f>
        <v>863433.32</v>
      </c>
      <c r="D19" s="31"/>
    </row>
    <row r="20" spans="1:4" ht="15" thickTop="1" x14ac:dyDescent="0.35">
      <c r="D20" s="31"/>
    </row>
    <row r="21" spans="1:4" x14ac:dyDescent="0.35">
      <c r="D21" s="31"/>
    </row>
    <row r="22" spans="1:4" x14ac:dyDescent="0.35">
      <c r="D22" s="31"/>
    </row>
    <row r="23" spans="1:4" x14ac:dyDescent="0.35">
      <c r="A23" s="33"/>
      <c r="B23" s="34"/>
      <c r="C23" s="34"/>
    </row>
    <row r="24" spans="1:4" x14ac:dyDescent="0.35">
      <c r="A24" s="33"/>
      <c r="B24" s="34"/>
      <c r="C24" s="34"/>
    </row>
    <row r="25" spans="1:4" x14ac:dyDescent="0.35">
      <c r="A25" s="33"/>
      <c r="B25" s="34"/>
      <c r="C25" s="34"/>
    </row>
    <row r="26" spans="1:4" x14ac:dyDescent="0.35">
      <c r="A26" s="33"/>
      <c r="B26" s="34"/>
      <c r="C26" s="34"/>
    </row>
    <row r="27" spans="1:4" x14ac:dyDescent="0.35">
      <c r="A27" s="32"/>
      <c r="B27" s="32"/>
      <c r="C27" s="32"/>
    </row>
    <row r="28" spans="1:4" x14ac:dyDescent="0.35">
      <c r="A28" s="32"/>
      <c r="B28" s="32"/>
    </row>
    <row r="29" spans="1:4" x14ac:dyDescent="0.35">
      <c r="A29" s="32"/>
      <c r="B29" s="32"/>
    </row>
    <row r="30" spans="1:4" x14ac:dyDescent="0.35">
      <c r="A30" s="32"/>
      <c r="B30" s="32"/>
    </row>
    <row r="31" spans="1:4" x14ac:dyDescent="0.35">
      <c r="A31" s="32"/>
      <c r="B31" s="32"/>
    </row>
    <row r="32" spans="1:4" x14ac:dyDescent="0.35">
      <c r="A32" s="32"/>
      <c r="B32" s="32"/>
    </row>
    <row r="33" spans="1:2" x14ac:dyDescent="0.35">
      <c r="A33" s="32"/>
      <c r="B33" s="32"/>
    </row>
    <row r="34" spans="1:2" x14ac:dyDescent="0.35">
      <c r="A34" s="32"/>
      <c r="B34" s="32"/>
    </row>
    <row r="35" spans="1:2" x14ac:dyDescent="0.35">
      <c r="A35" s="32"/>
      <c r="B35" s="32"/>
    </row>
    <row r="36" spans="1:2" x14ac:dyDescent="0.35">
      <c r="A36" s="32"/>
      <c r="B36" s="32"/>
    </row>
    <row r="37" spans="1:2" x14ac:dyDescent="0.35">
      <c r="A37" s="32"/>
      <c r="B37" s="32"/>
    </row>
    <row r="38" spans="1:2" x14ac:dyDescent="0.35">
      <c r="A38" s="32"/>
      <c r="B38" s="32"/>
    </row>
    <row r="39" spans="1:2" x14ac:dyDescent="0.35">
      <c r="A39" s="32"/>
      <c r="B39" s="32"/>
    </row>
    <row r="40" spans="1:2" x14ac:dyDescent="0.35">
      <c r="A40" s="32"/>
      <c r="B40" s="32"/>
    </row>
    <row r="41" spans="1:2" x14ac:dyDescent="0.35">
      <c r="A41" s="32"/>
      <c r="B41" s="32"/>
    </row>
    <row r="42" spans="1:2" x14ac:dyDescent="0.35">
      <c r="A42" s="32"/>
      <c r="B42" s="32"/>
    </row>
    <row r="43" spans="1:2" x14ac:dyDescent="0.35">
      <c r="A43" s="32"/>
      <c r="B43" s="32"/>
    </row>
    <row r="44" spans="1:2" x14ac:dyDescent="0.35">
      <c r="A44" s="32"/>
      <c r="B44" s="32"/>
    </row>
    <row r="45" spans="1:2" x14ac:dyDescent="0.35">
      <c r="A45" s="32"/>
      <c r="B45" s="32"/>
    </row>
    <row r="46" spans="1:2" x14ac:dyDescent="0.35">
      <c r="A46" s="32"/>
      <c r="B46" s="32"/>
    </row>
    <row r="47" spans="1:2" x14ac:dyDescent="0.35">
      <c r="B47" s="32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65"/>
  <sheetViews>
    <sheetView workbookViewId="0">
      <selection activeCell="E21" sqref="E21"/>
    </sheetView>
  </sheetViews>
  <sheetFormatPr defaultRowHeight="14.5" x14ac:dyDescent="0.35"/>
  <cols>
    <col min="1" max="1" width="18.81640625" customWidth="1"/>
    <col min="2" max="2" width="22.1796875" customWidth="1"/>
    <col min="3" max="3" width="17.7265625" customWidth="1"/>
    <col min="4" max="4" width="34.54296875" customWidth="1"/>
    <col min="5" max="5" width="29.453125" bestFit="1" customWidth="1"/>
  </cols>
  <sheetData>
    <row r="1" spans="1:5" x14ac:dyDescent="0.35">
      <c r="A1" s="20" t="s">
        <v>0</v>
      </c>
    </row>
    <row r="2" spans="1:5" ht="15.5" x14ac:dyDescent="0.35">
      <c r="A2" s="20" t="s">
        <v>72</v>
      </c>
    </row>
    <row r="3" spans="1:5" x14ac:dyDescent="0.35">
      <c r="A3" s="20" t="s">
        <v>52</v>
      </c>
    </row>
    <row r="4" spans="1:5" x14ac:dyDescent="0.35">
      <c r="A4" s="20" t="s">
        <v>17</v>
      </c>
    </row>
    <row r="5" spans="1:5" x14ac:dyDescent="0.35">
      <c r="A5" s="22" t="str">
        <f>+'18A'!A5</f>
        <v>Jun 2023</v>
      </c>
    </row>
    <row r="7" spans="1:5" x14ac:dyDescent="0.35">
      <c r="A7" s="18"/>
      <c r="B7" s="17"/>
      <c r="D7" s="8"/>
    </row>
    <row r="8" spans="1:5" x14ac:dyDescent="0.35">
      <c r="A8" s="64"/>
    </row>
    <row r="9" spans="1:5" ht="15" thickBot="1" x14ac:dyDescent="0.4">
      <c r="C9" s="75" t="str">
        <f>CONCATENATE(TEXT($A$5,"MMM-YYYY")," kWh")</f>
        <v>Jun-2023 kWh</v>
      </c>
    </row>
    <row r="10" spans="1:5" ht="15" customHeight="1" x14ac:dyDescent="0.35">
      <c r="A10" s="51" t="s">
        <v>45</v>
      </c>
      <c r="B10" s="51" t="s">
        <v>33</v>
      </c>
      <c r="C10" s="51" t="str">
        <f>CONCATENATE(TEXT($A$5,"MMM-YYYY")," kWh")</f>
        <v>Jun-2023 kWh</v>
      </c>
      <c r="D10" s="66" t="s">
        <v>73</v>
      </c>
      <c r="E10" s="66" t="s">
        <v>74</v>
      </c>
    </row>
    <row r="11" spans="1:5" x14ac:dyDescent="0.35">
      <c r="A11" s="44" t="s">
        <v>34</v>
      </c>
      <c r="B11" s="35" t="s">
        <v>35</v>
      </c>
      <c r="C11" s="84">
        <v>1173659863.5028751</v>
      </c>
      <c r="D11" s="71">
        <f>$E$39/$E$64</f>
        <v>7.2300270579695619E-4</v>
      </c>
      <c r="E11" s="68">
        <f>C11*D11</f>
        <v>848559.25699786493</v>
      </c>
    </row>
    <row r="12" spans="1:5" x14ac:dyDescent="0.35">
      <c r="A12" s="44" t="s">
        <v>36</v>
      </c>
      <c r="B12" s="35" t="s">
        <v>35</v>
      </c>
      <c r="C12" s="84">
        <v>278371697.46299094</v>
      </c>
      <c r="D12" s="71">
        <f t="shared" ref="D12:D19" si="0">$E$39/$E$64</f>
        <v>7.2300270579695619E-4</v>
      </c>
      <c r="E12" s="68">
        <f t="shared" ref="E12:E19" si="1">C12*D12</f>
        <v>201263.49048303414</v>
      </c>
    </row>
    <row r="13" spans="1:5" x14ac:dyDescent="0.35">
      <c r="A13" s="44" t="s">
        <v>37</v>
      </c>
      <c r="B13" s="35" t="s">
        <v>35</v>
      </c>
      <c r="C13" s="84">
        <v>652519893.08339369</v>
      </c>
      <c r="D13" s="71">
        <f t="shared" si="0"/>
        <v>7.2300270579695619E-4</v>
      </c>
      <c r="E13" s="68">
        <f t="shared" si="1"/>
        <v>471773.64828563418</v>
      </c>
    </row>
    <row r="14" spans="1:5" x14ac:dyDescent="0.35">
      <c r="A14" s="44" t="s">
        <v>38</v>
      </c>
      <c r="B14" s="35" t="s">
        <v>39</v>
      </c>
      <c r="C14" s="84">
        <v>311586945.24239767</v>
      </c>
      <c r="D14" s="71">
        <f t="shared" si="0"/>
        <v>7.2300270579695619E-4</v>
      </c>
      <c r="E14" s="68">
        <f t="shared" si="1"/>
        <v>225278.20450126153</v>
      </c>
    </row>
    <row r="15" spans="1:5" x14ac:dyDescent="0.35">
      <c r="A15" s="44" t="s">
        <v>40</v>
      </c>
      <c r="B15" s="35" t="s">
        <v>35</v>
      </c>
      <c r="C15" s="84">
        <v>8487309.5892768614</v>
      </c>
      <c r="D15" s="71">
        <f t="shared" si="0"/>
        <v>7.2300270579695619E-4</v>
      </c>
      <c r="E15" s="68">
        <f t="shared" si="1"/>
        <v>6136.3477979836234</v>
      </c>
    </row>
    <row r="16" spans="1:5" x14ac:dyDescent="0.35">
      <c r="A16" s="44" t="s">
        <v>41</v>
      </c>
      <c r="B16" s="35"/>
      <c r="C16" s="84"/>
      <c r="D16" s="71"/>
      <c r="E16" s="68"/>
    </row>
    <row r="17" spans="1:5" x14ac:dyDescent="0.35">
      <c r="A17" s="46" t="s">
        <v>42</v>
      </c>
      <c r="B17" s="35" t="s">
        <v>39</v>
      </c>
      <c r="C17" s="84">
        <v>15392958.983963609</v>
      </c>
      <c r="D17" s="71">
        <f t="shared" si="0"/>
        <v>7.2300270579695619E-4</v>
      </c>
      <c r="E17" s="68">
        <f t="shared" si="1"/>
        <v>11129.150995627255</v>
      </c>
    </row>
    <row r="18" spans="1:5" x14ac:dyDescent="0.35">
      <c r="A18" s="46" t="s">
        <v>43</v>
      </c>
      <c r="B18" s="35" t="s">
        <v>39</v>
      </c>
      <c r="C18" s="84">
        <v>162026529.9059476</v>
      </c>
      <c r="D18" s="71">
        <f t="shared" si="0"/>
        <v>7.2300270579695619E-4</v>
      </c>
      <c r="E18" s="68">
        <f t="shared" si="1"/>
        <v>117145.61953289155</v>
      </c>
    </row>
    <row r="19" spans="1:5" x14ac:dyDescent="0.35">
      <c r="A19" s="46" t="s">
        <v>44</v>
      </c>
      <c r="B19" s="35" t="s">
        <v>39</v>
      </c>
      <c r="C19" s="84">
        <v>133051624.22915454</v>
      </c>
      <c r="D19" s="71">
        <f t="shared" si="0"/>
        <v>7.2300270579695619E-4</v>
      </c>
      <c r="E19" s="68">
        <f t="shared" si="1"/>
        <v>96196.684328358591</v>
      </c>
    </row>
    <row r="20" spans="1:5" x14ac:dyDescent="0.35">
      <c r="C20" s="77"/>
      <c r="D20" s="69"/>
      <c r="E20" s="69"/>
    </row>
    <row r="21" spans="1:5" ht="15" thickBot="1" x14ac:dyDescent="0.4">
      <c r="A21" s="42" t="s">
        <v>32</v>
      </c>
      <c r="B21" s="41"/>
      <c r="C21" s="70">
        <f>SUM(C11:C20)</f>
        <v>2735096822</v>
      </c>
      <c r="D21" s="70"/>
      <c r="E21" s="70">
        <f t="shared" ref="E21" si="2">SUM(E11:E20)</f>
        <v>1977482.4029226557</v>
      </c>
    </row>
    <row r="22" spans="1:5" ht="15" thickTop="1" x14ac:dyDescent="0.35"/>
    <row r="24" spans="1:5" ht="16.5" x14ac:dyDescent="0.35">
      <c r="A24" t="s">
        <v>78</v>
      </c>
    </row>
    <row r="30" spans="1:5" x14ac:dyDescent="0.35">
      <c r="A30" s="72" t="s">
        <v>75</v>
      </c>
      <c r="B30" s="72"/>
      <c r="C30" s="72"/>
      <c r="D30" s="72"/>
      <c r="E30" s="72"/>
    </row>
    <row r="39" spans="1:5" x14ac:dyDescent="0.35">
      <c r="E39" s="6">
        <v>22402939</v>
      </c>
    </row>
    <row r="42" spans="1:5" x14ac:dyDescent="0.35">
      <c r="A42" s="72" t="s">
        <v>76</v>
      </c>
      <c r="B42" s="72"/>
      <c r="C42" s="72"/>
      <c r="D42" s="72"/>
      <c r="E42" s="72"/>
    </row>
    <row r="56" spans="5:5" x14ac:dyDescent="0.35">
      <c r="E56" s="73">
        <v>13386011261</v>
      </c>
    </row>
    <row r="57" spans="5:5" x14ac:dyDescent="0.35">
      <c r="E57" s="73">
        <v>3086396782</v>
      </c>
    </row>
    <row r="58" spans="5:5" x14ac:dyDescent="0.35">
      <c r="E58" s="73">
        <v>7147886407</v>
      </c>
    </row>
    <row r="59" spans="5:5" x14ac:dyDescent="0.35">
      <c r="E59" s="73">
        <v>3544455219</v>
      </c>
    </row>
    <row r="60" spans="5:5" x14ac:dyDescent="0.35">
      <c r="E60" s="73">
        <v>3671663829</v>
      </c>
    </row>
    <row r="61" spans="5:5" x14ac:dyDescent="0.35">
      <c r="E61" s="73">
        <v>97975860</v>
      </c>
    </row>
    <row r="62" spans="5:5" x14ac:dyDescent="0.35">
      <c r="E62" s="73">
        <v>51579049</v>
      </c>
    </row>
    <row r="64" spans="5:5" ht="15" thickBot="1" x14ac:dyDescent="0.4">
      <c r="E64" s="74">
        <f>SUM(E56:E62)</f>
        <v>30985968407</v>
      </c>
    </row>
    <row r="65" ht="15" thickTop="1" x14ac:dyDescent="0.35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2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4" x14ac:dyDescent="0.35">
      <c r="A1" s="20" t="s">
        <v>0</v>
      </c>
    </row>
    <row r="2" spans="1:4" x14ac:dyDescent="0.35">
      <c r="A2" s="20" t="s">
        <v>21</v>
      </c>
    </row>
    <row r="3" spans="1:4" x14ac:dyDescent="0.35">
      <c r="A3" s="20" t="s">
        <v>53</v>
      </c>
    </row>
    <row r="4" spans="1:4" x14ac:dyDescent="0.35">
      <c r="A4" s="22" t="str">
        <f>+'18A'!A5</f>
        <v>Jun 2023</v>
      </c>
    </row>
    <row r="6" spans="1:4" x14ac:dyDescent="0.35">
      <c r="A6" s="18"/>
      <c r="B6" s="17"/>
      <c r="D6" s="8"/>
    </row>
    <row r="7" spans="1:4" x14ac:dyDescent="0.35">
      <c r="A7" t="s">
        <v>46</v>
      </c>
    </row>
    <row r="8" spans="1:4" x14ac:dyDescent="0.35">
      <c r="A8" s="65"/>
    </row>
    <row r="9" spans="1:4" s="32" customFormat="1" x14ac:dyDescent="0.35">
      <c r="A9" s="67"/>
    </row>
    <row r="10" spans="1:4" s="32" customFormat="1" x14ac:dyDescent="0.35"/>
    <row r="11" spans="1:4" s="32" customFormat="1" x14ac:dyDescent="0.35"/>
    <row r="12" spans="1:4" s="32" customFormat="1" x14ac:dyDescent="0.35"/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1"/>
  <sheetViews>
    <sheetView workbookViewId="0">
      <selection activeCell="G19" sqref="G19"/>
    </sheetView>
  </sheetViews>
  <sheetFormatPr defaultRowHeight="14.5" x14ac:dyDescent="0.35"/>
  <cols>
    <col min="1" max="1" width="20.26953125" customWidth="1"/>
    <col min="2" max="2" width="21.81640625" customWidth="1"/>
    <col min="3" max="3" width="14" customWidth="1"/>
    <col min="4" max="4" width="16" customWidth="1"/>
    <col min="5" max="5" width="12" customWidth="1"/>
    <col min="6" max="6" width="17.453125" customWidth="1"/>
    <col min="7" max="7" width="14.81640625" customWidth="1"/>
    <col min="13" max="13" width="11.54296875" bestFit="1" customWidth="1"/>
  </cols>
  <sheetData>
    <row r="1" spans="1:7" x14ac:dyDescent="0.35">
      <c r="A1" s="20" t="s">
        <v>0</v>
      </c>
    </row>
    <row r="2" spans="1:7" x14ac:dyDescent="0.35">
      <c r="A2" s="20" t="s">
        <v>20</v>
      </c>
    </row>
    <row r="3" spans="1:7" x14ac:dyDescent="0.35">
      <c r="A3" s="20" t="s">
        <v>52</v>
      </c>
    </row>
    <row r="4" spans="1:7" x14ac:dyDescent="0.35">
      <c r="A4" s="20" t="s">
        <v>18</v>
      </c>
    </row>
    <row r="5" spans="1:7" x14ac:dyDescent="0.35">
      <c r="A5" s="22" t="str">
        <f>+'18A'!A5</f>
        <v>Jun 2023</v>
      </c>
    </row>
    <row r="6" spans="1:7" ht="15" thickBot="1" x14ac:dyDescent="0.4"/>
    <row r="7" spans="1:7" ht="42.75" customHeight="1" x14ac:dyDescent="0.35">
      <c r="A7" s="47" t="s">
        <v>45</v>
      </c>
      <c r="B7" s="47" t="s">
        <v>33</v>
      </c>
      <c r="C7" s="47" t="s">
        <v>19</v>
      </c>
      <c r="D7" s="47" t="s">
        <v>51</v>
      </c>
      <c r="E7" s="47" t="s">
        <v>49</v>
      </c>
      <c r="F7" s="47" t="s">
        <v>50</v>
      </c>
      <c r="G7" s="47" t="s">
        <v>47</v>
      </c>
    </row>
    <row r="8" spans="1:7" x14ac:dyDescent="0.35">
      <c r="A8" s="35" t="s">
        <v>34</v>
      </c>
      <c r="B8" s="35" t="s">
        <v>35</v>
      </c>
      <c r="C8" s="45">
        <f>'18A'!C9</f>
        <v>342161.75</v>
      </c>
      <c r="D8" s="48">
        <v>1093311560</v>
      </c>
      <c r="E8" s="40">
        <v>3.4614993984673155E-4</v>
      </c>
      <c r="F8" s="45">
        <f>D8*E8</f>
        <v>378449.73072773626</v>
      </c>
      <c r="G8" s="45">
        <f>F8-C8</f>
        <v>36287.980727736256</v>
      </c>
    </row>
    <row r="9" spans="1:7" x14ac:dyDescent="0.35">
      <c r="A9" s="35" t="s">
        <v>36</v>
      </c>
      <c r="B9" s="35" t="s">
        <v>35</v>
      </c>
      <c r="C9" s="45">
        <f>'18A'!C10</f>
        <v>88459.87</v>
      </c>
      <c r="D9" s="48">
        <v>264181860</v>
      </c>
      <c r="E9" s="40">
        <v>3.4614993984673155E-4</v>
      </c>
      <c r="F9" s="45">
        <f t="shared" ref="F9:F16" si="0">D9*E9</f>
        <v>91446.534947597655</v>
      </c>
      <c r="G9" s="45">
        <f t="shared" ref="G9:G16" si="1">F9-C9</f>
        <v>2986.6649475976592</v>
      </c>
    </row>
    <row r="10" spans="1:7" x14ac:dyDescent="0.35">
      <c r="A10" s="35" t="s">
        <v>37</v>
      </c>
      <c r="B10" s="35" t="s">
        <v>35</v>
      </c>
      <c r="C10" s="45">
        <f>'18A'!C11</f>
        <v>213159.63</v>
      </c>
      <c r="D10" s="48">
        <v>626873000</v>
      </c>
      <c r="E10" s="40">
        <v>3.4614993984673155E-4</v>
      </c>
      <c r="F10" s="45">
        <f t="shared" si="0"/>
        <v>216992.05124154015</v>
      </c>
      <c r="G10" s="45">
        <f t="shared" si="1"/>
        <v>3832.4212415401416</v>
      </c>
    </row>
    <row r="11" spans="1:7" x14ac:dyDescent="0.35">
      <c r="A11" s="35" t="s">
        <v>38</v>
      </c>
      <c r="B11" s="35" t="s">
        <v>39</v>
      </c>
      <c r="C11" s="45">
        <f>'18A'!C12</f>
        <v>104485.33</v>
      </c>
      <c r="D11" s="48">
        <v>311117000</v>
      </c>
      <c r="E11" s="40">
        <v>3.4614993984673155E-4</v>
      </c>
      <c r="F11" s="45">
        <f t="shared" si="0"/>
        <v>107693.13083529558</v>
      </c>
      <c r="G11" s="45">
        <f t="shared" si="1"/>
        <v>3207.8008352955803</v>
      </c>
    </row>
    <row r="12" spans="1:7" x14ac:dyDescent="0.35">
      <c r="A12" s="35" t="s">
        <v>48</v>
      </c>
      <c r="B12" s="35" t="s">
        <v>35</v>
      </c>
      <c r="C12" s="45">
        <f>'18A'!C13</f>
        <v>3049.2200000000003</v>
      </c>
      <c r="D12" s="48">
        <v>8305717.6850790242</v>
      </c>
      <c r="E12" s="40">
        <v>3.4614993984673155E-4</v>
      </c>
      <c r="F12" s="45">
        <f t="shared" si="0"/>
        <v>2875.0236770740385</v>
      </c>
      <c r="G12" s="45">
        <f t="shared" si="1"/>
        <v>-174.19632292596179</v>
      </c>
    </row>
    <row r="13" spans="1:7" x14ac:dyDescent="0.35">
      <c r="A13" s="35" t="s">
        <v>41</v>
      </c>
      <c r="B13" s="35"/>
      <c r="C13" s="45">
        <f>'18A'!C14</f>
        <v>0</v>
      </c>
      <c r="D13" s="48"/>
      <c r="E13" s="40"/>
      <c r="F13" s="45"/>
      <c r="G13" s="45"/>
    </row>
    <row r="14" spans="1:7" x14ac:dyDescent="0.35">
      <c r="A14" s="36" t="s">
        <v>42</v>
      </c>
      <c r="B14" s="35" t="s">
        <v>39</v>
      </c>
      <c r="C14" s="45">
        <f>'18A'!C15</f>
        <v>5558.71</v>
      </c>
      <c r="D14" s="48">
        <v>139089366.81</v>
      </c>
      <c r="E14" s="40">
        <v>3.4614993984673155E-4</v>
      </c>
      <c r="F14" s="45">
        <f t="shared" si="0"/>
        <v>48145.775954601479</v>
      </c>
      <c r="G14" s="45">
        <f t="shared" si="1"/>
        <v>42587.065954601479</v>
      </c>
    </row>
    <row r="15" spans="1:7" x14ac:dyDescent="0.35">
      <c r="A15" s="36" t="s">
        <v>43</v>
      </c>
      <c r="B15" s="35" t="s">
        <v>39</v>
      </c>
      <c r="C15" s="45">
        <f>'18A'!C16</f>
        <v>58511.13</v>
      </c>
      <c r="D15" s="48">
        <v>173943912.63</v>
      </c>
      <c r="E15" s="40">
        <v>3.4614993984673155E-4</v>
      </c>
      <c r="F15" s="45">
        <f t="shared" si="0"/>
        <v>60210.674893579628</v>
      </c>
      <c r="G15" s="45">
        <f t="shared" si="1"/>
        <v>1699.5448935796303</v>
      </c>
    </row>
    <row r="16" spans="1:7" x14ac:dyDescent="0.35">
      <c r="A16" s="36" t="s">
        <v>44</v>
      </c>
      <c r="B16" s="35" t="s">
        <v>39</v>
      </c>
      <c r="C16" s="45">
        <f>'18A'!C17</f>
        <v>48047.68</v>
      </c>
      <c r="D16" s="48">
        <v>15783190.560000001</v>
      </c>
      <c r="E16" s="40">
        <v>3.4614993984673155E-4</v>
      </c>
      <c r="F16" s="45">
        <f t="shared" si="0"/>
        <v>5463.3504629335011</v>
      </c>
      <c r="G16" s="45">
        <f t="shared" si="1"/>
        <v>-42584.3295370665</v>
      </c>
    </row>
    <row r="17" spans="1:7" x14ac:dyDescent="0.35">
      <c r="C17" s="49"/>
      <c r="D17" s="48"/>
      <c r="E17" s="37"/>
      <c r="F17" s="45"/>
      <c r="G17" s="45"/>
    </row>
    <row r="18" spans="1:7" ht="15" thickBot="1" x14ac:dyDescent="0.4">
      <c r="A18" s="42" t="s">
        <v>32</v>
      </c>
      <c r="B18" s="41"/>
      <c r="C18" s="43">
        <f>SUM(C8:C17)</f>
        <v>863433.32</v>
      </c>
      <c r="D18" s="50">
        <f>SUM(D8:D17)</f>
        <v>2632605607.6850791</v>
      </c>
      <c r="E18" s="38"/>
      <c r="F18" s="43">
        <f>SUM(F8:F17)</f>
        <v>911276.27274035825</v>
      </c>
      <c r="G18" s="43">
        <f>SUM(G8:G17)</f>
        <v>47842.952740358276</v>
      </c>
    </row>
    <row r="19" spans="1:7" ht="15" thickTop="1" x14ac:dyDescent="0.35">
      <c r="G19" s="39"/>
    </row>
    <row r="20" spans="1:7" x14ac:dyDescent="0.35">
      <c r="D20" s="39"/>
    </row>
    <row r="21" spans="1:7" x14ac:dyDescent="0.35">
      <c r="D21" s="31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20" t="s">
        <v>0</v>
      </c>
    </row>
    <row r="2" spans="1:1" x14ac:dyDescent="0.35">
      <c r="A2" s="20" t="s">
        <v>22</v>
      </c>
    </row>
    <row r="3" spans="1:1" x14ac:dyDescent="0.35">
      <c r="A3" s="20" t="s">
        <v>54</v>
      </c>
    </row>
    <row r="4" spans="1:1" x14ac:dyDescent="0.35">
      <c r="A4" s="22" t="str">
        <f>+'18A'!A5</f>
        <v>Jun 2023</v>
      </c>
    </row>
    <row r="7" spans="1:1" x14ac:dyDescent="0.35">
      <c r="A7" t="s">
        <v>23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20" t="s">
        <v>0</v>
      </c>
    </row>
    <row r="2" spans="1:1" x14ac:dyDescent="0.35">
      <c r="A2" s="20" t="s">
        <v>24</v>
      </c>
    </row>
    <row r="3" spans="1:1" x14ac:dyDescent="0.35">
      <c r="A3" s="20" t="s">
        <v>55</v>
      </c>
    </row>
    <row r="4" spans="1:1" x14ac:dyDescent="0.35">
      <c r="A4" s="22" t="str">
        <f>+'18A'!A5</f>
        <v>Jun 2023</v>
      </c>
    </row>
    <row r="7" spans="1:1" x14ac:dyDescent="0.35">
      <c r="A7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AP1</vt:lpstr>
      <vt:lpstr>Monthly Cost Tracker AP4</vt:lpstr>
      <vt:lpstr>Monthly Cost Tracker AP5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2023-08-14T18:04:18Z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