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60" yWindow="105" windowWidth="14100" windowHeight="6705"/>
  </bookViews>
  <sheets>
    <sheet name="Cover" sheetId="42" r:id="rId1"/>
    <sheet name="General Instructions" sheetId="2" r:id="rId2"/>
    <sheet name="Detailed Instructions" sheetId="3" r:id="rId3"/>
    <sheet name="Noel Assets" sheetId="55" r:id="rId4"/>
    <sheet name="KMB Water Assets" sheetId="54" r:id="rId5"/>
    <sheet name="KMB Water Deprec" sheetId="53" r:id="rId6"/>
    <sheet name="KMB Sewer Assets" sheetId="57" r:id="rId7"/>
    <sheet name="KMB Sewer Deprec" sheetId="56" r:id="rId8"/>
    <sheet name="Page 1" sheetId="4" r:id="rId9"/>
    <sheet name="Page 2" sheetId="5" r:id="rId10"/>
    <sheet name="Page 2a" sheetId="59" r:id="rId11"/>
    <sheet name="Page 3" sheetId="6" r:id="rId12"/>
    <sheet name="Page 4" sheetId="7" r:id="rId13"/>
    <sheet name="Page 4a" sheetId="8" r:id="rId14"/>
    <sheet name="Page 5" sheetId="9" r:id="rId15"/>
    <sheet name="Page 5a" sheetId="10" r:id="rId16"/>
    <sheet name="Page 6" sheetId="11" r:id="rId17"/>
    <sheet name="Page 7" sheetId="12" r:id="rId18"/>
    <sheet name="Page 8" sheetId="13" r:id="rId19"/>
    <sheet name="Page 8a" sheetId="50" r:id="rId20"/>
    <sheet name="Page 9" sheetId="14" r:id="rId21"/>
    <sheet name="Page 9b" sheetId="58" r:id="rId22"/>
    <sheet name="Page 10" sheetId="15" r:id="rId23"/>
    <sheet name="Page 11" sheetId="16" r:id="rId24"/>
    <sheet name="Page W-1" sheetId="17" r:id="rId25"/>
    <sheet name="Page W-1a" sheetId="18" r:id="rId26"/>
    <sheet name="Page W-2" sheetId="19" r:id="rId27"/>
    <sheet name="Page W-2a" sheetId="20" r:id="rId28"/>
    <sheet name="Page W-3" sheetId="21" r:id="rId29"/>
    <sheet name="Page W-3a" sheetId="22" r:id="rId30"/>
    <sheet name="Page W-4" sheetId="23" r:id="rId31"/>
    <sheet name="Page W-5" sheetId="24" r:id="rId32"/>
    <sheet name="Page W-5a" sheetId="25" r:id="rId33"/>
    <sheet name="Page W-6" sheetId="26" r:id="rId34"/>
    <sheet name="Page W-6a" sheetId="61" r:id="rId35"/>
    <sheet name="Page W-7 (Part 1)" sheetId="27" r:id="rId36"/>
    <sheet name="Page W-7 (part 1a)" sheetId="46" r:id="rId37"/>
    <sheet name="Page W-7 (part 1b)" sheetId="47" r:id="rId38"/>
    <sheet name="Page W-7 (Part 2)" sheetId="28" r:id="rId39"/>
    <sheet name="Page W-7 (Part 2a)" sheetId="49" r:id="rId40"/>
    <sheet name="Page W-8" sheetId="29" r:id="rId41"/>
    <sheet name="Page W-9" sheetId="30" r:id="rId42"/>
    <sheet name="Page S-1" sheetId="31" r:id="rId43"/>
    <sheet name="Page S-1a" sheetId="32" r:id="rId44"/>
    <sheet name="Page S-2" sheetId="33" r:id="rId45"/>
    <sheet name="Page S-2a" sheetId="34" r:id="rId46"/>
    <sheet name="Page S-3" sheetId="35" r:id="rId47"/>
    <sheet name="Page S-3a" sheetId="36" r:id="rId48"/>
    <sheet name="Page S-4" sheetId="37" r:id="rId49"/>
    <sheet name="Page S-4a" sheetId="38" r:id="rId50"/>
    <sheet name="Page S-5" sheetId="39" r:id="rId51"/>
    <sheet name="Page S-5a" sheetId="62" r:id="rId52"/>
    <sheet name="Page S-6" sheetId="40" r:id="rId53"/>
    <sheet name="Sheet1" sheetId="43" r:id="rId54"/>
    <sheet name="Verification Page" sheetId="41" r:id="rId55"/>
  </sheets>
  <definedNames>
    <definedName name="_xlnm.Print_Area" localSheetId="0">Cover!$A$1:$F$30</definedName>
    <definedName name="_xlnm.Print_Area" localSheetId="1">'General Instructions'!$A$1:$B$73</definedName>
    <definedName name="_xlnm.Print_Area" localSheetId="8">'Page 1'!$A$1:$K$54</definedName>
    <definedName name="_xlnm.Print_Area" localSheetId="22">'Page 10'!$A$1:$N$31</definedName>
    <definedName name="_xlnm.Print_Area" localSheetId="23">'Page 11'!$A$1:$G$34</definedName>
    <definedName name="_xlnm.Print_Area" localSheetId="9">'Page 2'!$A$1:$H$50</definedName>
    <definedName name="_xlnm.Print_Area" localSheetId="12">'Page 4'!$A$1:$G$30</definedName>
    <definedName name="_xlnm.Print_Area" localSheetId="13">'Page 4a'!$A$1:$F$44</definedName>
    <definedName name="_xlnm.Print_Area" localSheetId="14">'Page 5'!$A$1:$F$32</definedName>
    <definedName name="_xlnm.Print_Area" localSheetId="15">'Page 5a'!$A$1:$F$43</definedName>
    <definedName name="_xlnm.Print_Area" localSheetId="16">'Page 6'!$A$1:$G$40</definedName>
    <definedName name="_xlnm.Print_Area" localSheetId="17">'Page 7'!$A$1:$I$27</definedName>
    <definedName name="_xlnm.Print_Area" localSheetId="18">'Page 8'!$A$1:$I$28</definedName>
    <definedName name="_xlnm.Print_Area" localSheetId="20">'Page 9'!$A$1:$E$45</definedName>
    <definedName name="_xlnm.Print_Area" localSheetId="42">'Page S-1'!$A$1:$D$30</definedName>
    <definedName name="_xlnm.Print_Area" localSheetId="43">'Page S-1a'!$A$1:$F$43</definedName>
    <definedName name="_xlnm.Print_Area" localSheetId="44">'Page S-2'!$A$1:$G$33</definedName>
    <definedName name="_xlnm.Print_Area" localSheetId="45">'Page S-2a'!$A$1:$F$43</definedName>
    <definedName name="_xlnm.Print_Area" localSheetId="46">'Page S-3'!$A$1:$E$32</definedName>
    <definedName name="_xlnm.Print_Area" localSheetId="47">'Page S-3a'!$A$1:$F$43</definedName>
    <definedName name="_xlnm.Print_Area" localSheetId="48">'Page S-4'!$A$1:$I$55</definedName>
    <definedName name="_xlnm.Print_Area" localSheetId="49">'Page S-4a'!$A$1:$F$43</definedName>
    <definedName name="_xlnm.Print_Area" localSheetId="50">'Page S-5'!$A$1:$K$53</definedName>
    <definedName name="_xlnm.Print_Area" localSheetId="51">'Page S-5a'!$A$1:$R$48</definedName>
    <definedName name="_xlnm.Print_Area" localSheetId="52">'Page S-6'!$A$1:$J$46</definedName>
    <definedName name="_xlnm.Print_Area" localSheetId="24">'Page W-1'!$A$1:$E$32</definedName>
    <definedName name="_xlnm.Print_Area" localSheetId="25">'Page W-1a'!$A$1:$F$43</definedName>
    <definedName name="_xlnm.Print_Area" localSheetId="26">'Page W-2'!$A$1:$G$36</definedName>
    <definedName name="_xlnm.Print_Area" localSheetId="27">'Page W-2a'!$A$1:$F$43</definedName>
    <definedName name="_xlnm.Print_Area" localSheetId="28">'Page W-3'!$A$1:$E$31</definedName>
    <definedName name="_xlnm.Print_Area" localSheetId="29">'Page W-3a'!$A$1:$F$43</definedName>
    <definedName name="_xlnm.Print_Area" localSheetId="30">'Page W-4'!$A$1:$K$39</definedName>
    <definedName name="_xlnm.Print_Area" localSheetId="31">'Page W-5'!$A$1:$I$62</definedName>
    <definedName name="_xlnm.Print_Area" localSheetId="32">'Page W-5a'!$A$1:$F$43</definedName>
    <definedName name="_xlnm.Print_Area" localSheetId="33">'Page W-6'!$A$1:$K$66</definedName>
    <definedName name="_xlnm.Print_Area" localSheetId="34">'Page W-6a'!$A$1:$U$59</definedName>
    <definedName name="_xlnm.Print_Area" localSheetId="35">'Page W-7 (Part 1)'!$A$1:$F$18</definedName>
    <definedName name="_xlnm.Print_Area" localSheetId="38">'Page W-7 (Part 2)'!$A$1:$F$19</definedName>
    <definedName name="_xlnm.Print_Area" localSheetId="40">'Page W-8'!$A$1:$L$29</definedName>
    <definedName name="_xlnm.Print_Area" localSheetId="41">'Page W-9'!$A$1:$K$33</definedName>
    <definedName name="Z_1F4AFEE5_5BDD_4100_B0E9_57B262CA123C_.wvu.PrintArea" localSheetId="1" hidden="1">'General Instructions'!$A$1:$B$73</definedName>
    <definedName name="Z_1F4AFEE5_5BDD_4100_B0E9_57B262CA123C_.wvu.PrintArea" localSheetId="8" hidden="1">'Page 1'!$A$1:$K$54</definedName>
    <definedName name="Z_1F4AFEE5_5BDD_4100_B0E9_57B262CA123C_.wvu.PrintArea" localSheetId="22" hidden="1">'Page 10'!$A$1:$N$31</definedName>
    <definedName name="Z_1F4AFEE5_5BDD_4100_B0E9_57B262CA123C_.wvu.PrintArea" localSheetId="23" hidden="1">'Page 11'!$A$1:$G$34</definedName>
    <definedName name="Z_1F4AFEE5_5BDD_4100_B0E9_57B262CA123C_.wvu.PrintArea" localSheetId="9" hidden="1">'Page 2'!$A$1:$H$50</definedName>
    <definedName name="Z_1F4AFEE5_5BDD_4100_B0E9_57B262CA123C_.wvu.PrintArea" localSheetId="12" hidden="1">'Page 4'!$A$1:$G$30</definedName>
    <definedName name="Z_1F4AFEE5_5BDD_4100_B0E9_57B262CA123C_.wvu.PrintArea" localSheetId="13" hidden="1">'Page 4a'!$A$1:$E$44</definedName>
    <definedName name="Z_1F4AFEE5_5BDD_4100_B0E9_57B262CA123C_.wvu.PrintArea" localSheetId="14" hidden="1">'Page 5'!$A$1:$F$32</definedName>
    <definedName name="Z_1F4AFEE5_5BDD_4100_B0E9_57B262CA123C_.wvu.PrintArea" localSheetId="15" hidden="1">'Page 5a'!$A$1:$E$43</definedName>
    <definedName name="Z_1F4AFEE5_5BDD_4100_B0E9_57B262CA123C_.wvu.PrintArea" localSheetId="16" hidden="1">'Page 6'!$A$1:$G$40</definedName>
    <definedName name="Z_1F4AFEE5_5BDD_4100_B0E9_57B262CA123C_.wvu.PrintArea" localSheetId="17" hidden="1">'Page 7'!$A$1:$I$27</definedName>
    <definedName name="Z_1F4AFEE5_5BDD_4100_B0E9_57B262CA123C_.wvu.PrintArea" localSheetId="18" hidden="1">'Page 8'!$A$1:$I$28</definedName>
    <definedName name="Z_1F4AFEE5_5BDD_4100_B0E9_57B262CA123C_.wvu.PrintArea" localSheetId="20" hidden="1">'Page 9'!$A$1:$E$45</definedName>
    <definedName name="Z_1F4AFEE5_5BDD_4100_B0E9_57B262CA123C_.wvu.PrintArea" localSheetId="42" hidden="1">'Page S-1'!$A$1:$D$30</definedName>
    <definedName name="Z_1F4AFEE5_5BDD_4100_B0E9_57B262CA123C_.wvu.PrintArea" localSheetId="43" hidden="1">'Page S-1a'!$A$1:$E$43</definedName>
    <definedName name="Z_1F4AFEE5_5BDD_4100_B0E9_57B262CA123C_.wvu.PrintArea" localSheetId="44" hidden="1">'Page S-2'!$A$1:$G$33</definedName>
    <definedName name="Z_1F4AFEE5_5BDD_4100_B0E9_57B262CA123C_.wvu.PrintArea" localSheetId="45" hidden="1">'Page S-2a'!$A$1:$E$43</definedName>
    <definedName name="Z_1F4AFEE5_5BDD_4100_B0E9_57B262CA123C_.wvu.PrintArea" localSheetId="46" hidden="1">'Page S-3'!$A$1:$E$32</definedName>
    <definedName name="Z_1F4AFEE5_5BDD_4100_B0E9_57B262CA123C_.wvu.PrintArea" localSheetId="47" hidden="1">'Page S-3a'!$A$1:$E$43</definedName>
    <definedName name="Z_1F4AFEE5_5BDD_4100_B0E9_57B262CA123C_.wvu.PrintArea" localSheetId="48" hidden="1">'Page S-4'!$A$1:$I$55</definedName>
    <definedName name="Z_1F4AFEE5_5BDD_4100_B0E9_57B262CA123C_.wvu.PrintArea" localSheetId="49" hidden="1">'Page S-4a'!$A$1:$E$43</definedName>
    <definedName name="Z_1F4AFEE5_5BDD_4100_B0E9_57B262CA123C_.wvu.PrintArea" localSheetId="50" hidden="1">'Page S-5'!$A$1:$K$52</definedName>
    <definedName name="Z_1F4AFEE5_5BDD_4100_B0E9_57B262CA123C_.wvu.PrintArea" localSheetId="52" hidden="1">'Page S-6'!$A$1:$J$46</definedName>
    <definedName name="Z_1F4AFEE5_5BDD_4100_B0E9_57B262CA123C_.wvu.PrintArea" localSheetId="24" hidden="1">'Page W-1'!$A$1:$E$32</definedName>
    <definedName name="Z_1F4AFEE5_5BDD_4100_B0E9_57B262CA123C_.wvu.PrintArea" localSheetId="25" hidden="1">'Page W-1a'!$A$1:$E$43</definedName>
    <definedName name="Z_1F4AFEE5_5BDD_4100_B0E9_57B262CA123C_.wvu.PrintArea" localSheetId="26" hidden="1">'Page W-2'!$A$1:$G$36</definedName>
    <definedName name="Z_1F4AFEE5_5BDD_4100_B0E9_57B262CA123C_.wvu.PrintArea" localSheetId="27" hidden="1">'Page W-2a'!$A$1:$E$43</definedName>
    <definedName name="Z_1F4AFEE5_5BDD_4100_B0E9_57B262CA123C_.wvu.PrintArea" localSheetId="28" hidden="1">'Page W-3'!$A$1:$E$31</definedName>
    <definedName name="Z_1F4AFEE5_5BDD_4100_B0E9_57B262CA123C_.wvu.PrintArea" localSheetId="29" hidden="1">'Page W-3a'!$A$1:$E$43</definedName>
    <definedName name="Z_1F4AFEE5_5BDD_4100_B0E9_57B262CA123C_.wvu.PrintArea" localSheetId="30" hidden="1">'Page W-4'!$A$1:$K$39</definedName>
    <definedName name="Z_1F4AFEE5_5BDD_4100_B0E9_57B262CA123C_.wvu.PrintArea" localSheetId="31" hidden="1">'Page W-5'!$A$1:$I$62</definedName>
    <definedName name="Z_1F4AFEE5_5BDD_4100_B0E9_57B262CA123C_.wvu.PrintArea" localSheetId="32" hidden="1">'Page W-5a'!$A$1:$E$43</definedName>
    <definedName name="Z_1F4AFEE5_5BDD_4100_B0E9_57B262CA123C_.wvu.PrintArea" localSheetId="33" hidden="1">'Page W-6'!$A$1:$K$66</definedName>
    <definedName name="Z_1F4AFEE5_5BDD_4100_B0E9_57B262CA123C_.wvu.PrintArea" localSheetId="35" hidden="1">'Page W-7 (Part 1)'!$A$1:$F$18</definedName>
    <definedName name="Z_1F4AFEE5_5BDD_4100_B0E9_57B262CA123C_.wvu.PrintArea" localSheetId="38" hidden="1">'Page W-7 (Part 2)'!$A$1:$F$19</definedName>
    <definedName name="Z_1F4AFEE5_5BDD_4100_B0E9_57B262CA123C_.wvu.PrintArea" localSheetId="40" hidden="1">'Page W-8'!$A$1:$L$29</definedName>
    <definedName name="Z_1F4AFEE5_5BDD_4100_B0E9_57B262CA123C_.wvu.PrintArea" localSheetId="41" hidden="1">'Page W-9'!$A$1:$K$33</definedName>
    <definedName name="Z_1F4AFEE5_5BDD_4100_B0E9_57B262CA123C_.wvu.Rows" localSheetId="22" hidden="1">'Page 10'!$26:$26</definedName>
  </definedNames>
  <calcPr calcId="145621"/>
  <customWorkbookViews>
    <customWorkbookView name="sennn1 - Personal View" guid="{1F4AFEE5-5BDD-4100-B0E9-57B262CA123C}" mergeInterval="0" personalView="1" xWindow="1197" yWindow="27" windowWidth="1001" windowHeight="573" activeSheetId="40"/>
  </customWorkbookViews>
</workbook>
</file>

<file path=xl/calcChain.xml><?xml version="1.0" encoding="utf-8"?>
<calcChain xmlns="http://schemas.openxmlformats.org/spreadsheetml/2006/main">
  <c r="E10" i="9" l="1"/>
  <c r="E8" i="14"/>
  <c r="D8" i="14"/>
  <c r="G19" i="37" l="1"/>
  <c r="L28" i="62"/>
  <c r="E48" i="39"/>
  <c r="E45" i="39"/>
  <c r="E43" i="39"/>
  <c r="E42" i="39"/>
  <c r="E40" i="39"/>
  <c r="E34" i="39"/>
  <c r="E32" i="39"/>
  <c r="E27" i="39"/>
  <c r="E26" i="39"/>
  <c r="E21" i="39"/>
  <c r="E20" i="39"/>
  <c r="E19" i="39"/>
  <c r="E18" i="39"/>
  <c r="E17" i="39"/>
  <c r="Q46" i="62"/>
  <c r="P46" i="62"/>
  <c r="N46" i="62"/>
  <c r="M46" i="62"/>
  <c r="H46" i="62"/>
  <c r="G46" i="62"/>
  <c r="F46" i="62"/>
  <c r="E46" i="62"/>
  <c r="O45" i="62"/>
  <c r="R45" i="62" s="1"/>
  <c r="L45" i="62"/>
  <c r="I45" i="62"/>
  <c r="O44" i="62"/>
  <c r="R44" i="62" s="1"/>
  <c r="I44" i="62"/>
  <c r="O43" i="62"/>
  <c r="R43" i="62" s="1"/>
  <c r="I43" i="62"/>
  <c r="O42" i="62"/>
  <c r="R42" i="62" s="1"/>
  <c r="I42" i="62"/>
  <c r="R41" i="62"/>
  <c r="O41" i="62"/>
  <c r="I41" i="62"/>
  <c r="O40" i="62"/>
  <c r="R40" i="62" s="1"/>
  <c r="M40" i="62"/>
  <c r="I40" i="62"/>
  <c r="O39" i="62"/>
  <c r="R39" i="62" s="1"/>
  <c r="M39" i="62"/>
  <c r="I39" i="62"/>
  <c r="O38" i="62"/>
  <c r="R38" i="62" s="1"/>
  <c r="I38" i="62"/>
  <c r="L37" i="62"/>
  <c r="O37" i="62" s="1"/>
  <c r="R37" i="62" s="1"/>
  <c r="I37" i="62"/>
  <c r="O36" i="62"/>
  <c r="R36" i="62" s="1"/>
  <c r="I36" i="62"/>
  <c r="O35" i="62"/>
  <c r="R35" i="62" s="1"/>
  <c r="I35" i="62"/>
  <c r="R33" i="62"/>
  <c r="O33" i="62"/>
  <c r="I33" i="62"/>
  <c r="O32" i="62"/>
  <c r="R32" i="62" s="1"/>
  <c r="I32" i="62"/>
  <c r="O31" i="62"/>
  <c r="R31" i="62" s="1"/>
  <c r="I31" i="62"/>
  <c r="O30" i="62"/>
  <c r="R30" i="62" s="1"/>
  <c r="I30" i="62"/>
  <c r="M29" i="62"/>
  <c r="L29" i="62"/>
  <c r="O29" i="62" s="1"/>
  <c r="R29" i="62" s="1"/>
  <c r="I29" i="62"/>
  <c r="M28" i="62"/>
  <c r="O28" i="62" s="1"/>
  <c r="R28" i="62" s="1"/>
  <c r="I28" i="62"/>
  <c r="O27" i="62"/>
  <c r="R27" i="62" s="1"/>
  <c r="I27" i="62"/>
  <c r="R26" i="62"/>
  <c r="O26" i="62"/>
  <c r="I26" i="62"/>
  <c r="O24" i="62"/>
  <c r="R24" i="62" s="1"/>
  <c r="M24" i="62"/>
  <c r="L24" i="62"/>
  <c r="I24" i="62"/>
  <c r="L23" i="62"/>
  <c r="O23" i="62" s="1"/>
  <c r="R23" i="62" s="1"/>
  <c r="I23" i="62"/>
  <c r="R22" i="62"/>
  <c r="O22" i="62"/>
  <c r="I22" i="62"/>
  <c r="O21" i="62"/>
  <c r="R21" i="62" s="1"/>
  <c r="I21" i="62"/>
  <c r="O19" i="62"/>
  <c r="R19" i="62" s="1"/>
  <c r="I19" i="62"/>
  <c r="L18" i="62"/>
  <c r="O18" i="62" s="1"/>
  <c r="R18" i="62" s="1"/>
  <c r="I18" i="62"/>
  <c r="L17" i="62"/>
  <c r="O17" i="62" s="1"/>
  <c r="R17" i="62" s="1"/>
  <c r="I17" i="62"/>
  <c r="M16" i="62"/>
  <c r="L16" i="62"/>
  <c r="O16" i="62" s="1"/>
  <c r="R16" i="62" s="1"/>
  <c r="I16" i="62"/>
  <c r="L15" i="62"/>
  <c r="O15" i="62" s="1"/>
  <c r="R15" i="62" s="1"/>
  <c r="I15" i="62"/>
  <c r="L14" i="62"/>
  <c r="I14" i="62"/>
  <c r="O13" i="62"/>
  <c r="R13" i="62" s="1"/>
  <c r="I13" i="62"/>
  <c r="O11" i="62"/>
  <c r="R11" i="62" s="1"/>
  <c r="I11" i="62"/>
  <c r="R10" i="62"/>
  <c r="O10" i="62"/>
  <c r="I10" i="62"/>
  <c r="O8" i="62"/>
  <c r="R8" i="62" s="1"/>
  <c r="I8" i="62"/>
  <c r="O7" i="62"/>
  <c r="R7" i="62" s="1"/>
  <c r="I7" i="62"/>
  <c r="O6" i="62"/>
  <c r="R6" i="62" s="1"/>
  <c r="I6" i="62"/>
  <c r="I46" i="62" s="1"/>
  <c r="E42" i="26"/>
  <c r="E57" i="26"/>
  <c r="E54" i="26"/>
  <c r="E51" i="26"/>
  <c r="E50" i="26"/>
  <c r="E49" i="26"/>
  <c r="E43" i="26"/>
  <c r="E41" i="26"/>
  <c r="E40" i="26"/>
  <c r="E38" i="26"/>
  <c r="E37" i="26"/>
  <c r="E33" i="26"/>
  <c r="E26" i="26"/>
  <c r="E25" i="26"/>
  <c r="E22" i="26"/>
  <c r="E18" i="26"/>
  <c r="E16" i="26"/>
  <c r="E13" i="26"/>
  <c r="T57" i="61"/>
  <c r="S57" i="61"/>
  <c r="R57" i="61"/>
  <c r="P57" i="61"/>
  <c r="I57" i="61"/>
  <c r="H57" i="61"/>
  <c r="G57" i="61"/>
  <c r="F57" i="61"/>
  <c r="E57" i="61"/>
  <c r="U56" i="61"/>
  <c r="Q56" i="61"/>
  <c r="J56" i="61"/>
  <c r="U55" i="61"/>
  <c r="Q55" i="61"/>
  <c r="J55" i="61"/>
  <c r="Q54" i="61"/>
  <c r="U54" i="61" s="1"/>
  <c r="N54" i="61"/>
  <c r="M54" i="61"/>
  <c r="J54" i="61"/>
  <c r="U53" i="61"/>
  <c r="Q53" i="61"/>
  <c r="J53" i="61"/>
  <c r="Q52" i="61"/>
  <c r="U52" i="61" s="1"/>
  <c r="J52" i="61"/>
  <c r="O51" i="61"/>
  <c r="Q51" i="61" s="1"/>
  <c r="U51" i="61" s="1"/>
  <c r="M51" i="61"/>
  <c r="J51" i="61"/>
  <c r="Q50" i="61"/>
  <c r="U50" i="61" s="1"/>
  <c r="J50" i="61"/>
  <c r="Q49" i="61"/>
  <c r="U49" i="61" s="1"/>
  <c r="J49" i="61"/>
  <c r="O48" i="61"/>
  <c r="N48" i="61"/>
  <c r="Q48" i="61" s="1"/>
  <c r="U48" i="61" s="1"/>
  <c r="J48" i="61"/>
  <c r="N47" i="61"/>
  <c r="Q47" i="61" s="1"/>
  <c r="U47" i="61" s="1"/>
  <c r="J47" i="61"/>
  <c r="O46" i="61"/>
  <c r="Q46" i="61" s="1"/>
  <c r="U46" i="61" s="1"/>
  <c r="M46" i="61"/>
  <c r="J46" i="61"/>
  <c r="Q45" i="61"/>
  <c r="U45" i="61" s="1"/>
  <c r="J45" i="61"/>
  <c r="Q44" i="61"/>
  <c r="U44" i="61" s="1"/>
  <c r="J44" i="61"/>
  <c r="U43" i="61"/>
  <c r="J43" i="61"/>
  <c r="Q41" i="61"/>
  <c r="U41" i="61" s="1"/>
  <c r="J41" i="61"/>
  <c r="O40" i="61"/>
  <c r="Q40" i="61" s="1"/>
  <c r="U40" i="61" s="1"/>
  <c r="N40" i="61"/>
  <c r="M40" i="61"/>
  <c r="J40" i="61"/>
  <c r="O39" i="61"/>
  <c r="N39" i="61"/>
  <c r="Q39" i="61" s="1"/>
  <c r="U39" i="61" s="1"/>
  <c r="J39" i="61"/>
  <c r="O38" i="61"/>
  <c r="N38" i="61"/>
  <c r="M38" i="61"/>
  <c r="Q38" i="61" s="1"/>
  <c r="U38" i="61" s="1"/>
  <c r="J38" i="61"/>
  <c r="Q37" i="61"/>
  <c r="U37" i="61" s="1"/>
  <c r="N37" i="61"/>
  <c r="M37" i="61"/>
  <c r="J37" i="61"/>
  <c r="U36" i="61"/>
  <c r="Q36" i="61"/>
  <c r="J36" i="61"/>
  <c r="Q35" i="61"/>
  <c r="U35" i="61" s="1"/>
  <c r="O35" i="61"/>
  <c r="N35" i="61"/>
  <c r="M35" i="61"/>
  <c r="J35" i="61"/>
  <c r="O34" i="61"/>
  <c r="N34" i="61"/>
  <c r="M34" i="61"/>
  <c r="Q34" i="61" s="1"/>
  <c r="U34" i="61" s="1"/>
  <c r="J34" i="61"/>
  <c r="Q33" i="61"/>
  <c r="U33" i="61" s="1"/>
  <c r="J33" i="61"/>
  <c r="Q32" i="61"/>
  <c r="U32" i="61" s="1"/>
  <c r="J32" i="61"/>
  <c r="O30" i="61"/>
  <c r="N30" i="61"/>
  <c r="M30" i="61"/>
  <c r="Q30" i="61" s="1"/>
  <c r="U30" i="61" s="1"/>
  <c r="J30" i="61"/>
  <c r="Q29" i="61"/>
  <c r="U29" i="61" s="1"/>
  <c r="J29" i="61"/>
  <c r="Q28" i="61"/>
  <c r="U28" i="61" s="1"/>
  <c r="J28" i="61"/>
  <c r="Q26" i="61"/>
  <c r="U26" i="61" s="1"/>
  <c r="J26" i="61"/>
  <c r="U25" i="61"/>
  <c r="Q25" i="61"/>
  <c r="J25" i="61"/>
  <c r="Q24" i="61"/>
  <c r="U24" i="61" s="1"/>
  <c r="J24" i="61"/>
  <c r="O23" i="61"/>
  <c r="Q23" i="61" s="1"/>
  <c r="U23" i="61" s="1"/>
  <c r="J23" i="61"/>
  <c r="O22" i="61"/>
  <c r="Q22" i="61" s="1"/>
  <c r="U22" i="61" s="1"/>
  <c r="N22" i="61"/>
  <c r="M22" i="61"/>
  <c r="J22" i="61"/>
  <c r="U21" i="61"/>
  <c r="Q21" i="61"/>
  <c r="J21" i="61"/>
  <c r="Q20" i="61"/>
  <c r="U20" i="61" s="1"/>
  <c r="J20" i="61"/>
  <c r="O19" i="61"/>
  <c r="Q19" i="61" s="1"/>
  <c r="U19" i="61" s="1"/>
  <c r="N19" i="61"/>
  <c r="J19" i="61"/>
  <c r="Q18" i="61"/>
  <c r="U18" i="61" s="1"/>
  <c r="J18" i="61"/>
  <c r="Q16" i="61"/>
  <c r="U16" i="61" s="1"/>
  <c r="J16" i="61"/>
  <c r="M15" i="61"/>
  <c r="Q15" i="61" s="1"/>
  <c r="U15" i="61" s="1"/>
  <c r="J15" i="61"/>
  <c r="Q14" i="61"/>
  <c r="U14" i="61" s="1"/>
  <c r="J14" i="61"/>
  <c r="O13" i="61"/>
  <c r="N13" i="61"/>
  <c r="N57" i="61" s="1"/>
  <c r="M13" i="61"/>
  <c r="Q13" i="61" s="1"/>
  <c r="U13" i="61" s="1"/>
  <c r="J13" i="61"/>
  <c r="Q12" i="61"/>
  <c r="U12" i="61" s="1"/>
  <c r="J12" i="61"/>
  <c r="Q11" i="61"/>
  <c r="U11" i="61" s="1"/>
  <c r="J11" i="61"/>
  <c r="M10" i="61"/>
  <c r="M57" i="61" s="1"/>
  <c r="J10" i="61"/>
  <c r="U9" i="61"/>
  <c r="Q9" i="61"/>
  <c r="J9" i="61"/>
  <c r="Q7" i="61"/>
  <c r="U7" i="61" s="1"/>
  <c r="J7" i="61"/>
  <c r="Q6" i="61"/>
  <c r="U6" i="61" s="1"/>
  <c r="J6" i="61"/>
  <c r="Q5" i="61"/>
  <c r="J5" i="61"/>
  <c r="J57" i="61" s="1"/>
  <c r="L46" i="62" l="1"/>
  <c r="E31" i="39"/>
  <c r="R46" i="62"/>
  <c r="O14" i="62"/>
  <c r="R14" i="62" s="1"/>
  <c r="O46" i="62"/>
  <c r="Q57" i="61"/>
  <c r="U5" i="61"/>
  <c r="Q10" i="61"/>
  <c r="U10" i="61" s="1"/>
  <c r="O57" i="61"/>
  <c r="U57" i="61" l="1"/>
  <c r="E28" i="14" l="1"/>
  <c r="D28" i="14"/>
  <c r="G16" i="37"/>
  <c r="Q110" i="55"/>
  <c r="E110" i="55"/>
  <c r="D110" i="55"/>
  <c r="F109" i="55"/>
  <c r="I109" i="55" s="1"/>
  <c r="L109" i="55" s="1"/>
  <c r="O109" i="55" s="1"/>
  <c r="R109" i="55" s="1"/>
  <c r="R108" i="55"/>
  <c r="N108" i="55"/>
  <c r="R107" i="55"/>
  <c r="N107" i="55"/>
  <c r="N110" i="55" s="1"/>
  <c r="N112" i="55" s="1"/>
  <c r="N106" i="55"/>
  <c r="K106" i="55"/>
  <c r="K110" i="55" s="1"/>
  <c r="F106" i="55"/>
  <c r="G105" i="55"/>
  <c r="I105" i="55" s="1"/>
  <c r="L105" i="55" s="1"/>
  <c r="F105" i="55"/>
  <c r="G104" i="55"/>
  <c r="F104" i="55"/>
  <c r="F110" i="55" s="1"/>
  <c r="Q101" i="55"/>
  <c r="E101" i="55"/>
  <c r="D101" i="55"/>
  <c r="R100" i="55"/>
  <c r="K100" i="55"/>
  <c r="J100" i="55" s="1"/>
  <c r="N99" i="55"/>
  <c r="F99" i="55"/>
  <c r="J98" i="55"/>
  <c r="F98" i="55"/>
  <c r="R97" i="55"/>
  <c r="N97" i="55"/>
  <c r="M97" i="55" s="1"/>
  <c r="N96" i="55"/>
  <c r="N101" i="55" s="1"/>
  <c r="K96" i="55"/>
  <c r="J96" i="55"/>
  <c r="F96" i="55"/>
  <c r="F95" i="55"/>
  <c r="I95" i="55" s="1"/>
  <c r="R94" i="55"/>
  <c r="F94" i="55"/>
  <c r="I94" i="55" s="1"/>
  <c r="F93" i="55"/>
  <c r="I93" i="55" s="1"/>
  <c r="F92" i="55"/>
  <c r="Q89" i="55"/>
  <c r="F89" i="55"/>
  <c r="E89" i="55"/>
  <c r="D89" i="55"/>
  <c r="I88" i="55"/>
  <c r="G88" i="55"/>
  <c r="G89" i="55" s="1"/>
  <c r="F88" i="55"/>
  <c r="Q85" i="55"/>
  <c r="H85" i="55"/>
  <c r="H112" i="55" s="1"/>
  <c r="E85" i="55"/>
  <c r="D85" i="55"/>
  <c r="R84" i="55"/>
  <c r="K84" i="55"/>
  <c r="R83" i="55"/>
  <c r="K83" i="55"/>
  <c r="R82" i="55"/>
  <c r="K82" i="55"/>
  <c r="K81" i="55"/>
  <c r="J81" i="55"/>
  <c r="H81" i="55"/>
  <c r="F81" i="55"/>
  <c r="I81" i="55" s="1"/>
  <c r="L81" i="55" s="1"/>
  <c r="R80" i="55"/>
  <c r="K80" i="55"/>
  <c r="J80" i="55" s="1"/>
  <c r="R79" i="55"/>
  <c r="K79" i="55"/>
  <c r="R78" i="55"/>
  <c r="K78" i="55"/>
  <c r="R77" i="55"/>
  <c r="K77" i="55"/>
  <c r="K85" i="55" s="1"/>
  <c r="H77" i="55"/>
  <c r="G77" i="55" s="1"/>
  <c r="N76" i="55"/>
  <c r="K76" i="55"/>
  <c r="H76" i="55"/>
  <c r="G76" i="55"/>
  <c r="F76" i="55"/>
  <c r="I76" i="55" s="1"/>
  <c r="L76" i="55" s="1"/>
  <c r="N75" i="55"/>
  <c r="N85" i="55" s="1"/>
  <c r="H75" i="55"/>
  <c r="F75" i="55"/>
  <c r="Q72" i="55"/>
  <c r="G72" i="55"/>
  <c r="E72" i="55"/>
  <c r="D72" i="55"/>
  <c r="F71" i="55"/>
  <c r="F70" i="55"/>
  <c r="F72" i="55" s="1"/>
  <c r="O67" i="55"/>
  <c r="O66" i="55"/>
  <c r="F66" i="55"/>
  <c r="F67" i="55" s="1"/>
  <c r="M57" i="55"/>
  <c r="G57" i="55"/>
  <c r="Q55" i="55"/>
  <c r="M55" i="55"/>
  <c r="J55" i="55"/>
  <c r="E55" i="55"/>
  <c r="D55" i="55"/>
  <c r="L54" i="55"/>
  <c r="O54" i="55" s="1"/>
  <c r="R54" i="55" s="1"/>
  <c r="I54" i="55"/>
  <c r="J109" i="55" s="1"/>
  <c r="M109" i="55" s="1"/>
  <c r="F54" i="55"/>
  <c r="R53" i="55"/>
  <c r="R52" i="55"/>
  <c r="F51" i="55"/>
  <c r="I51" i="55" s="1"/>
  <c r="L50" i="55"/>
  <c r="O50" i="55" s="1"/>
  <c r="R50" i="55" s="1"/>
  <c r="I50" i="55"/>
  <c r="J105" i="55" s="1"/>
  <c r="F50" i="55"/>
  <c r="F49" i="55"/>
  <c r="Q46" i="55"/>
  <c r="M46" i="55"/>
  <c r="J46" i="55"/>
  <c r="E46" i="55"/>
  <c r="D46" i="55"/>
  <c r="I45" i="55"/>
  <c r="J99" i="55" s="1"/>
  <c r="F45" i="55"/>
  <c r="G99" i="55" s="1"/>
  <c r="I99" i="55" s="1"/>
  <c r="L99" i="55" s="1"/>
  <c r="O44" i="55"/>
  <c r="R44" i="55" s="1"/>
  <c r="L44" i="55"/>
  <c r="M98" i="55" s="1"/>
  <c r="I44" i="55"/>
  <c r="F44" i="55"/>
  <c r="G98" i="55" s="1"/>
  <c r="I98" i="55" s="1"/>
  <c r="L98" i="55" s="1"/>
  <c r="O98" i="55" s="1"/>
  <c r="R98" i="55" s="1"/>
  <c r="R43" i="55"/>
  <c r="N43" i="55"/>
  <c r="I42" i="55"/>
  <c r="L42" i="55" s="1"/>
  <c r="F42" i="55"/>
  <c r="G96" i="55" s="1"/>
  <c r="F41" i="55"/>
  <c r="G95" i="55" s="1"/>
  <c r="F40" i="55"/>
  <c r="I40" i="55" s="1"/>
  <c r="I39" i="55"/>
  <c r="F39" i="55"/>
  <c r="G93" i="55" s="1"/>
  <c r="I38" i="55"/>
  <c r="F38" i="55"/>
  <c r="F46" i="55" s="1"/>
  <c r="Q35" i="55"/>
  <c r="F35" i="55"/>
  <c r="E35" i="55"/>
  <c r="D35" i="55"/>
  <c r="F34" i="55"/>
  <c r="I34" i="55" s="1"/>
  <c r="Q31" i="55"/>
  <c r="M31" i="55"/>
  <c r="J31" i="55"/>
  <c r="G31" i="55"/>
  <c r="F31" i="55"/>
  <c r="E31" i="55"/>
  <c r="D31" i="55"/>
  <c r="R30" i="55"/>
  <c r="R29" i="55"/>
  <c r="R28" i="55"/>
  <c r="I27" i="55"/>
  <c r="L27" i="55" s="1"/>
  <c r="F27" i="55"/>
  <c r="G81" i="55" s="1"/>
  <c r="R26" i="55"/>
  <c r="R25" i="55"/>
  <c r="R24" i="55"/>
  <c r="R23" i="55"/>
  <c r="F22" i="55"/>
  <c r="I22" i="55" s="1"/>
  <c r="J76" i="55" s="1"/>
  <c r="F21" i="55"/>
  <c r="Q18" i="55"/>
  <c r="Q57" i="55" s="1"/>
  <c r="E18" i="55"/>
  <c r="D18" i="55"/>
  <c r="F17" i="55"/>
  <c r="G71" i="55" s="1"/>
  <c r="I71" i="55" s="1"/>
  <c r="I16" i="55"/>
  <c r="F16" i="55"/>
  <c r="F13" i="55"/>
  <c r="I13" i="55" s="1"/>
  <c r="L13" i="55" s="1"/>
  <c r="E13" i="55"/>
  <c r="D13" i="55"/>
  <c r="F12" i="55"/>
  <c r="G32" i="24"/>
  <c r="G24" i="24"/>
  <c r="I72" i="55" l="1"/>
  <c r="J106" i="55"/>
  <c r="L51" i="55"/>
  <c r="L93" i="55"/>
  <c r="O42" i="55"/>
  <c r="R42" i="55" s="1"/>
  <c r="M96" i="55"/>
  <c r="O27" i="55"/>
  <c r="R27" i="55" s="1"/>
  <c r="M81" i="55"/>
  <c r="O81" i="55" s="1"/>
  <c r="R81" i="55" s="1"/>
  <c r="J88" i="55"/>
  <c r="J89" i="55" s="1"/>
  <c r="I35" i="55"/>
  <c r="L35" i="55" s="1"/>
  <c r="L39" i="55"/>
  <c r="J93" i="55"/>
  <c r="L16" i="55"/>
  <c r="Q112" i="55"/>
  <c r="K101" i="55"/>
  <c r="K112" i="55" s="1"/>
  <c r="M105" i="55"/>
  <c r="J94" i="55"/>
  <c r="L40" i="55"/>
  <c r="O40" i="55" s="1"/>
  <c r="R40" i="55" s="1"/>
  <c r="E57" i="55"/>
  <c r="L94" i="55"/>
  <c r="F18" i="55"/>
  <c r="I17" i="55"/>
  <c r="I18" i="55" s="1"/>
  <c r="G75" i="55"/>
  <c r="I21" i="55"/>
  <c r="L22" i="55"/>
  <c r="L45" i="55"/>
  <c r="F55" i="55"/>
  <c r="F57" i="55" s="1"/>
  <c r="J57" i="55"/>
  <c r="J92" i="55"/>
  <c r="I96" i="55"/>
  <c r="L96" i="55" s="1"/>
  <c r="O96" i="55" s="1"/>
  <c r="R96" i="55" s="1"/>
  <c r="G106" i="55"/>
  <c r="I106" i="55" s="1"/>
  <c r="E112" i="55"/>
  <c r="I89" i="55"/>
  <c r="L88" i="55"/>
  <c r="F101" i="55"/>
  <c r="F112" i="55" s="1"/>
  <c r="O105" i="55"/>
  <c r="R105" i="55" s="1"/>
  <c r="L34" i="55"/>
  <c r="D57" i="55"/>
  <c r="G110" i="55"/>
  <c r="I104" i="55"/>
  <c r="L38" i="55"/>
  <c r="F85" i="55"/>
  <c r="D112" i="55"/>
  <c r="I41" i="55"/>
  <c r="I46" i="55" s="1"/>
  <c r="I49" i="55"/>
  <c r="G92" i="55"/>
  <c r="L106" i="55" l="1"/>
  <c r="G85" i="55"/>
  <c r="I75" i="55"/>
  <c r="M106" i="55"/>
  <c r="O51" i="55"/>
  <c r="R51" i="55" s="1"/>
  <c r="J104" i="55"/>
  <c r="J110" i="55" s="1"/>
  <c r="I55" i="55"/>
  <c r="L49" i="55"/>
  <c r="O38" i="55"/>
  <c r="L46" i="55"/>
  <c r="M88" i="55"/>
  <c r="M89" i="55" s="1"/>
  <c r="O34" i="55"/>
  <c r="L89" i="55"/>
  <c r="J101" i="55"/>
  <c r="M76" i="55"/>
  <c r="O76" i="55" s="1"/>
  <c r="R76" i="55" s="1"/>
  <c r="O22" i="55"/>
  <c r="R22" i="55" s="1"/>
  <c r="G101" i="55"/>
  <c r="G112" i="55" s="1"/>
  <c r="I92" i="55"/>
  <c r="O45" i="55"/>
  <c r="R45" i="55" s="1"/>
  <c r="M99" i="55"/>
  <c r="O99" i="55" s="1"/>
  <c r="R99" i="55" s="1"/>
  <c r="L17" i="55"/>
  <c r="J71" i="55"/>
  <c r="L41" i="55"/>
  <c r="J95" i="55"/>
  <c r="L95" i="55" s="1"/>
  <c r="L104" i="55"/>
  <c r="I110" i="55"/>
  <c r="I31" i="55"/>
  <c r="L21" i="55"/>
  <c r="J75" i="55"/>
  <c r="J85" i="55" s="1"/>
  <c r="O16" i="55"/>
  <c r="L18" i="55"/>
  <c r="O39" i="55"/>
  <c r="R39" i="55" s="1"/>
  <c r="M93" i="55"/>
  <c r="M101" i="55" l="1"/>
  <c r="J72" i="55"/>
  <c r="L71" i="55"/>
  <c r="I101" i="55"/>
  <c r="I112" i="55" s="1"/>
  <c r="L92" i="55"/>
  <c r="I85" i="55"/>
  <c r="L75" i="55"/>
  <c r="M75" i="55"/>
  <c r="M85" i="55" s="1"/>
  <c r="L31" i="55"/>
  <c r="O21" i="55"/>
  <c r="O95" i="55"/>
  <c r="R95" i="55" s="1"/>
  <c r="M71" i="55"/>
  <c r="M72" i="55" s="1"/>
  <c r="O17" i="55"/>
  <c r="R17" i="55" s="1"/>
  <c r="R38" i="55"/>
  <c r="O88" i="55"/>
  <c r="J112" i="55"/>
  <c r="M95" i="55"/>
  <c r="O41" i="55"/>
  <c r="R41" i="55" s="1"/>
  <c r="R34" i="55"/>
  <c r="R35" i="55" s="1"/>
  <c r="O35" i="55"/>
  <c r="M104" i="55"/>
  <c r="M110" i="55" s="1"/>
  <c r="L55" i="55"/>
  <c r="L57" i="55" s="1"/>
  <c r="O49" i="55"/>
  <c r="O106" i="55"/>
  <c r="R106" i="55" s="1"/>
  <c r="O104" i="55"/>
  <c r="L110" i="55"/>
  <c r="O18" i="55"/>
  <c r="R16" i="55"/>
  <c r="R18" i="55" s="1"/>
  <c r="O93" i="55"/>
  <c r="R93" i="55" s="1"/>
  <c r="I57" i="55"/>
  <c r="R88" i="55" l="1"/>
  <c r="R89" i="55" s="1"/>
  <c r="O89" i="55"/>
  <c r="R46" i="55"/>
  <c r="R57" i="55" s="1"/>
  <c r="L85" i="55"/>
  <c r="O75" i="55"/>
  <c r="L72" i="55"/>
  <c r="O71" i="55"/>
  <c r="O110" i="55"/>
  <c r="R104" i="55"/>
  <c r="R110" i="55" s="1"/>
  <c r="M112" i="55"/>
  <c r="O46" i="55"/>
  <c r="O31" i="55"/>
  <c r="R21" i="55"/>
  <c r="R31" i="55" s="1"/>
  <c r="R49" i="55"/>
  <c r="R55" i="55" s="1"/>
  <c r="O55" i="55"/>
  <c r="O57" i="55" s="1"/>
  <c r="O92" i="55"/>
  <c r="O101" i="55" s="1"/>
  <c r="R101" i="55" s="1"/>
  <c r="L101" i="55"/>
  <c r="L112" i="55" s="1"/>
  <c r="O72" i="55" l="1"/>
  <c r="R71" i="55"/>
  <c r="R72" i="55" s="1"/>
  <c r="R75" i="55"/>
  <c r="R85" i="55" s="1"/>
  <c r="O85" i="55"/>
  <c r="O112" i="55" s="1"/>
  <c r="R112" i="55" l="1"/>
  <c r="F16" i="7" l="1"/>
  <c r="F23" i="7" l="1"/>
  <c r="J51" i="26" l="1"/>
  <c r="J37" i="26"/>
  <c r="I43" i="37" l="1"/>
  <c r="K25" i="26"/>
  <c r="I37" i="24"/>
  <c r="I20" i="29"/>
  <c r="K19" i="39"/>
  <c r="G25" i="24"/>
  <c r="I25" i="24"/>
  <c r="G11" i="24"/>
  <c r="I11" i="24" s="1"/>
  <c r="K51" i="26"/>
  <c r="G9" i="24"/>
  <c r="G15" i="24"/>
  <c r="G12" i="24"/>
  <c r="D42" i="50"/>
  <c r="D39" i="50"/>
  <c r="F67" i="50"/>
  <c r="C67" i="50"/>
  <c r="E57" i="50"/>
  <c r="E56" i="50"/>
  <c r="E25" i="50"/>
  <c r="E67" i="50" s="1"/>
  <c r="E60" i="50"/>
  <c r="E45" i="50"/>
  <c r="F39" i="50"/>
  <c r="D67" i="50"/>
  <c r="F58" i="37"/>
  <c r="G30" i="37"/>
  <c r="G26" i="37"/>
  <c r="I19" i="37"/>
  <c r="D6" i="38" s="1"/>
  <c r="G18" i="37"/>
  <c r="G8" i="37"/>
  <c r="K40" i="26"/>
  <c r="G48" i="24"/>
  <c r="G42" i="24"/>
  <c r="G39" i="24"/>
  <c r="G21" i="24"/>
  <c r="I21" i="24" s="1"/>
  <c r="E8" i="13"/>
  <c r="F4" i="29"/>
  <c r="F8" i="29"/>
  <c r="F10" i="29" s="1"/>
  <c r="F14" i="29" s="1"/>
  <c r="F3" i="29"/>
  <c r="I16" i="49"/>
  <c r="C2" i="49"/>
  <c r="F1" i="49"/>
  <c r="C2" i="47"/>
  <c r="F1" i="47"/>
  <c r="C2" i="46"/>
  <c r="F1" i="46"/>
  <c r="G19" i="19"/>
  <c r="F19" i="19"/>
  <c r="F17" i="19"/>
  <c r="E18" i="10"/>
  <c r="C8" i="13"/>
  <c r="G9" i="19"/>
  <c r="N24" i="41"/>
  <c r="H24" i="41"/>
  <c r="P3" i="41"/>
  <c r="F2" i="41"/>
  <c r="E18" i="41" s="1"/>
  <c r="C2" i="40"/>
  <c r="J1" i="40"/>
  <c r="E2" i="39"/>
  <c r="K1" i="39"/>
  <c r="C2" i="38"/>
  <c r="E1" i="38"/>
  <c r="C2" i="37"/>
  <c r="I1" i="37"/>
  <c r="C2" i="36"/>
  <c r="E1" i="36"/>
  <c r="C2" i="35"/>
  <c r="E1" i="35"/>
  <c r="C2" i="34"/>
  <c r="E1" i="34"/>
  <c r="C2" i="33"/>
  <c r="G1" i="33"/>
  <c r="C2" i="32"/>
  <c r="E1" i="32"/>
  <c r="C2" i="31"/>
  <c r="D1" i="31"/>
  <c r="K30" i="30"/>
  <c r="J3" i="30"/>
  <c r="L26" i="29"/>
  <c r="K3" i="29"/>
  <c r="I16" i="28"/>
  <c r="C2" i="28"/>
  <c r="F1" i="28"/>
  <c r="C2" i="27"/>
  <c r="F1" i="27"/>
  <c r="E2" i="26"/>
  <c r="K1" i="26"/>
  <c r="C2" i="25"/>
  <c r="E1" i="25"/>
  <c r="C2" i="24"/>
  <c r="I1" i="24"/>
  <c r="K36" i="23"/>
  <c r="J8" i="23"/>
  <c r="C2" i="22"/>
  <c r="E1" i="22"/>
  <c r="C2" i="21"/>
  <c r="E1" i="21"/>
  <c r="C2" i="20"/>
  <c r="E1" i="20"/>
  <c r="C2" i="19"/>
  <c r="G1" i="19"/>
  <c r="C2" i="18"/>
  <c r="E1" i="18"/>
  <c r="C3" i="17"/>
  <c r="E1" i="17"/>
  <c r="C2" i="16"/>
  <c r="G1" i="16"/>
  <c r="N24" i="15"/>
  <c r="M5" i="15"/>
  <c r="C2" i="14"/>
  <c r="E1" i="14"/>
  <c r="I25" i="13"/>
  <c r="H6" i="13"/>
  <c r="I24" i="12"/>
  <c r="H6" i="12"/>
  <c r="C2" i="11"/>
  <c r="F1" i="11"/>
  <c r="C2" i="10"/>
  <c r="E1" i="10"/>
  <c r="C2" i="9"/>
  <c r="E1" i="9"/>
  <c r="C2" i="8"/>
  <c r="E1" i="8"/>
  <c r="C3" i="7"/>
  <c r="F1" i="7"/>
  <c r="C2" i="6"/>
  <c r="D1" i="6"/>
  <c r="D2" i="5"/>
  <c r="H1" i="5"/>
  <c r="C41" i="4"/>
  <c r="C2" i="4"/>
  <c r="J1" i="4"/>
  <c r="E14" i="14"/>
  <c r="E21" i="14" s="1"/>
  <c r="D14" i="14"/>
  <c r="D21" i="14" s="1"/>
  <c r="A16" i="40"/>
  <c r="A19" i="40" s="1"/>
  <c r="A22" i="40" s="1"/>
  <c r="A25" i="40" s="1"/>
  <c r="A28" i="40" s="1"/>
  <c r="A33" i="40" s="1"/>
  <c r="A34" i="40" s="1"/>
  <c r="A35" i="40" s="1"/>
  <c r="A36" i="40" s="1"/>
  <c r="A37" i="40" s="1"/>
  <c r="A41" i="40" s="1"/>
  <c r="A42" i="40" s="1"/>
  <c r="A43" i="40" s="1"/>
  <c r="A2" i="39"/>
  <c r="B9" i="39"/>
  <c r="C9" i="39"/>
  <c r="G9" i="39"/>
  <c r="K9" i="39" s="1"/>
  <c r="A10" i="39"/>
  <c r="A11" i="39"/>
  <c r="A13" i="39" s="1"/>
  <c r="A14" i="39" s="1"/>
  <c r="A16" i="39" s="1"/>
  <c r="A17" i="39" s="1"/>
  <c r="A18" i="39" s="1"/>
  <c r="A19" i="39" s="1"/>
  <c r="A20" i="39" s="1"/>
  <c r="A21" i="39" s="1"/>
  <c r="A22" i="39" s="1"/>
  <c r="A24" i="39" s="1"/>
  <c r="A25" i="39" s="1"/>
  <c r="A26" i="39" s="1"/>
  <c r="A27" i="39" s="1"/>
  <c r="A29" i="39" s="1"/>
  <c r="A30" i="39" s="1"/>
  <c r="A31" i="39" s="1"/>
  <c r="A32" i="39" s="1"/>
  <c r="A33" i="39" s="1"/>
  <c r="A34" i="39" s="1"/>
  <c r="A35" i="39" s="1"/>
  <c r="A36" i="39" s="1"/>
  <c r="A38" i="39" s="1"/>
  <c r="A39" i="39" s="1"/>
  <c r="A40" i="39" s="1"/>
  <c r="A41" i="39" s="1"/>
  <c r="A42" i="39" s="1"/>
  <c r="A43" i="39" s="1"/>
  <c r="A44" i="39" s="1"/>
  <c r="A45" i="39" s="1"/>
  <c r="A46" i="39" s="1"/>
  <c r="A47" i="39" s="1"/>
  <c r="A48" i="39" s="1"/>
  <c r="A49" i="39" s="1"/>
  <c r="B10" i="39"/>
  <c r="C10" i="39"/>
  <c r="G10" i="39"/>
  <c r="K10" i="39" s="1"/>
  <c r="B11" i="39"/>
  <c r="C11" i="39"/>
  <c r="G11" i="39"/>
  <c r="K11" i="39" s="1"/>
  <c r="B13" i="39"/>
  <c r="C13" i="39"/>
  <c r="G13" i="39"/>
  <c r="K13" i="39" s="1"/>
  <c r="B14" i="39"/>
  <c r="C14" i="39"/>
  <c r="G14" i="39"/>
  <c r="K14" i="39" s="1"/>
  <c r="B16" i="39"/>
  <c r="C16" i="39"/>
  <c r="G16" i="39"/>
  <c r="K16" i="39" s="1"/>
  <c r="B17" i="39"/>
  <c r="C17" i="39"/>
  <c r="G17" i="39"/>
  <c r="K17" i="39" s="1"/>
  <c r="B18" i="39"/>
  <c r="C18" i="39"/>
  <c r="G18" i="39"/>
  <c r="K18" i="39" s="1"/>
  <c r="B19" i="39"/>
  <c r="C19" i="39"/>
  <c r="G19" i="39"/>
  <c r="B20" i="39"/>
  <c r="C20" i="39"/>
  <c r="G20" i="39"/>
  <c r="K20" i="39" s="1"/>
  <c r="B21" i="39"/>
  <c r="C21" i="39"/>
  <c r="G21" i="39"/>
  <c r="K21" i="39" s="1"/>
  <c r="B22" i="39"/>
  <c r="C22" i="39"/>
  <c r="G22" i="39"/>
  <c r="K22" i="39" s="1"/>
  <c r="B24" i="39"/>
  <c r="C24" i="39"/>
  <c r="G24" i="39"/>
  <c r="K24" i="39" s="1"/>
  <c r="B25" i="39"/>
  <c r="C25" i="39"/>
  <c r="G25" i="39"/>
  <c r="K25" i="39" s="1"/>
  <c r="B26" i="39"/>
  <c r="C26" i="39"/>
  <c r="G26" i="39"/>
  <c r="K26" i="39" s="1"/>
  <c r="B27" i="39"/>
  <c r="C27" i="39"/>
  <c r="G27" i="39"/>
  <c r="K27" i="39" s="1"/>
  <c r="K28" i="39"/>
  <c r="B29" i="39"/>
  <c r="C29" i="39"/>
  <c r="G29" i="39"/>
  <c r="K29" i="39"/>
  <c r="B30" i="39"/>
  <c r="C30" i="39"/>
  <c r="G30" i="39"/>
  <c r="K30" i="39"/>
  <c r="B31" i="39"/>
  <c r="C31" i="39"/>
  <c r="G31" i="39"/>
  <c r="K31" i="39"/>
  <c r="B32" i="39"/>
  <c r="C32" i="39"/>
  <c r="G32" i="39"/>
  <c r="K32" i="39"/>
  <c r="B33" i="39"/>
  <c r="C33" i="39"/>
  <c r="G33" i="39"/>
  <c r="K33" i="39"/>
  <c r="B34" i="39"/>
  <c r="C34" i="39"/>
  <c r="G34" i="39"/>
  <c r="K34" i="39"/>
  <c r="B35" i="39"/>
  <c r="C35" i="39"/>
  <c r="G35" i="39"/>
  <c r="K35" i="39"/>
  <c r="B36" i="39"/>
  <c r="C36" i="39"/>
  <c r="G36" i="39"/>
  <c r="K36" i="39"/>
  <c r="B38" i="39"/>
  <c r="C38" i="39"/>
  <c r="G38" i="39"/>
  <c r="K38" i="39"/>
  <c r="B39" i="39"/>
  <c r="C39" i="39"/>
  <c r="G39" i="39"/>
  <c r="K39" i="39"/>
  <c r="B40" i="39"/>
  <c r="C40" i="39"/>
  <c r="G40" i="39"/>
  <c r="K40" i="39"/>
  <c r="B41" i="39"/>
  <c r="C41" i="39"/>
  <c r="G41" i="39"/>
  <c r="K41" i="39"/>
  <c r="B42" i="39"/>
  <c r="C42" i="39"/>
  <c r="G42" i="39"/>
  <c r="K42" i="39"/>
  <c r="B43" i="39"/>
  <c r="C43" i="39"/>
  <c r="G43" i="39"/>
  <c r="K43" i="39"/>
  <c r="B44" i="39"/>
  <c r="C44" i="39"/>
  <c r="G44" i="39"/>
  <c r="K44" i="39"/>
  <c r="B45" i="39"/>
  <c r="C45" i="39"/>
  <c r="G45" i="39"/>
  <c r="K45" i="39"/>
  <c r="B46" i="39"/>
  <c r="C46" i="39"/>
  <c r="G46" i="39"/>
  <c r="K46" i="39"/>
  <c r="B47" i="39"/>
  <c r="C47" i="39"/>
  <c r="G47" i="39"/>
  <c r="K47" i="39"/>
  <c r="B48" i="39"/>
  <c r="C48" i="39"/>
  <c r="G48" i="39"/>
  <c r="K48" i="39"/>
  <c r="F49" i="39"/>
  <c r="H49" i="39"/>
  <c r="I49" i="39"/>
  <c r="J49" i="39"/>
  <c r="E13" i="38"/>
  <c r="E22" i="38"/>
  <c r="E31" i="38"/>
  <c r="A2" i="37"/>
  <c r="A8" i="37" s="1"/>
  <c r="A9" i="37" s="1"/>
  <c r="A10" i="37" s="1"/>
  <c r="A12" i="37" s="1"/>
  <c r="A13" i="37" s="1"/>
  <c r="A15" i="37" s="1"/>
  <c r="A16" i="37" s="1"/>
  <c r="A17" i="37" s="1"/>
  <c r="A18" i="37" s="1"/>
  <c r="A19" i="37" s="1"/>
  <c r="A20" i="37" s="1"/>
  <c r="A21" i="37" s="1"/>
  <c r="A23" i="37" s="1"/>
  <c r="A24" i="37" s="1"/>
  <c r="A25" i="37" s="1"/>
  <c r="A26" i="37" s="1"/>
  <c r="A28" i="37" s="1"/>
  <c r="A29" i="37" s="1"/>
  <c r="A30" i="37" s="1"/>
  <c r="A31" i="37" s="1"/>
  <c r="A32" i="37" s="1"/>
  <c r="A33" i="37" s="1"/>
  <c r="A34" i="37" s="1"/>
  <c r="A35" i="37" s="1"/>
  <c r="A37" i="37" s="1"/>
  <c r="A38" i="37" s="1"/>
  <c r="A39" i="37" s="1"/>
  <c r="A40" i="37" s="1"/>
  <c r="A41" i="37" s="1"/>
  <c r="A42" i="37" s="1"/>
  <c r="A43" i="37" s="1"/>
  <c r="A44" i="37" s="1"/>
  <c r="A45" i="37" s="1"/>
  <c r="A46" i="37" s="1"/>
  <c r="A47" i="37" s="1"/>
  <c r="A48" i="37" s="1"/>
  <c r="I8" i="37"/>
  <c r="I9" i="37"/>
  <c r="I10" i="37"/>
  <c r="I12" i="37"/>
  <c r="I13" i="37"/>
  <c r="I15" i="37"/>
  <c r="I16" i="37"/>
  <c r="I17" i="37"/>
  <c r="I18" i="37"/>
  <c r="I20" i="37"/>
  <c r="I21" i="37"/>
  <c r="I23" i="37"/>
  <c r="I24" i="37"/>
  <c r="I25" i="37"/>
  <c r="I26" i="37"/>
  <c r="I28" i="37"/>
  <c r="I29" i="37"/>
  <c r="I30" i="37"/>
  <c r="I31" i="37"/>
  <c r="I32" i="37"/>
  <c r="I33" i="37"/>
  <c r="I34" i="37"/>
  <c r="I35" i="37"/>
  <c r="D15" i="38"/>
  <c r="I37" i="37"/>
  <c r="I38" i="37"/>
  <c r="I39" i="37"/>
  <c r="I40" i="37"/>
  <c r="I41" i="37"/>
  <c r="I42" i="37"/>
  <c r="D24" i="38" s="1"/>
  <c r="I44" i="37"/>
  <c r="I45" i="37"/>
  <c r="I46" i="37"/>
  <c r="I47" i="37"/>
  <c r="F48" i="37"/>
  <c r="G48" i="37"/>
  <c r="G58" i="37" s="1"/>
  <c r="H48" i="37"/>
  <c r="D6" i="36"/>
  <c r="E13" i="36"/>
  <c r="D15" i="36"/>
  <c r="E22" i="36"/>
  <c r="D24" i="36"/>
  <c r="E31" i="36"/>
  <c r="E18" i="35"/>
  <c r="D11" i="31"/>
  <c r="A21" i="35"/>
  <c r="A22" i="35"/>
  <c r="A23" i="35" s="1"/>
  <c r="A24" i="35" s="1"/>
  <c r="A25" i="35" s="1"/>
  <c r="A26" i="35" s="1"/>
  <c r="A27" i="35" s="1"/>
  <c r="A28" i="35" s="1"/>
  <c r="E28" i="35"/>
  <c r="D23" i="31"/>
  <c r="D6" i="34"/>
  <c r="E13" i="34"/>
  <c r="D15" i="34"/>
  <c r="E22" i="34"/>
  <c r="D24" i="34"/>
  <c r="E31" i="34"/>
  <c r="D33" i="34"/>
  <c r="E40" i="34"/>
  <c r="D15" i="33"/>
  <c r="E15" i="33"/>
  <c r="G15" i="33"/>
  <c r="G29" i="33"/>
  <c r="D6" i="31" s="1"/>
  <c r="D20" i="33"/>
  <c r="E20" i="33"/>
  <c r="F20" i="33"/>
  <c r="G20" i="33"/>
  <c r="G28" i="33"/>
  <c r="G50" i="4" s="1"/>
  <c r="D6" i="32"/>
  <c r="E13" i="32"/>
  <c r="D15" i="32"/>
  <c r="E22" i="32"/>
  <c r="H3" i="30"/>
  <c r="H4" i="30"/>
  <c r="H5" i="30"/>
  <c r="H6" i="30"/>
  <c r="H7" i="30"/>
  <c r="H8" i="30"/>
  <c r="H9" i="30"/>
  <c r="H10" i="30"/>
  <c r="H11" i="30"/>
  <c r="H12" i="30"/>
  <c r="H13" i="30"/>
  <c r="H14" i="30"/>
  <c r="H15" i="30"/>
  <c r="E16" i="30"/>
  <c r="F16" i="30"/>
  <c r="G16" i="30"/>
  <c r="G21" i="30"/>
  <c r="G30" i="30" s="1"/>
  <c r="B22" i="30"/>
  <c r="B23" i="30"/>
  <c r="B24" i="30" s="1"/>
  <c r="B26" i="30" s="1"/>
  <c r="B27" i="30" s="1"/>
  <c r="B28" i="30" s="1"/>
  <c r="B29" i="30" s="1"/>
  <c r="B30" i="30" s="1"/>
  <c r="G22" i="30"/>
  <c r="G23" i="30"/>
  <c r="G24" i="30"/>
  <c r="G26" i="30"/>
  <c r="G27" i="30"/>
  <c r="G28" i="30"/>
  <c r="G29" i="30"/>
  <c r="D30" i="30"/>
  <c r="E30" i="30"/>
  <c r="F30" i="30"/>
  <c r="H30" i="30"/>
  <c r="E10" i="29"/>
  <c r="E14" i="29" s="1"/>
  <c r="G10" i="29"/>
  <c r="G14" i="29" s="1"/>
  <c r="H10" i="29"/>
  <c r="H14" i="29"/>
  <c r="I10" i="29"/>
  <c r="IV10" i="29"/>
  <c r="I14" i="29"/>
  <c r="B7" i="26"/>
  <c r="B8" i="26"/>
  <c r="G8" i="26"/>
  <c r="K8" i="26"/>
  <c r="B9" i="26"/>
  <c r="G9" i="26"/>
  <c r="K9" i="26" s="1"/>
  <c r="B10" i="26"/>
  <c r="G10" i="26"/>
  <c r="B12" i="26"/>
  <c r="G12" i="26"/>
  <c r="K12" i="26"/>
  <c r="B13" i="26"/>
  <c r="G13" i="26"/>
  <c r="K13" i="26" s="1"/>
  <c r="B14" i="26"/>
  <c r="G14" i="26"/>
  <c r="K14" i="26"/>
  <c r="B15" i="26"/>
  <c r="G15" i="26"/>
  <c r="K15" i="26" s="1"/>
  <c r="B16" i="26"/>
  <c r="G16" i="26"/>
  <c r="K16" i="26"/>
  <c r="B17" i="26"/>
  <c r="G17" i="26"/>
  <c r="K17" i="26" s="1"/>
  <c r="B18" i="26"/>
  <c r="G18" i="26"/>
  <c r="K18" i="26"/>
  <c r="B19" i="26"/>
  <c r="G19" i="26"/>
  <c r="K19" i="26" s="1"/>
  <c r="B21" i="26"/>
  <c r="G21" i="26"/>
  <c r="K21" i="26"/>
  <c r="B22" i="26"/>
  <c r="G22" i="26"/>
  <c r="K22" i="26" s="1"/>
  <c r="B23" i="26"/>
  <c r="G23" i="26"/>
  <c r="K23" i="26"/>
  <c r="B24" i="26"/>
  <c r="G24" i="26"/>
  <c r="K24" i="26" s="1"/>
  <c r="B25" i="26"/>
  <c r="G25" i="26"/>
  <c r="B26" i="26"/>
  <c r="G26" i="26"/>
  <c r="K26" i="26" s="1"/>
  <c r="B27" i="26"/>
  <c r="G27" i="26"/>
  <c r="K27" i="26"/>
  <c r="B28" i="26"/>
  <c r="G28" i="26"/>
  <c r="K28" i="26" s="1"/>
  <c r="B29" i="26"/>
  <c r="G29" i="26"/>
  <c r="K29" i="26"/>
  <c r="B31" i="26"/>
  <c r="G31" i="26"/>
  <c r="K31" i="26" s="1"/>
  <c r="B32" i="26"/>
  <c r="G32" i="26"/>
  <c r="K32" i="26"/>
  <c r="B33" i="26"/>
  <c r="G33" i="26"/>
  <c r="K33" i="26" s="1"/>
  <c r="B35" i="26"/>
  <c r="G35" i="26"/>
  <c r="K35" i="26"/>
  <c r="B36" i="26"/>
  <c r="G36" i="26"/>
  <c r="K36" i="26" s="1"/>
  <c r="B37" i="26"/>
  <c r="G37" i="26"/>
  <c r="K37" i="26"/>
  <c r="B38" i="26"/>
  <c r="G38" i="26"/>
  <c r="K38" i="26" s="1"/>
  <c r="B39" i="26"/>
  <c r="G39" i="26"/>
  <c r="K39" i="26"/>
  <c r="B40" i="26"/>
  <c r="G40" i="26"/>
  <c r="B41" i="26"/>
  <c r="G41" i="26"/>
  <c r="K41" i="26"/>
  <c r="B42" i="26"/>
  <c r="G42" i="26"/>
  <c r="K42" i="26" s="1"/>
  <c r="B43" i="26"/>
  <c r="G43" i="26"/>
  <c r="K43" i="26" s="1"/>
  <c r="B44" i="26"/>
  <c r="G44" i="26"/>
  <c r="K44" i="26"/>
  <c r="B46" i="26"/>
  <c r="C46" i="26"/>
  <c r="B47" i="26"/>
  <c r="C47" i="26"/>
  <c r="G47" i="26"/>
  <c r="K47" i="26"/>
  <c r="B48" i="26"/>
  <c r="C48" i="26"/>
  <c r="G48" i="26"/>
  <c r="K48" i="26"/>
  <c r="B49" i="26"/>
  <c r="C49" i="26"/>
  <c r="G49" i="26"/>
  <c r="K49" i="26"/>
  <c r="B50" i="26"/>
  <c r="C50" i="26"/>
  <c r="G50" i="26"/>
  <c r="K50" i="26"/>
  <c r="B51" i="26"/>
  <c r="C51" i="26"/>
  <c r="G51" i="26"/>
  <c r="B52" i="26"/>
  <c r="C52" i="26"/>
  <c r="G52" i="26"/>
  <c r="K52" i="26"/>
  <c r="B53" i="26"/>
  <c r="C53" i="26"/>
  <c r="G53" i="26"/>
  <c r="K53" i="26"/>
  <c r="B54" i="26"/>
  <c r="C54" i="26"/>
  <c r="G54" i="26"/>
  <c r="K54" i="26"/>
  <c r="B55" i="26"/>
  <c r="C55" i="26"/>
  <c r="G55" i="26"/>
  <c r="K55" i="26"/>
  <c r="B56" i="26"/>
  <c r="C56" i="26"/>
  <c r="G56" i="26"/>
  <c r="K56" i="26"/>
  <c r="B57" i="26"/>
  <c r="C57" i="26"/>
  <c r="G57" i="26"/>
  <c r="K57" i="26"/>
  <c r="B58" i="26"/>
  <c r="C58" i="26"/>
  <c r="G58" i="26"/>
  <c r="K58" i="26"/>
  <c r="F59" i="26"/>
  <c r="H59" i="26"/>
  <c r="I59" i="26"/>
  <c r="J59" i="26"/>
  <c r="A6" i="25"/>
  <c r="A15" i="25"/>
  <c r="A24" i="25" s="1"/>
  <c r="A33" i="25" s="1"/>
  <c r="D6" i="25"/>
  <c r="E13" i="25"/>
  <c r="E22" i="25"/>
  <c r="E31" i="25"/>
  <c r="E40" i="25"/>
  <c r="I7" i="24"/>
  <c r="I8" i="24"/>
  <c r="I9" i="24"/>
  <c r="I12" i="24"/>
  <c r="I13" i="24"/>
  <c r="I14" i="24"/>
  <c r="I15" i="24"/>
  <c r="I16" i="24"/>
  <c r="I17" i="24"/>
  <c r="I18" i="24"/>
  <c r="I20" i="24"/>
  <c r="I22" i="24"/>
  <c r="I23" i="24"/>
  <c r="D15" i="25"/>
  <c r="I24" i="24"/>
  <c r="I26" i="24"/>
  <c r="I27" i="24"/>
  <c r="I28" i="24"/>
  <c r="D24" i="25" s="1"/>
  <c r="I30" i="24"/>
  <c r="I31" i="24"/>
  <c r="I32" i="24"/>
  <c r="I34" i="24"/>
  <c r="I35" i="24"/>
  <c r="I36" i="24"/>
  <c r="I38" i="24"/>
  <c r="I39" i="24"/>
  <c r="I40" i="24"/>
  <c r="I41" i="24"/>
  <c r="I42" i="24"/>
  <c r="I43" i="24"/>
  <c r="I46" i="24"/>
  <c r="I47" i="24"/>
  <c r="I48" i="24"/>
  <c r="I49" i="24"/>
  <c r="I50" i="24"/>
  <c r="I51" i="24"/>
  <c r="I52" i="24"/>
  <c r="I53" i="24"/>
  <c r="I54" i="24"/>
  <c r="I55" i="24"/>
  <c r="I56" i="24"/>
  <c r="I57" i="24"/>
  <c r="I58" i="24"/>
  <c r="D33" i="25" s="1"/>
  <c r="F59" i="24"/>
  <c r="H59" i="24"/>
  <c r="H12" i="23"/>
  <c r="H13" i="23"/>
  <c r="H14" i="23"/>
  <c r="H24" i="23" s="1"/>
  <c r="H15" i="23"/>
  <c r="H16" i="23"/>
  <c r="H17" i="23"/>
  <c r="H18" i="23"/>
  <c r="H19" i="23"/>
  <c r="H20" i="23"/>
  <c r="H21" i="23"/>
  <c r="H22" i="23"/>
  <c r="H23" i="23"/>
  <c r="D24" i="23"/>
  <c r="E24" i="23"/>
  <c r="F24" i="23"/>
  <c r="G24" i="23"/>
  <c r="D6" i="22"/>
  <c r="E13" i="22"/>
  <c r="D15" i="22"/>
  <c r="E22" i="22"/>
  <c r="D24" i="22"/>
  <c r="E31" i="22"/>
  <c r="E17" i="21"/>
  <c r="E13" i="17"/>
  <c r="E27" i="21"/>
  <c r="E25" i="17"/>
  <c r="D6" i="20"/>
  <c r="E13" i="20"/>
  <c r="D15" i="20"/>
  <c r="E22" i="20"/>
  <c r="D24" i="20"/>
  <c r="E31" i="20"/>
  <c r="E40" i="20"/>
  <c r="D15" i="19"/>
  <c r="E15" i="19"/>
  <c r="G15" i="19"/>
  <c r="G32" i="19" s="1"/>
  <c r="E8" i="17" s="1"/>
  <c r="D23" i="19"/>
  <c r="E23" i="19"/>
  <c r="F23" i="19"/>
  <c r="G23" i="19"/>
  <c r="G31" i="19"/>
  <c r="G44" i="4"/>
  <c r="D6" i="18"/>
  <c r="E13" i="18"/>
  <c r="D15" i="18"/>
  <c r="E22" i="18"/>
  <c r="D30" i="16"/>
  <c r="E30" i="16"/>
  <c r="F13" i="7" s="1"/>
  <c r="F30" i="16"/>
  <c r="G30" i="16"/>
  <c r="F24" i="15"/>
  <c r="I24" i="15"/>
  <c r="J24" i="15"/>
  <c r="E26" i="17"/>
  <c r="K24" i="15"/>
  <c r="D24" i="31"/>
  <c r="D20" i="14"/>
  <c r="E20" i="14"/>
  <c r="D41" i="14"/>
  <c r="E41" i="14"/>
  <c r="C24" i="13"/>
  <c r="E19" i="17"/>
  <c r="D24" i="13"/>
  <c r="E24" i="13"/>
  <c r="D17" i="31" s="1"/>
  <c r="F24" i="13"/>
  <c r="C23" i="12"/>
  <c r="D23" i="12"/>
  <c r="E10" i="17" s="1"/>
  <c r="E23" i="12"/>
  <c r="D8" i="31" s="1"/>
  <c r="F23" i="12"/>
  <c r="E36" i="11"/>
  <c r="E21" i="17"/>
  <c r="F36" i="11"/>
  <c r="D19" i="31"/>
  <c r="D6" i="10"/>
  <c r="E13" i="10"/>
  <c r="D15" i="10"/>
  <c r="E22" i="10"/>
  <c r="D6" i="8"/>
  <c r="E13" i="8"/>
  <c r="D15" i="8"/>
  <c r="E22" i="8"/>
  <c r="D24" i="8"/>
  <c r="E31" i="8"/>
  <c r="D33" i="8"/>
  <c r="E40" i="8"/>
  <c r="F20" i="7"/>
  <c r="H24" i="5"/>
  <c r="A14" i="4"/>
  <c r="A43" i="4"/>
  <c r="A44" i="4"/>
  <c r="A45" i="4" s="1"/>
  <c r="A49" i="4" s="1"/>
  <c r="A50" i="4" s="1"/>
  <c r="A51" i="4" s="1"/>
  <c r="J45" i="4"/>
  <c r="J51" i="4"/>
  <c r="K10" i="26"/>
  <c r="G49" i="4"/>
  <c r="H16" i="30"/>
  <c r="G43" i="4"/>
  <c r="G45" i="4" s="1"/>
  <c r="D33" i="20"/>
  <c r="G59" i="24"/>
  <c r="E22" i="9" l="1"/>
  <c r="E29" i="14"/>
  <c r="K59" i="26"/>
  <c r="F11" i="7" s="1"/>
  <c r="G51" i="4"/>
  <c r="K49" i="39"/>
  <c r="F18" i="7" s="1"/>
  <c r="D29" i="14"/>
  <c r="E17" i="9"/>
  <c r="E59" i="26"/>
  <c r="E49" i="39"/>
  <c r="I48" i="37"/>
  <c r="G49" i="39"/>
  <c r="G59" i="26"/>
  <c r="I59" i="24"/>
  <c r="F10" i="7" s="1"/>
  <c r="D30" i="14" l="1"/>
  <c r="D31" i="14" s="1"/>
  <c r="F12" i="7"/>
  <c r="E22" i="17"/>
  <c r="D32" i="14"/>
  <c r="F17" i="7"/>
  <c r="F19" i="7" s="1"/>
  <c r="E30" i="14"/>
  <c r="E31" i="14" s="1"/>
  <c r="E32" i="14"/>
  <c r="D20" i="31"/>
  <c r="D33" i="14" l="1"/>
  <c r="E23" i="17" s="1"/>
  <c r="E28" i="17" s="1"/>
  <c r="E29" i="17" s="1"/>
  <c r="F27" i="7"/>
  <c r="E33" i="14"/>
  <c r="D34" i="14" l="1"/>
  <c r="E18" i="9" s="1"/>
  <c r="E19" i="9" s="1"/>
  <c r="E34" i="14"/>
  <c r="E23" i="9" s="1"/>
  <c r="E24" i="9" s="1"/>
  <c r="D21" i="31"/>
  <c r="D26" i="31" s="1"/>
  <c r="D27" i="31" s="1"/>
  <c r="E28" i="9" l="1"/>
  <c r="E33" i="9" s="1"/>
</calcChain>
</file>

<file path=xl/comments1.xml><?xml version="1.0" encoding="utf-8"?>
<comments xmlns="http://schemas.openxmlformats.org/spreadsheetml/2006/main">
  <authors>
    <author>fostek</author>
  </authors>
  <commentList>
    <comment ref="E3" authorId="0">
      <text>
        <r>
          <rPr>
            <b/>
            <sz val="9"/>
            <color indexed="81"/>
            <rFont val="Tahoma"/>
            <family val="2"/>
          </rPr>
          <t>Source: Algonquin 2010 Annual Report, page W-5, column (f), Balance at End of Year.</t>
        </r>
      </text>
    </comment>
    <comment ref="F3" authorId="0">
      <text>
        <r>
          <rPr>
            <b/>
            <sz val="9"/>
            <color indexed="81"/>
            <rFont val="Tahoma"/>
            <family val="2"/>
          </rPr>
          <t>Source: WO-2011-0350 staff workpapers</t>
        </r>
      </text>
    </comment>
    <comment ref="G3" authorId="0">
      <text>
        <r>
          <rPr>
            <b/>
            <sz val="9"/>
            <color indexed="81"/>
            <rFont val="Tahoma"/>
            <family val="2"/>
          </rPr>
          <t>Source: WO-2011-0328 staff workpapers</t>
        </r>
      </text>
    </comment>
    <comment ref="K3" authorId="0">
      <text>
        <r>
          <rPr>
            <b/>
            <sz val="9"/>
            <color indexed="81"/>
            <rFont val="Tahoma"/>
            <family val="2"/>
          </rPr>
          <t>Sources : Blue (WR-2006-0425 order) ; Red (WO-2011-0328 staff workpapers)</t>
        </r>
      </text>
    </comment>
    <comment ref="L3" authorId="0">
      <text>
        <r>
          <rPr>
            <b/>
            <sz val="9"/>
            <color indexed="81"/>
            <rFont val="Tahoma"/>
            <family val="2"/>
          </rPr>
          <t>Source: WO-2011-0350 Order Approving Application, Attachment 1</t>
        </r>
      </text>
    </comment>
    <comment ref="R3" authorId="0">
      <text>
        <r>
          <rPr>
            <b/>
            <sz val="9"/>
            <color indexed="81"/>
            <rFont val="Tahoma"/>
            <family val="2"/>
          </rPr>
          <t>Source: Algonquin 2010 Annual Report, page W-6, column (n), Balance at END of Year.</t>
        </r>
      </text>
    </comment>
    <comment ref="S3" authorId="0">
      <text>
        <r>
          <rPr>
            <b/>
            <sz val="9"/>
            <color indexed="81"/>
            <rFont val="Tahoma"/>
            <family val="2"/>
          </rPr>
          <t>Source: WO-2011-0350 staff workpapers</t>
        </r>
      </text>
    </comment>
    <comment ref="T3" authorId="0">
      <text>
        <r>
          <rPr>
            <b/>
            <sz val="9"/>
            <color indexed="81"/>
            <rFont val="Tahoma"/>
            <family val="2"/>
          </rPr>
          <t>Source: WO-2011-0328 staff workpapers</t>
        </r>
      </text>
    </comment>
    <comment ref="K10" authorId="0">
      <text>
        <r>
          <rPr>
            <b/>
            <sz val="9"/>
            <color indexed="81"/>
            <rFont val="Tahoma"/>
            <family val="2"/>
          </rPr>
          <t>Probably 2.5% since that is what 321 and 341 have.</t>
        </r>
      </text>
    </comment>
  </commentList>
</comments>
</file>

<file path=xl/comments2.xml><?xml version="1.0" encoding="utf-8"?>
<comments xmlns="http://schemas.openxmlformats.org/spreadsheetml/2006/main">
  <authors>
    <author>fostek</author>
  </authors>
  <commentList>
    <comment ref="E3" authorId="0">
      <text>
        <r>
          <rPr>
            <b/>
            <sz val="9"/>
            <color indexed="81"/>
            <rFont val="Tahoma"/>
            <family val="2"/>
          </rPr>
          <t>Source: Algonquin 2010 Annual Report, page S-4, column (f), Balance at End of Year.</t>
        </r>
      </text>
    </comment>
    <comment ref="F3" authorId="0">
      <text>
        <r>
          <rPr>
            <b/>
            <sz val="9"/>
            <color indexed="81"/>
            <rFont val="Tahoma"/>
            <family val="2"/>
          </rPr>
          <t>Source: WO-2011-0350 staff workpapers</t>
        </r>
      </text>
    </comment>
    <comment ref="J3" authorId="0">
      <text>
        <r>
          <rPr>
            <b/>
            <sz val="9"/>
            <color indexed="81"/>
            <rFont val="Tahoma"/>
            <family val="2"/>
          </rPr>
          <t>Source : Blue (WR-2006-0425 order)</t>
        </r>
      </text>
    </comment>
    <comment ref="K3" authorId="0">
      <text>
        <r>
          <rPr>
            <b/>
            <sz val="9"/>
            <color indexed="81"/>
            <rFont val="Tahoma"/>
            <family val="2"/>
          </rPr>
          <t>Source: WO-2011-0350 Order Approving Application, Attachment 2</t>
        </r>
      </text>
    </comment>
    <comment ref="P3" authorId="0">
      <text>
        <r>
          <rPr>
            <b/>
            <sz val="9"/>
            <color indexed="81"/>
            <rFont val="Tahoma"/>
            <family val="2"/>
          </rPr>
          <t>Source: Algonquin 2010 Annual Report, page S-5, column (n), Balance at End of Year.</t>
        </r>
      </text>
    </comment>
    <comment ref="Q3" authorId="0">
      <text>
        <r>
          <rPr>
            <b/>
            <sz val="9"/>
            <color indexed="81"/>
            <rFont val="Tahoma"/>
            <family val="2"/>
          </rPr>
          <t>Source: WO-2011-0350 staff workpapers</t>
        </r>
      </text>
    </comment>
  </commentList>
</comments>
</file>

<file path=xl/sharedStrings.xml><?xml version="1.0" encoding="utf-8"?>
<sst xmlns="http://schemas.openxmlformats.org/spreadsheetml/2006/main" count="2520" uniqueCount="1236">
  <si>
    <r>
      <t xml:space="preserve">Company Full Certificated Name </t>
    </r>
    <r>
      <rPr>
        <sz val="12"/>
        <rFont val="Arial"/>
        <family val="2"/>
      </rPr>
      <t>(Do not abbreviate and include any Commission approved AKA/DBA/Fictitious Name, if applicable.)</t>
    </r>
  </si>
  <si>
    <t>WATER and/or SEWER ANNUAL REPORT</t>
  </si>
  <si>
    <t>SMALL COMPANY</t>
  </si>
  <si>
    <t>(Fewer than 8,000 customers)</t>
  </si>
  <si>
    <t>TO THE</t>
  </si>
  <si>
    <t>MISSOURI PUBLIC SERVICE COMMISSION</t>
  </si>
  <si>
    <t>January 1 - December 31,</t>
  </si>
  <si>
    <t>Please select how the company is certificated with the Commission under the Company Name as shown above (check all that apply):</t>
  </si>
  <si>
    <t xml:space="preserve">Water Service Provider </t>
  </si>
  <si>
    <t>Sewer Service Provider</t>
  </si>
  <si>
    <t xml:space="preserve"> </t>
  </si>
  <si>
    <r>
      <t xml:space="preserve">Please choose </t>
    </r>
    <r>
      <rPr>
        <b/>
        <u/>
        <sz val="12"/>
        <rFont val="Arial"/>
        <family val="2"/>
      </rPr>
      <t>one</t>
    </r>
    <r>
      <rPr>
        <b/>
        <sz val="12"/>
        <rFont val="Arial"/>
        <family val="2"/>
      </rPr>
      <t xml:space="preserve"> of the following filing options: </t>
    </r>
  </si>
  <si>
    <r>
      <t xml:space="preserve">Public Submission </t>
    </r>
    <r>
      <rPr>
        <sz val="11"/>
        <rFont val="Arial"/>
        <family val="2"/>
      </rPr>
      <t>(NOT Highly Confidential)</t>
    </r>
  </si>
  <si>
    <t>(To be used when filing under seal.)</t>
  </si>
  <si>
    <t>Public</t>
  </si>
  <si>
    <t>Highly Confidential</t>
  </si>
  <si>
    <t>Missouri Public Service Commission Annual Report Instructions</t>
  </si>
  <si>
    <t>General Form Information</t>
  </si>
  <si>
    <r>
      <t xml:space="preserve">Questions about the annual report form or its contents may be submitted to: Joan Wandel at 
(573) 751-4785 or by e-mail at  </t>
    </r>
    <r>
      <rPr>
        <u/>
        <sz val="12"/>
        <rFont val="Arial"/>
        <family val="2"/>
      </rPr>
      <t>joan.wandel@psc.mo.gov</t>
    </r>
    <r>
      <rPr>
        <sz val="12"/>
        <rFont val="Arial"/>
        <family val="2"/>
      </rPr>
      <t xml:space="preserve">.  </t>
    </r>
  </si>
  <si>
    <t>Treatment of Highly Confidential Information (Submission Under Seal).</t>
  </si>
  <si>
    <t>Utilities may request classification of selected portions of their annual report as non-public 
(highly confidential / filed under seal) pursuant to the Commission rules at 4 CSR 240-3.335 and/or 
4 CSR 240-3.640. 
Please note that all information classified as non-public will still remain subject to potential disclosure as provided under the Missouri open records act (Chapter 610 RSMo) and Section 386.480, RSMo.</t>
  </si>
  <si>
    <t xml:space="preserve">In order to include Highly Confidential information in the annual report, the submitter must: </t>
  </si>
  <si>
    <t>(A) Public version</t>
  </si>
  <si>
    <r>
      <t>1.</t>
    </r>
    <r>
      <rPr>
        <sz val="12"/>
        <rFont val="Arial"/>
        <family val="2"/>
      </rPr>
      <t xml:space="preserve"> Cover – Check the “Public Submission” box and denote “Public” in the lower right corner.
</t>
    </r>
    <r>
      <rPr>
        <b/>
        <sz val="12"/>
        <rFont val="Arial"/>
        <family val="2"/>
      </rPr>
      <t>2</t>
    </r>
    <r>
      <rPr>
        <sz val="12"/>
        <rFont val="Arial"/>
        <family val="2"/>
      </rPr>
      <t xml:space="preserve">. Completion – All pages should be completed excluding the non-public information.
</t>
    </r>
    <r>
      <rPr>
        <b/>
        <sz val="12"/>
        <rFont val="Arial"/>
        <family val="2"/>
      </rPr>
      <t>3.</t>
    </r>
    <r>
      <rPr>
        <sz val="12"/>
        <rFont val="Arial"/>
        <family val="2"/>
      </rPr>
      <t xml:space="preserve"> Page Designation – Each page that has had Highly Confidential information removed must
    have the “Public” designation in the lower right corner.
</t>
    </r>
    <r>
      <rPr>
        <b/>
        <sz val="12"/>
        <rFont val="Arial"/>
        <family val="2"/>
      </rPr>
      <t>4.</t>
    </r>
    <r>
      <rPr>
        <sz val="12"/>
        <rFont val="Arial"/>
        <family val="2"/>
      </rPr>
      <t xml:space="preserve"> Format – where Highly Confidential information has been removed, two (2) asterisks shall
    be placed before and after the information, e.g. **highly confidential information removed**.   
    The field must be left blank to insure the information remains on the same line and page 
    as in the Highly Confidential version.</t>
    </r>
  </si>
  <si>
    <t>(Treatment of Highly Confidential Information [Submission Under Seal] continued on the next page.)</t>
  </si>
  <si>
    <t>-Instructions Page I-</t>
  </si>
  <si>
    <t>Treatment of Highly Confidential Information (Submission Under Seal)  -  continued</t>
  </si>
  <si>
    <t>(B) Highly Confidential version</t>
  </si>
  <si>
    <r>
      <t>1.</t>
    </r>
    <r>
      <rPr>
        <sz val="12"/>
        <rFont val="Arial"/>
        <family val="2"/>
      </rPr>
      <t xml:space="preserve"> Cover – Check the “Non-Public Submission” box and denote “Highly Confidential” in the lower
    right corner. 
</t>
    </r>
    <r>
      <rPr>
        <b/>
        <sz val="12"/>
        <rFont val="Arial"/>
        <family val="2"/>
      </rPr>
      <t>2.</t>
    </r>
    <r>
      <rPr>
        <sz val="12"/>
        <rFont val="Arial"/>
        <family val="2"/>
      </rPr>
      <t xml:space="preserve"> Completion – All pages should be completed including the Highly Confidential information
</t>
    </r>
    <r>
      <rPr>
        <b/>
        <sz val="12"/>
        <rFont val="Arial"/>
        <family val="2"/>
      </rPr>
      <t>3.</t>
    </r>
    <r>
      <rPr>
        <sz val="12"/>
        <rFont val="Arial"/>
        <family val="2"/>
      </rPr>
      <t xml:space="preserve"> Page Designation – Each page that contains Highly Confidential information must have a
    “Highly Confidential” designation in the lower right corner.
</t>
    </r>
    <r>
      <rPr>
        <b/>
        <sz val="12"/>
        <rFont val="Arial"/>
        <family val="2"/>
      </rPr>
      <t>4.</t>
    </r>
    <r>
      <rPr>
        <sz val="12"/>
        <rFont val="Arial"/>
        <family val="2"/>
      </rPr>
      <t xml:space="preserve"> Format – Highly Confidential information shall be designated by two (2) asterisks before and
    after the information, e.g. **your highly confidential information here**. </t>
    </r>
  </si>
  <si>
    <t xml:space="preserve">(C) Additional documents required with both submissions: </t>
  </si>
  <si>
    <r>
      <t>1.</t>
    </r>
    <r>
      <rPr>
        <sz val="12"/>
        <rFont val="Arial"/>
        <family val="2"/>
      </rPr>
      <t xml:space="preserve"> A cover letter stating the utility is designating some or all of the information in its annual
    report as confidential and requesting non-public treatment under seal. The name, phone
    number and e-mail address (if available) of the person responsible for addressing
    questions regarding the confidential portions of the annual report must be included.
2. A notarized affidavit that clearly identifies the specific types of information to be kept
    under seal. Justification of why the specific information should be a closed record and a
    statement attesting that none of the information is available to the public in any format.</t>
    </r>
  </si>
  <si>
    <t>Detailed Form Information</t>
  </si>
  <si>
    <t>Page</t>
  </si>
  <si>
    <t>Definitions and/or Instructions</t>
  </si>
  <si>
    <t>Cover</t>
  </si>
  <si>
    <r>
      <t>Company Name:</t>
    </r>
    <r>
      <rPr>
        <sz val="12"/>
        <rFont val="Arial"/>
        <family val="2"/>
      </rPr>
      <t xml:space="preserve">  This shall reflect the certificated name of the company that the Commission approved in a case; when this field is filled in, it will automatically populate
the company name at the top of each of the following sheets.
The company name listed on the cover shall include any Commission approved fictitious name or d/b/a name (ABC Company d/b/a XYC LLC).
</t>
    </r>
    <r>
      <rPr>
        <b/>
        <sz val="12"/>
        <rFont val="Arial"/>
        <family val="2"/>
      </rPr>
      <t>Year:</t>
    </r>
    <r>
      <rPr>
        <sz val="12"/>
        <rFont val="Arial"/>
        <family val="2"/>
      </rPr>
      <t xml:space="preserve">  When the reporting period year is entered, it will automatically populate at the top of all subsequent pages. 
</t>
    </r>
    <r>
      <rPr>
        <b/>
        <sz val="11"/>
        <rFont val="Arial"/>
        <family val="2"/>
      </rPr>
      <t/>
    </r>
  </si>
  <si>
    <r>
      <t xml:space="preserve">First check box (certification/registration type): </t>
    </r>
    <r>
      <rPr>
        <sz val="12"/>
        <rFont val="Arial"/>
        <family val="2"/>
      </rPr>
      <t xml:space="preserve"> 
Check the box if the company listed on the Company Name line has been approved as competitively classified by the Commission.  
</t>
    </r>
    <r>
      <rPr>
        <b/>
        <sz val="12"/>
        <rFont val="Arial"/>
        <family val="2"/>
      </rPr>
      <t xml:space="preserve">Second set of check boxes (security level/filing options):  </t>
    </r>
    <r>
      <rPr>
        <sz val="12"/>
        <rFont val="Arial"/>
        <family val="2"/>
      </rPr>
      <t xml:space="preserve">
Check the first box (Public Submission) if this is the public version of the annual report.  
Check the bottom box (Non-Public Submission) only if the annual report contains proprietary or highly confidential information in the report.  The annual report submission will be considered deficient unless this submission is accompanied by the required documentation.  Please see Treatment of Highly Confidential Information in the above section for details.  </t>
    </r>
    <r>
      <rPr>
        <sz val="8"/>
        <rFont val="Arial"/>
        <family val="2"/>
      </rPr>
      <t xml:space="preserve">       </t>
    </r>
    <r>
      <rPr>
        <sz val="12"/>
        <rFont val="Arial"/>
        <family val="2"/>
      </rPr>
      <t xml:space="preserve">
</t>
    </r>
  </si>
  <si>
    <t>Verification Page</t>
  </si>
  <si>
    <r>
      <t xml:space="preserve">The verification page must be </t>
    </r>
    <r>
      <rPr>
        <b/>
        <sz val="12"/>
        <rFont val="Arial"/>
        <family val="2"/>
      </rPr>
      <t>completed</t>
    </r>
    <r>
      <rPr>
        <sz val="12"/>
        <rFont val="Arial"/>
        <family val="2"/>
      </rPr>
      <t xml:space="preserve"> in full, including notary seals, if or where applicable. 
This page must accompany all versions of this report including any original or revised,  highly confidential, proprietary and public versions. </t>
    </r>
  </si>
  <si>
    <r>
      <t xml:space="preserve">The </t>
    </r>
    <r>
      <rPr>
        <b/>
        <sz val="12"/>
        <rFont val="Arial"/>
        <family val="2"/>
      </rPr>
      <t>State Of</t>
    </r>
    <r>
      <rPr>
        <sz val="12"/>
        <rFont val="Arial"/>
        <family val="2"/>
      </rPr>
      <t xml:space="preserve"> and </t>
    </r>
    <r>
      <rPr>
        <b/>
        <sz val="12"/>
        <rFont val="Arial"/>
        <family val="2"/>
      </rPr>
      <t>County Of</t>
    </r>
    <r>
      <rPr>
        <sz val="12"/>
        <rFont val="Arial"/>
        <family val="2"/>
      </rPr>
      <t xml:space="preserve"> fields shall be filled  with the location where the notary operates and where this document was notarized. 
Legal </t>
    </r>
    <r>
      <rPr>
        <b/>
        <sz val="12"/>
        <rFont val="Arial"/>
        <family val="2"/>
      </rPr>
      <t xml:space="preserve">Name of Affiant: </t>
    </r>
    <r>
      <rPr>
        <sz val="12"/>
        <rFont val="Arial"/>
        <family val="2"/>
      </rPr>
      <t xml:space="preserve">Any representative of the company authorized to attest to the accuracy of the annual report. 
</t>
    </r>
    <r>
      <rPr>
        <b/>
        <sz val="12"/>
        <rFont val="Arial"/>
        <family val="2"/>
      </rPr>
      <t xml:space="preserve">Official Title of the Affiant: </t>
    </r>
    <r>
      <rPr>
        <sz val="12"/>
        <rFont val="Arial"/>
        <family val="2"/>
      </rPr>
      <t xml:space="preserve">Title of the representative named on the line just above this one. 
</t>
    </r>
  </si>
  <si>
    <t>(Verification Page instructions continued on the next page. )</t>
  </si>
  <si>
    <t>-Instructions Page II-</t>
  </si>
  <si>
    <t>Detailed Form Information (continued)</t>
  </si>
  <si>
    <t xml:space="preserve">Verification Page (continued) </t>
  </si>
  <si>
    <r>
      <t xml:space="preserve">Exact Legal </t>
    </r>
    <r>
      <rPr>
        <b/>
        <sz val="12"/>
        <rFont val="Arial"/>
        <family val="2"/>
      </rPr>
      <t>Title or Name of the Respondent:</t>
    </r>
    <r>
      <rPr>
        <sz val="12"/>
        <rFont val="Arial"/>
        <family val="2"/>
      </rPr>
      <t xml:space="preserve"> Company Name as certificated/registered with the Commission, as listed on the cover and the top of the verification sheet. 
</t>
    </r>
    <r>
      <rPr>
        <b/>
        <sz val="12"/>
        <rFont val="Arial"/>
        <family val="2"/>
      </rPr>
      <t>Signature of Affiant</t>
    </r>
    <r>
      <rPr>
        <sz val="12"/>
        <rFont val="Arial"/>
        <family val="2"/>
      </rPr>
      <t xml:space="preserve">: Signature of authorized company representative named above on the verification page.   
The remaining fields are for completion by the notary including the date, month and year of the notarization, the notary's commission expiration date, notary signature,  and placement of the notary stamps or seals, where applicable. </t>
    </r>
  </si>
  <si>
    <t>When submitting the annual report form electronically, complete the verification page in full.  Electronic signatures are acceptable pursuant to Sections 432.200 through 
432.295 RSMo.  
The original document shall be notarized and kept for your records.  On the electronic version, type the electronic signatures ( /s/ John Doe)  and dates that are reflected on the original document.</t>
  </si>
  <si>
    <t xml:space="preserve">Options for Submitting the Annual Report to the Missouri Public Service Commission </t>
  </si>
  <si>
    <t xml:space="preserve">The annual report may be submitted to the Missouri Public Service Commission by either of the following methods:  </t>
  </si>
  <si>
    <r>
      <t>1</t>
    </r>
    <r>
      <rPr>
        <sz val="12"/>
        <rFont val="Arial"/>
        <family val="2"/>
      </rPr>
      <t xml:space="preserve">. </t>
    </r>
    <r>
      <rPr>
        <b/>
        <sz val="12"/>
        <rFont val="Arial"/>
        <family val="2"/>
      </rPr>
      <t>Electronically</t>
    </r>
    <r>
      <rPr>
        <sz val="12"/>
        <rFont val="Arial"/>
        <family val="2"/>
      </rPr>
      <t xml:space="preserve"> through the Electronic Filing and Information System (EFIS).
This system accepts submissions 24 hours a day and saves on postage/shipping expenses.  
Please see </t>
    </r>
    <r>
      <rPr>
        <b/>
        <i/>
        <sz val="12"/>
        <rFont val="Arial"/>
        <family val="2"/>
      </rPr>
      <t xml:space="preserve">Instructions Page 4 - 5 </t>
    </r>
    <r>
      <rPr>
        <sz val="12"/>
        <rFont val="Arial"/>
        <family val="2"/>
      </rPr>
      <t xml:space="preserve">for detailed instructions to use this system.  If you have questions while using EFIS, staff is available Monday - Friday from 8:00 a.m. - 5:00 p.m. 
(excluding State holidays) to assist you at (573) 751-7496. 
</t>
    </r>
    <r>
      <rPr>
        <b/>
        <sz val="12"/>
        <rFont val="Arial"/>
        <family val="2"/>
      </rPr>
      <t>NOTE:</t>
    </r>
    <r>
      <rPr>
        <sz val="12"/>
        <rFont val="Arial"/>
        <family val="2"/>
      </rPr>
      <t xml:space="preserve">  E-mails and faxes are NOT acceptable methods of filing the annual report electronically.</t>
    </r>
  </si>
  <si>
    <r>
      <t>2.</t>
    </r>
    <r>
      <rPr>
        <sz val="12"/>
        <rFont val="Arial"/>
        <family val="2"/>
      </rPr>
      <t xml:space="preserve"> </t>
    </r>
    <r>
      <rPr>
        <b/>
        <sz val="12"/>
        <rFont val="Arial"/>
        <family val="2"/>
      </rPr>
      <t xml:space="preserve">Mail </t>
    </r>
    <r>
      <rPr>
        <sz val="12"/>
        <rFont val="Arial"/>
        <family val="2"/>
      </rPr>
      <t xml:space="preserve">to the following address: 
Missouri Public Service Commission 
Attention: Data Center 
 </t>
    </r>
    <r>
      <rPr>
        <sz val="8"/>
        <rFont val="Arial"/>
        <family val="2"/>
      </rPr>
      <t xml:space="preserve">    
</t>
    </r>
    <r>
      <rPr>
        <i/>
        <u/>
        <sz val="12"/>
        <rFont val="Arial"/>
        <family val="2"/>
      </rPr>
      <t xml:space="preserve">For package delivery: </t>
    </r>
    <r>
      <rPr>
        <u/>
        <sz val="12"/>
        <rFont val="Arial"/>
        <family val="2"/>
      </rPr>
      <t xml:space="preserve">
</t>
    </r>
    <r>
      <rPr>
        <sz val="12"/>
        <rFont val="Arial"/>
        <family val="2"/>
      </rPr>
      <t xml:space="preserve">200 Madison Street, Suite 100 
Jefferson City, MO 65101 
</t>
    </r>
    <r>
      <rPr>
        <i/>
        <u/>
        <sz val="12"/>
        <rFont val="Arial"/>
        <family val="2"/>
      </rPr>
      <t xml:space="preserve">For U.S. Mail: </t>
    </r>
    <r>
      <rPr>
        <u/>
        <sz val="12"/>
        <rFont val="Arial"/>
        <family val="2"/>
      </rPr>
      <t xml:space="preserve">
</t>
    </r>
    <r>
      <rPr>
        <sz val="12"/>
        <rFont val="Arial"/>
        <family val="2"/>
      </rPr>
      <t xml:space="preserve">P.O. Box 360 
Jefferson City, MO 65102-0360 </t>
    </r>
  </si>
  <si>
    <t>-Instructions Page III-</t>
  </si>
  <si>
    <t>Electronic Filing of Annual Report Information</t>
  </si>
  <si>
    <t>If you submit your information electronically, please DO NOT send in a paper copy.</t>
  </si>
  <si>
    <t>In order to file in the Electronic Filing and Information System (EFIS):</t>
  </si>
  <si>
    <t>• You must have a user ID and password,
• The company you are filing on behalf of must be registered in EFIS.
   (All certificated companies are already registered in EFIS.  Please do not create a company
   registration), 
• The person making the filing must be registered as a contact for the company/firm they are
   making the filing on behalf of, and
• You need to have the information you want to submit saved electronically.</t>
  </si>
  <si>
    <r>
      <t xml:space="preserve">If you are unsure if you have a user ID, if your company is registered, or if you are registered as a contact for the company, please contact the Data Center at  </t>
    </r>
    <r>
      <rPr>
        <u/>
        <sz val="12"/>
        <rFont val="Arial"/>
        <family val="2"/>
      </rPr>
      <t xml:space="preserve">datacenter-psc@psc.mo.gov </t>
    </r>
    <r>
      <rPr>
        <sz val="12"/>
        <rFont val="Arial"/>
        <family val="2"/>
      </rPr>
      <t xml:space="preserve">or 
(573) 751-7496 before completing new registration information.
</t>
    </r>
  </si>
  <si>
    <t>To access EFIS, go to the PSC website at http://www.psc.mo.gov.  Click the ‘EFIS / Case Filings’ link from the menu on the left-hand side.  Scroll down to the ‘Main Menu Section of EFIS’ and click on the ‘EFIS’ link. This will take you to the EFIS Welcome Screen.</t>
  </si>
  <si>
    <t xml:space="preserve">Submission of Annual Report </t>
  </si>
  <si>
    <t>• Click on the ‘Filing/Submission’ menu option.
• Click on the ‘Non-Case Related Submission’ link.</t>
  </si>
  <si>
    <t xml:space="preserve">Complete the Non-Case Related Submission screen with the following information: </t>
  </si>
  <si>
    <t>-Instructions Page IV-</t>
  </si>
  <si>
    <t>Electronic Filing of Annual Report Information (continued)</t>
  </si>
  <si>
    <t>Submission of Additional Information</t>
  </si>
  <si>
    <t>If you are asked to provide additional information or need to file amended information, file it as a 
‘Non-Case Related Supplemental Submission’ using the tracking number from your original annual report submission.</t>
  </si>
  <si>
    <t>Instructions for this type of submission can be found by clicking on the blue ‘Help’ button on the left-hand side of any EFIS screen.  Scroll down to ‘Filing / Submission – Non-case Related’.  Then choose 'Make a subsequent filing to a non-case related submission'.</t>
  </si>
  <si>
    <t>Request for Extension
(30 days or Less)</t>
  </si>
  <si>
    <r>
      <t xml:space="preserve">If you will not be able to file your annual report by the April 15th deadline, you must request an extension </t>
    </r>
    <r>
      <rPr>
        <b/>
        <sz val="12"/>
        <rFont val="Arial"/>
        <family val="2"/>
      </rPr>
      <t>on or before April 15th.</t>
    </r>
  </si>
  <si>
    <t>All annual report extension requests must be on company letterhead and signed by an officer of the company or on the form provided on the PSC website (www.psc.mo.gov/forms) and signed electronically by a company representative.  A contact e-mail address is required for approval or rejection of the request</t>
  </si>
  <si>
    <t>Follow the instructions for filing an annual report with these modifications.</t>
  </si>
  <si>
    <t>• Type of Submission - Select Annual Report (MO PSC) Extension Request.
• Comments - Type in 2008 Annual Report Extension Request.
• Under “Browse”, attach your documentation for requesting an extension.</t>
  </si>
  <si>
    <t>Additional instructions can be found under the blue ‘Help’ button in EFIS on how to:</t>
  </si>
  <si>
    <t xml:space="preserve">• Access EFIS.
• Log on to EFIS. 
• Obtain a user ID and password.
• Reset my password. 
• File an annual report, statement of revenue, or other non-case related submission. 
• Make a subsequent filing to a non-case related submission. </t>
  </si>
  <si>
    <t>-Instructions Page V-</t>
  </si>
  <si>
    <t>DETAILED FORM INSTRUCTIONS</t>
  </si>
  <si>
    <r>
      <t xml:space="preserve">   </t>
    </r>
    <r>
      <rPr>
        <sz val="12"/>
        <rFont val="Arial"/>
        <family val="2"/>
      </rPr>
      <t xml:space="preserve">  This form should be used by companies that have </t>
    </r>
    <r>
      <rPr>
        <b/>
        <sz val="12"/>
        <rFont val="Arial"/>
        <family val="2"/>
      </rPr>
      <t xml:space="preserve">fewer than 8,000 customers.  </t>
    </r>
  </si>
  <si>
    <t xml:space="preserve">     In examining the report form you will note there are various references requiring water information and sewer information on the same page.</t>
  </si>
  <si>
    <t xml:space="preserve">     If you have water operations only, you should complete all information for water utilities.  Any requested information for sewer data should be clearly marked by you as Not Applicable (e.g., N.A.).</t>
  </si>
  <si>
    <t xml:space="preserve">     If you have sewer operations only, you should complete all information requested for sewer utilities.  Any requested information for water data should be clearly marked by you as Not Applicable (e.g., N.A.). </t>
  </si>
  <si>
    <r>
      <t xml:space="preserve">     If you are a joint utility in that you have both water and sewer operations, you shall fill out </t>
    </r>
    <r>
      <rPr>
        <u/>
        <sz val="10"/>
        <rFont val="Arial"/>
        <family val="2"/>
      </rPr>
      <t>all</t>
    </r>
    <r>
      <rPr>
        <sz val="10"/>
        <rFont val="Arial"/>
        <family val="2"/>
      </rPr>
      <t xml:space="preserve"> parts of </t>
    </r>
    <r>
      <rPr>
        <u/>
        <sz val="10"/>
        <rFont val="Arial"/>
        <family val="2"/>
      </rPr>
      <t>all</t>
    </r>
    <r>
      <rPr>
        <sz val="10"/>
        <rFont val="Arial"/>
        <family val="2"/>
      </rPr>
      <t xml:space="preserve"> pages completely to the best of your ability and belief utilizing the available information.  You will note that all pages on Lines 1 and 2 require the year of the report and the company name.  This must be completed on all pages.</t>
    </r>
  </si>
  <si>
    <t xml:space="preserve">   If this document has been prepared by a third-party preparer, it is the responsibility of the company personnel attesting to the accuracy of document to review the document before submission to the Missouri Public Service Commission.</t>
  </si>
  <si>
    <t>INSTRUCTIONS for PAGE 1</t>
  </si>
  <si>
    <r>
      <t xml:space="preserve">     On Line 2, provide the </t>
    </r>
    <r>
      <rPr>
        <u/>
        <sz val="10"/>
        <rFont val="Arial"/>
        <family val="2"/>
      </rPr>
      <t>full</t>
    </r>
    <r>
      <rPr>
        <sz val="10"/>
        <rFont val="Arial"/>
        <family val="2"/>
      </rPr>
      <t xml:space="preserve"> company name as it appears on your certificate of convenience and necessity.</t>
    </r>
  </si>
  <si>
    <t xml:space="preserve">     On Lines 3, provide the company street address.  On Line 4, provide the mailing address if different than Line 3. </t>
  </si>
  <si>
    <t xml:space="preserve">     On Line 5, provide the company phone number and the e-mail address of the regulatory contact.  If an e-mail address is not available please designate with "n/a".</t>
  </si>
  <si>
    <t xml:space="preserve">     On Lines 6 through 15, provide names, addresses, phone numbers and e-mail addresses of any persons who can be contacted concerning information contained in this report.</t>
  </si>
  <si>
    <t xml:space="preserve">     On Lines 13 through 17, provide names, addresses, phone numbers and e-mail addresses of any persons who can be contacted concerning plant operations.</t>
  </si>
  <si>
    <t xml:space="preserve">      On Lines 16 through 21, please enter the Company Revenues indicated.  If using the Excel version, the Missouri Jurisdictional Revenues will automatically fill from pages W-2 and S-2.  </t>
  </si>
  <si>
    <t xml:space="preserve"> INSTRUCTIONS for PAGE 2</t>
  </si>
  <si>
    <t xml:space="preserve">     On Lines 3 through 7, provide for each class and/or series of common and/or preferred stock the total number of shares authorized by charter, the par or stated value per share and the total number of shares issued.</t>
  </si>
  <si>
    <t xml:space="preserve">     On Lines 8 through 15, provide the names, addresses and number of votes resulting from stock ownership as of December 31.  If any such holder held the stock in trust, state the nature of the trust and the beneficial owner. </t>
  </si>
  <si>
    <t xml:space="preserve">     On Line 16, provide total number of votes held by the names provided in lines 8 through 15.</t>
  </si>
  <si>
    <t xml:space="preserve">     On Line 17,  provide the total number of votes of all securities with voting rights.</t>
  </si>
  <si>
    <t xml:space="preserve">     On Lines 18 - 23, provide the title and names of the officers of the company at the end of the reporting year.</t>
  </si>
  <si>
    <t xml:space="preserve">      On Line 21 and 22, check all boxes for which the company is current.  </t>
  </si>
  <si>
    <t xml:space="preserve">      On Line 23, provide the case number and effective date of the last approved rate request case with the Commission. </t>
  </si>
  <si>
    <t xml:space="preserve">      On Lines 27 and 28, check all boxes for which the company has filed and is current on the appropriate paperwork and payments. </t>
  </si>
  <si>
    <t xml:space="preserve">      On Line 29, provide the most recent rate increase request case number and effective date of approval. </t>
  </si>
  <si>
    <t>-Instructions Page VI-</t>
  </si>
  <si>
    <t>INSTRUCTIONS for PAGE 3</t>
  </si>
  <si>
    <r>
      <t xml:space="preserve">     Describe </t>
    </r>
    <r>
      <rPr>
        <u/>
        <sz val="10"/>
        <rFont val="Arial"/>
        <family val="2"/>
      </rPr>
      <t>all</t>
    </r>
    <r>
      <rPr>
        <sz val="10"/>
        <rFont val="Arial"/>
        <family val="2"/>
      </rPr>
      <t xml:space="preserve"> transactions occurring during the year that will have a major effect on operations.  </t>
    </r>
  </si>
  <si>
    <t>These transactions may be rate changes, the replacement of major equipment or any other abnormal cash expenditure amounting to $250 or more.  Please note that if the expenditure is of a normal and recurring nature (i.e., monthly electric bills), it should not be classified as an abnormal item.</t>
  </si>
  <si>
    <t>INSTRUCTIONS for PAGE 4</t>
  </si>
  <si>
    <t xml:space="preserve">     The dollar amount for Lines 3, 4, 6, 10, 11 and 13 should be brought forward from the appropriate page and line as indicated.</t>
  </si>
  <si>
    <r>
      <t xml:space="preserve">     Construction Work in Progress</t>
    </r>
    <r>
      <rPr>
        <sz val="10"/>
        <rFont val="Arial"/>
        <family val="2"/>
      </rPr>
      <t xml:space="preserve">:  Shall include the total amount of work for utility plant in process of construction but not ready for service at the end of the year. </t>
    </r>
  </si>
  <si>
    <r>
      <t xml:space="preserve">     Plant Held for Future Use</t>
    </r>
    <r>
      <rPr>
        <sz val="10"/>
        <rFont val="Arial"/>
        <family val="2"/>
      </rPr>
      <t>:  Shall include the original cost of property owned and held for future use under a definite plan for use.</t>
    </r>
  </si>
  <si>
    <r>
      <t xml:space="preserve">     Plant Acquisition Adjustment</t>
    </r>
    <r>
      <rPr>
        <sz val="10"/>
        <rFont val="Arial"/>
        <family val="2"/>
      </rPr>
      <t>:  Shall include the purchase price of any plant purchased less the original cost, estimated if not known, less any depreciation reserve.</t>
    </r>
  </si>
  <si>
    <t>INSTRUCTIONS for PAGE 5</t>
  </si>
  <si>
    <t xml:space="preserve">     The dollar amount for Lines 11, 12, 16 and 17 should be brought forward from the appropriate page and line as indicated.</t>
  </si>
  <si>
    <r>
      <t xml:space="preserve">     Customer Deposits</t>
    </r>
    <r>
      <rPr>
        <sz val="10"/>
        <rFont val="Arial"/>
        <family val="2"/>
      </rPr>
      <t>:  Shall include all deposits with the utility by customers as security for payment of bills.</t>
    </r>
  </si>
  <si>
    <r>
      <t xml:space="preserve">     Advances for Construction</t>
    </r>
    <r>
      <rPr>
        <sz val="10"/>
        <rFont val="Arial"/>
        <family val="2"/>
      </rPr>
      <t>:  Shall include advances by any applicant for construction that is to be refunded either in part or completely.</t>
    </r>
  </si>
  <si>
    <r>
      <t xml:space="preserve">     Contributions in Aid of Construction (CIAC)</t>
    </r>
    <r>
      <rPr>
        <sz val="10"/>
        <rFont val="Arial"/>
        <family val="2"/>
      </rPr>
      <t>:  Shall include any donation or contribution in cash or services, or property from any company, individual, agency or others for construction purposes.  CIAC shall include connection fees for new service. All supporting entries shall be kept so that the utility can furnish information regarding the purpose of each donation, and the amount of the donation.  (NOTE:  There shall not be any advances for construction that are to be repaid in part or completely included in this account except if not returned by the time specified in the utilities tariff.)</t>
    </r>
  </si>
  <si>
    <t>INSTRUCTIONS for PAGE 6</t>
  </si>
  <si>
    <t xml:space="preserve">     On Page 6, provide information for all customer sales determined to be uncollectible.  You should identify the customer, the methods used to attempt collection, the amount and why it is uncollectible (i.e., customer filed bankruptcy, left town, etc.).  This uncollectible amount is an expense to be recorded on the Income Statement (Page W-1 and/ or S-1).</t>
  </si>
  <si>
    <t>INSTRUCTIONS for PAGE 7</t>
  </si>
  <si>
    <r>
      <t xml:space="preserve">     On Page 7, provide information regarding payroll.  Provide names, titles and salaries of </t>
    </r>
    <r>
      <rPr>
        <u/>
        <sz val="10"/>
        <rFont val="Arial"/>
        <family val="2"/>
      </rPr>
      <t>all</t>
    </r>
    <r>
      <rPr>
        <sz val="10"/>
        <rFont val="Arial"/>
        <family val="2"/>
      </rPr>
      <t xml:space="preserve"> officers and employees.  Provide total compensation paid to each during the year including bonuses and other allowances. Identify the total compensation as chargeable to water expense, sewer expense or construction.  Also, identify any employee who did not receive any compensation during the year.</t>
    </r>
  </si>
  <si>
    <t>INSTRUCTIONS for PAGE 8</t>
  </si>
  <si>
    <r>
      <t xml:space="preserve">     On Page 8, provide information regarding professional services the utility company received.  Report </t>
    </r>
    <r>
      <rPr>
        <u/>
        <sz val="10"/>
        <rFont val="Arial"/>
        <family val="2"/>
      </rPr>
      <t>all</t>
    </r>
    <r>
      <rPr>
        <sz val="10"/>
        <rFont val="Arial"/>
        <family val="2"/>
      </rPr>
      <t xml:space="preserve"> information concerning rate, management, construction, engineering, research, financial, valuation, legal, accounting, purchasing, advertising, labor relations, public relations, or other similar professional services rendered the respondent under written or verbal arrangements, for which total payments during the year to any corporation, partnership, individual (other than for services as an employee), or organization of any kind whatsoever.</t>
    </r>
  </si>
  <si>
    <t>-Instructions Page VII-</t>
  </si>
  <si>
    <t>INSTRUCTIONS for PAGE 9</t>
  </si>
  <si>
    <t xml:space="preserve">     On Page 9, provide information regarding contributions in aid of construction and the amortization of contributions in aid of construction.  This account shall include donations or contributions in cash, services, or property for construction purposes, including connection fees for new service.  The records supporting the entries to this account shall be so kept that the utility can furnish information as to the purpose of each donation, the conditions, if any, upon which it was made, the amount of each donation, and the amount applicable to each utility department.  The credits (deductions) to this account shall not be transferred to any other account without the approval of the Commission.</t>
  </si>
  <si>
    <t xml:space="preserve">   Lines 3 and 4 require input from last year's annual report page 9.</t>
  </si>
  <si>
    <t xml:space="preserve">   Line 4 is the recording of new contributions for this year. </t>
  </si>
  <si>
    <t xml:space="preserve">   Line 11 depends on the method your company uses for CIAC amortization.  If your company uses the "distributed" method as described below, no retirement entries for CIAC should appear in line 11, (leave them blank).</t>
  </si>
  <si>
    <t xml:space="preserve">     For retirement purposes, Contributions in Aid of Construction (CIAC) are amortized at the same rate as the depreciation rates set for the plant equipment.  There are two methods as follows: </t>
  </si>
  <si>
    <t xml:space="preserve">     1. Attached Method: This method is the keeping of continuous property records such that the contributions are kept “attached” to the original equipment contributed. CIAC is amortized and retired at the same depreciation rate and retirement dates as the equipment which it is “attached” to.   For this method complete the table with Line 25 through Line 27.  </t>
  </si>
  <si>
    <t xml:space="preserve">    2. Distributed Method: Most small companies use this method. This method results in no CIAC retirement entries on line 11. The “distributed” method is to treat each contribution as a dollar amount that is equally distributed to all plant in service.  Under this method, the annual CIAC amortization is a portion of the total plant depreciation expense.  The ratio used to calculate this portion is the end of year CIAC balance divided by the end of year total plant in service. The CIAC amortization is simply the total plant depreciation expense multiplied by the ratio of CIAC to Total Plant.  The annual amortization is added to the sum of all prior accumulated amortization until the total equals the original amount of all contributions. At this point the process is stopped and both the total CIAC and the accumulated amortization are reset to zero.  For this method, complete the table containing Line 18 through Line 24. </t>
  </si>
  <si>
    <t>INSTRUCTIONS for PAGE 10</t>
  </si>
  <si>
    <t xml:space="preserve">     On Page 10, provide all required information concerning interest expense, notes payable, bonds, bank loans and other financial debts that existed during the year.  For each debt on which interest was paid during the year provide the name and address of the lender, the date of maturity, the loan balance, the interest rate on the loan, and the amount of interest paid.  The amount of interest paid should be assigned to water utility expense and/or sewer utility expense based upon which utility was responsible for the loan.</t>
  </si>
  <si>
    <t>INSTRUCTIONS for PAGE 11</t>
  </si>
  <si>
    <t xml:space="preserve">     On Page 11, provide descriptions, quantities and dollar costs of materials and supplies in inventory.  These items may be pipe, wire, gasoline, diesel, etc.  You should identify the cost and assign the cost to either water or sewer.</t>
  </si>
  <si>
    <t>INSTRUCTIONS for PAGES W-1, W-2, W-3 and/or S-1, S-2, S-3</t>
  </si>
  <si>
    <t xml:space="preserve">     On Pages W-1, W-2, W-3 and/or S-1, S-2, S-3, provide information regarding all billed revenues, expenses, customer numbers and gallon sales.</t>
  </si>
  <si>
    <t>INSTRUCTIONS for PAGE W-4</t>
  </si>
  <si>
    <t xml:space="preserve">     On Page W-4, provide information regarding quantities of water from each source of supply that entered the system.  On Line 21, provide data regarding the maximum and minimum quantities of water supplied in any one day.  On Line 22, provide the range of pressures that exist at the highest point of the system.  On Lines 23 thru 26, provide information regarding any sale of water for resale.  </t>
  </si>
  <si>
    <t>-Instructions Page VIII-</t>
  </si>
  <si>
    <t>INSTRUCTIONS for PAGES W-5, W-6 and/or S-4, S-5</t>
  </si>
  <si>
    <t xml:space="preserve">     On Pages W-5, W-6 and/or S-4, S-5, provide information regarding water and/or sewer utility plant-in-service, depreciation expense and depreciation reserve.  The account numbers shown in column (b) are defined in the Uniform System Of Accounts (USOA). The definitions describe what type of plant equipment is included in each account number.   For each company, a USOA CLASS, a set of account numbers, and a set of depreciation rates are assigned by the PSC.  These assignments for use by your company should be specified in a Depreciation Rate Schedule included as part of your company's last certificate or rate case final order.  If you do not have this schedule, call the PSC and ask to speak to someone in the Engineering and Management Services Department</t>
  </si>
  <si>
    <t xml:space="preserve">      Columns (c), (d), (e) and (f) require original installed cost of plant and equipment placed in service.  If a replacement of plant occurs, such as a pump change-out or trading in a truck, then column (d) should show the full installed cost of the new item.  In retirement column (e), record the original installed cost (from Plant Property Records), of the item which was replaced (removed).   These entries should be supported by books and records, which identify the property and its location.   The Balance at End of Year, column (f) equals columns (c) plus (d) minus (e). </t>
  </si>
  <si>
    <t xml:space="preserve">       Depreciation expense column (h) is computed using the Balance at End of Year column (f), --- or mid-year or mid-month convention used by your company.  Record in column (g) the depreciation rate used, (from you company's PSC Depreciation Rate Schedule).  Column (i) is the carry forward of depreciation reserve from last years annual report.  Book Cost of Plant Retired column (j) should be the same as Retirements During the Year column (e).  Column (k) should reflect cost incurred to remove the plant which was retired.  Column (l) should reflect any money received from the sale or trade-in of the equipment removed or replaced.                           Reserve balance at End of Year column (n) equals (h) plus (i) minus (j) minus (k) plus (l) plus (m).                             </t>
  </si>
  <si>
    <r>
      <t xml:space="preserve">                             </t>
    </r>
    <r>
      <rPr>
        <b/>
        <sz val="10"/>
        <rFont val="Arial"/>
        <family val="2"/>
      </rPr>
      <t>***SAVE A COPY FOR NEXT YEARS BEGINNING BALANCES****</t>
    </r>
  </si>
  <si>
    <t>INSTRUCTIONS for PAGE W-7</t>
  </si>
  <si>
    <t xml:space="preserve">     On Page W-7, provide historical and statistical information regarding water pumps and wells.</t>
  </si>
  <si>
    <t>INSTRUCTIONS for PAGE W-8</t>
  </si>
  <si>
    <t xml:space="preserve">     On Page W-8, provide historical and statistical information regarding water meters, meter settings and storage facilities.</t>
  </si>
  <si>
    <t>INSTRUCTIONS for PAGE W-9</t>
  </si>
  <si>
    <t xml:space="preserve">     On Page W-9, provide historical information regarding the feet of water mains and number of service lines by size and type.</t>
  </si>
  <si>
    <t>INSTRUCTIONS for PAGE S-6</t>
  </si>
  <si>
    <t>On Page S-6, provide historical and statistical information regarding sewer treatment facilities, lift stations and feet of collecting sewers by size and type.</t>
  </si>
  <si>
    <t>'-Instructions Page IX-</t>
  </si>
  <si>
    <t>For the calendar year of January 1 - December 31,</t>
  </si>
  <si>
    <t>Company Name:</t>
  </si>
  <si>
    <t xml:space="preserve">Parent Company Name: </t>
  </si>
  <si>
    <t>(if applicable)</t>
  </si>
  <si>
    <t>Company Street Address:</t>
  </si>
  <si>
    <t xml:space="preserve">Company Mailing Address: </t>
  </si>
  <si>
    <t>Company Phone Number:</t>
  </si>
  <si>
    <t>Name, address, phone number and e-mail of person(s) to contact concerning information contained in this report:</t>
  </si>
  <si>
    <t>Name</t>
  </si>
  <si>
    <t>Mailing Address</t>
  </si>
  <si>
    <t>7a</t>
  </si>
  <si>
    <t>Street Address</t>
  </si>
  <si>
    <t>City</t>
  </si>
  <si>
    <t>State</t>
  </si>
  <si>
    <t>Zip</t>
  </si>
  <si>
    <t>Telephone Number</t>
  </si>
  <si>
    <t>E-mail Address</t>
  </si>
  <si>
    <t>12a</t>
  </si>
  <si>
    <r>
      <t xml:space="preserve">Please provide the total company </t>
    </r>
    <r>
      <rPr>
        <b/>
        <sz val="10"/>
        <rFont val="Arial"/>
        <family val="2"/>
      </rPr>
      <t>and</t>
    </r>
    <r>
      <rPr>
        <sz val="10"/>
        <rFont val="Arial"/>
        <family val="2"/>
      </rPr>
      <t xml:space="preserve"> gross intrastate operating revenues (i.e. Missouri Jurisdictional) Revenues</t>
    </r>
  </si>
  <si>
    <t>for the Calendar Year:</t>
  </si>
  <si>
    <t>Water Revenues</t>
  </si>
  <si>
    <t>**</t>
  </si>
  <si>
    <t>MO Jurisdictional</t>
  </si>
  <si>
    <t>Total Company</t>
  </si>
  <si>
    <t>Operating Revenues from Tariffed Services</t>
  </si>
  <si>
    <t>Other Revenues</t>
  </si>
  <si>
    <t>Sewer Revenues</t>
  </si>
  <si>
    <t>State Tax Return</t>
  </si>
  <si>
    <t>Department of Natural Resources Permits</t>
  </si>
  <si>
    <t>Federal Tax Return</t>
  </si>
  <si>
    <t>Secretary of State Requirements</t>
  </si>
  <si>
    <t xml:space="preserve">Please check all of the following for which the company has filed / is current: </t>
  </si>
  <si>
    <t>Title of General Officer</t>
  </si>
  <si>
    <t>Identify the principal or general officers of the company at the end of the year.  Please include an additional sheet, if enough space is not provided on this page, to completely provide the requested information.</t>
  </si>
  <si>
    <t>Total Number of Votes of all Securities with Voting Powers</t>
  </si>
  <si>
    <t>Total Number of Votes Held by Above</t>
  </si>
  <si>
    <t>Number of Votes 
(b)</t>
  </si>
  <si>
    <t>Names and Addresses
(a)</t>
  </si>
  <si>
    <t>Report below the NAMES and ADDRESS of the ten stockholders who, at the end of the year, had the greatest voting powers in the respondent.  AND STATE THE NUMBER OF VOTES each would have had a right to cast on that date.  If any such holder held in trust, give the nature of the trust and the beneficial owner.  Show also total votes of ALL securities with voting powers.</t>
  </si>
  <si>
    <t>SECURITY HOLDERS AND VOTING POWERS</t>
  </si>
  <si>
    <t>Number of 
Shares Issued 
(d)</t>
  </si>
  <si>
    <t>Class and Series of Stock
(a)</t>
  </si>
  <si>
    <t>CAPITAL STOCK (COMMON AND DEFERRED)</t>
  </si>
  <si>
    <t>NOTE: Please do not type over formulas.  Totals will calculate automatically in this spreadsheet.</t>
  </si>
  <si>
    <t>(a)</t>
  </si>
  <si>
    <t>(b)</t>
  </si>
  <si>
    <r>
      <t xml:space="preserve">Water Plant In Service </t>
    </r>
    <r>
      <rPr>
        <sz val="8"/>
        <rFont val="Arial"/>
        <family val="2"/>
      </rPr>
      <t>(From Pg. W-5)</t>
    </r>
  </si>
  <si>
    <t xml:space="preserve">    LESS:</t>
  </si>
  <si>
    <t>Net Water Plant in Service (i.e., Water Plant In Service MINUS Water Depreciation Reserve)</t>
  </si>
  <si>
    <r>
      <t>Water Materials and Supplies</t>
    </r>
    <r>
      <rPr>
        <sz val="8"/>
        <rFont val="Arial"/>
        <family val="2"/>
      </rPr>
      <t xml:space="preserve"> (From Pg. 11)</t>
    </r>
  </si>
  <si>
    <t>Water Construction Work in Progress</t>
  </si>
  <si>
    <t>Water Plant Acquisition Adjustment</t>
  </si>
  <si>
    <r>
      <t xml:space="preserve">Sewer Plant in Service </t>
    </r>
    <r>
      <rPr>
        <sz val="8"/>
        <rFont val="Arial"/>
        <family val="2"/>
      </rPr>
      <t>(From Pg. S-4)</t>
    </r>
  </si>
  <si>
    <t>Net Sewer Plant in Service (i.e., Sewer Plant in Service MINUS Sewer Depreciation Reserve)</t>
  </si>
  <si>
    <r>
      <t xml:space="preserve">Sewer Materials and Supplies </t>
    </r>
    <r>
      <rPr>
        <sz val="8"/>
        <rFont val="Arial"/>
        <family val="2"/>
      </rPr>
      <t>(From Pg. 11)</t>
    </r>
  </si>
  <si>
    <t>Sewer Construction Work in Progress</t>
  </si>
  <si>
    <t>Sewer Plant Acquisition Adjustment</t>
  </si>
  <si>
    <t>Cash</t>
  </si>
  <si>
    <r>
      <t>NOTE:</t>
    </r>
    <r>
      <rPr>
        <sz val="10"/>
        <rFont val="Arial"/>
        <family val="2"/>
      </rPr>
      <t xml:space="preserve"> Please do not type over formulas.  Totals will calculate automatically in this spreadsheet.</t>
    </r>
  </si>
  <si>
    <t>Capital Stock</t>
  </si>
  <si>
    <t>Retained Earnings</t>
  </si>
  <si>
    <t>Long-Term Debt to Affiliates (owners, other owner controlled companies, etc.)</t>
  </si>
  <si>
    <t>Short-Term Debt to Affiliates (owners, other owner controlled companies, etc.)</t>
  </si>
  <si>
    <t>Long-Term Debt (banks, etc.)</t>
  </si>
  <si>
    <t>Short-Term Debt (banks, etc.)</t>
  </si>
  <si>
    <t>Water Customer Deposits</t>
  </si>
  <si>
    <t>Water Advances for Construction</t>
  </si>
  <si>
    <r>
      <t xml:space="preserve">Water CIAC </t>
    </r>
    <r>
      <rPr>
        <sz val="8"/>
        <rFont val="Arial"/>
        <family val="2"/>
      </rPr>
      <t>(From Pg. 9)</t>
    </r>
  </si>
  <si>
    <t>Net Water CIAC (i.e., Water CIAC MINUS Water Amortization of CIAC)</t>
  </si>
  <si>
    <t>Sewer Customer Deposits</t>
  </si>
  <si>
    <t>Sewer Advances for Construction</t>
  </si>
  <si>
    <r>
      <t xml:space="preserve">Sewer CIAC </t>
    </r>
    <r>
      <rPr>
        <sz val="8"/>
        <rFont val="Arial"/>
        <family val="2"/>
      </rPr>
      <t>(From Pg. 9)</t>
    </r>
  </si>
  <si>
    <t>Deferred Taxes - ITC</t>
  </si>
  <si>
    <t>SCHEDULE OF UNCOLLECTIBLE ACCOUNTS</t>
  </si>
  <si>
    <t>Amount Written Off</t>
  </si>
  <si>
    <t>Water</t>
  </si>
  <si>
    <t>Sewer</t>
  </si>
  <si>
    <t>(c)</t>
  </si>
  <si>
    <t>(d)</t>
  </si>
  <si>
    <t>(Total to Pg. W-1)</t>
  </si>
  <si>
    <t>(Total to Pg. S-1)</t>
  </si>
  <si>
    <t>PAYROLL INFORMATION</t>
  </si>
  <si>
    <t xml:space="preserve">  Company Name:</t>
  </si>
  <si>
    <t>Payroll Charged To:</t>
  </si>
  <si>
    <t>Total</t>
  </si>
  <si>
    <t>Page 7</t>
  </si>
  <si>
    <t>(Total to Page W-1)</t>
  </si>
  <si>
    <t>(Total to Page S-1)</t>
  </si>
  <si>
    <t>PAYMENTS FOR SERVICES RENDERED BY OTHER THAN EMPLOYEES</t>
  </si>
  <si>
    <t>Amount of Payments:</t>
  </si>
  <si>
    <t>Page 8</t>
  </si>
  <si>
    <t>CONTRIBUTIONS IN AID OF CONSTRUCTION</t>
  </si>
  <si>
    <t>Water
(b)</t>
  </si>
  <si>
    <t>Sewer
(c)</t>
  </si>
  <si>
    <t>Balance at Beginning of Year</t>
  </si>
  <si>
    <t>Additions During the Year (Please provide a detailed explanation.)</t>
  </si>
  <si>
    <t xml:space="preserve">PLUS:  </t>
  </si>
  <si>
    <t>Total Additions</t>
  </si>
  <si>
    <t xml:space="preserve">LESS: </t>
  </si>
  <si>
    <t xml:space="preserve"> Deductions During the Year (Please provide a detailed explanation.)</t>
  </si>
  <si>
    <t>Retire and cap off service connection, but no connection fee money returned  = no entry here</t>
  </si>
  <si>
    <t>Total Deductions</t>
  </si>
  <si>
    <t>Balance at End of Year</t>
  </si>
  <si>
    <t>(Total to Pg. 5)</t>
  </si>
  <si>
    <t>AMORTIZATION OF CONTRIBUTIONS IN AID OF CONSTRUCTION</t>
  </si>
  <si>
    <t>(Please identify as Account Number 271A)</t>
  </si>
  <si>
    <t>Distribution Method</t>
  </si>
  <si>
    <t>Balance at First of Year (Total of Amortization not Total of CIAC line 3)</t>
  </si>
  <si>
    <t>Total Contributions in Aid at End of Year (see above)</t>
  </si>
  <si>
    <r>
      <t xml:space="preserve">Total Plant in Service at End of Year </t>
    </r>
    <r>
      <rPr>
        <sz val="8"/>
        <rFont val="Arial"/>
        <family val="2"/>
      </rPr>
      <t>(From Page W-5 or S-4)</t>
    </r>
  </si>
  <si>
    <t>Percentage Contributions to Plant</t>
  </si>
  <si>
    <r>
      <t xml:space="preserve">Total Depreciation Expense </t>
    </r>
    <r>
      <rPr>
        <sz val="8"/>
        <rFont val="Arial"/>
        <family val="2"/>
      </rPr>
      <t>(From Page W-6 or S-5)</t>
    </r>
  </si>
  <si>
    <t>Total Amortization of Contributions</t>
  </si>
  <si>
    <t>OR</t>
  </si>
  <si>
    <t>Attached Method</t>
  </si>
  <si>
    <t>INTEREST EXPENSE, NOTES PAYABLE, BONDS, BANK LOANS AND OTHER DEBTS</t>
  </si>
  <si>
    <t>INSTRUCTIONS:  Please report information for each separate item of debt.  Show principal amount to which each interest rate applies.  Include all items on which interest was paid during the year.  Use additional sheets if necessary.</t>
  </si>
  <si>
    <t>Origination
 Date
(b)</t>
  </si>
  <si>
    <t>Is Interest Rate Fixed or Variable?
(g)</t>
  </si>
  <si>
    <t>Interest Charged To:</t>
  </si>
  <si>
    <t>Page 10</t>
  </si>
  <si>
    <t>SCHEDULE OF MATERIALS AND SUPPLIES AVAILABLE AT THE END OF THE YEAR</t>
  </si>
  <si>
    <t>Quantity</t>
  </si>
  <si>
    <t>(Total to Pg. 4)</t>
  </si>
  <si>
    <t>WATER OPERATING REVENUES, EXPENSES AND STATISTICS</t>
  </si>
  <si>
    <t>Amount
(b)</t>
  </si>
  <si>
    <r>
      <t xml:space="preserve">Total Operating Revenues </t>
    </r>
    <r>
      <rPr>
        <sz val="8"/>
        <rFont val="Arial"/>
        <family val="2"/>
      </rPr>
      <t>(From Page W-2)</t>
    </r>
  </si>
  <si>
    <t>Operating Expenses</t>
  </si>
  <si>
    <r>
      <t xml:space="preserve">Salaries &amp; Wages </t>
    </r>
    <r>
      <rPr>
        <sz val="8"/>
        <rFont val="Arial"/>
        <family val="2"/>
      </rPr>
      <t>(From Page 7)</t>
    </r>
  </si>
  <si>
    <t>Employee Pensions and Benefits</t>
  </si>
  <si>
    <t>Purchased Water</t>
  </si>
  <si>
    <r>
      <t xml:space="preserve">Plant Operations Expenses </t>
    </r>
    <r>
      <rPr>
        <sz val="8"/>
        <rFont val="Arial"/>
        <family val="2"/>
      </rPr>
      <t>(From Page W-3)</t>
    </r>
  </si>
  <si>
    <t>Billing Expenses</t>
  </si>
  <si>
    <t>Supplies and Expenses</t>
  </si>
  <si>
    <t>Transportation Expenses</t>
  </si>
  <si>
    <t>Insurance Expense</t>
  </si>
  <si>
    <r>
      <t>Outside Services Employed (i.e.., Legal, Accounting, etc.)</t>
    </r>
    <r>
      <rPr>
        <sz val="8"/>
        <rFont val="Arial"/>
        <family val="2"/>
      </rPr>
      <t xml:space="preserve"> (From Page 8)</t>
    </r>
  </si>
  <si>
    <t>Regulatory Commission Expenses</t>
  </si>
  <si>
    <r>
      <t xml:space="preserve">Uncollectible Expenses </t>
    </r>
    <r>
      <rPr>
        <sz val="8"/>
        <rFont val="Arial"/>
        <family val="2"/>
      </rPr>
      <t>(From Page 6)</t>
    </r>
  </si>
  <si>
    <r>
      <t xml:space="preserve">Depreciation Expense </t>
    </r>
    <r>
      <rPr>
        <sz val="8"/>
        <rFont val="Arial"/>
        <family val="2"/>
      </rPr>
      <t>(From Page W-6)</t>
    </r>
  </si>
  <si>
    <r>
      <t>Amortization of Contributions in Aid of Construction</t>
    </r>
    <r>
      <rPr>
        <sz val="8"/>
        <rFont val="Arial"/>
        <family val="2"/>
      </rPr>
      <t xml:space="preserve"> (Page 9)</t>
    </r>
  </si>
  <si>
    <t>Amortization Expense</t>
  </si>
  <si>
    <r>
      <t xml:space="preserve">Tax Expenses </t>
    </r>
    <r>
      <rPr>
        <sz val="8"/>
        <rFont val="Arial"/>
        <family val="2"/>
      </rPr>
      <t>(From Page W-3)</t>
    </r>
  </si>
  <si>
    <r>
      <t xml:space="preserve">Interest Expense </t>
    </r>
    <r>
      <rPr>
        <sz val="8"/>
        <rFont val="Arial"/>
        <family val="2"/>
      </rPr>
      <t>(From Page 10)</t>
    </r>
  </si>
  <si>
    <t>Total Operating Expenses</t>
  </si>
  <si>
    <t>WATER OPERATING REVENUES, EXPENSES AND STATISTICS (Continued)</t>
  </si>
  <si>
    <t>(Please indicate if metered amounts are in cubic feet measurements.)</t>
  </si>
  <si>
    <t>Unmetered Sales of Water</t>
  </si>
  <si>
    <t>XXXX</t>
  </si>
  <si>
    <t>Residential - Single Family</t>
  </si>
  <si>
    <t>Residential - Apartments</t>
  </si>
  <si>
    <t>Residential - Mobile Homes</t>
  </si>
  <si>
    <t>Commercial</t>
  </si>
  <si>
    <t>Other Sales to Public Authorities</t>
  </si>
  <si>
    <t>Total Unmetered Sales</t>
  </si>
  <si>
    <t>Metered Sales of Water</t>
  </si>
  <si>
    <t>5/8" Meter</t>
  </si>
  <si>
    <t>3/4" Meter</t>
  </si>
  <si>
    <t>1" Meter</t>
  </si>
  <si>
    <t>1 1/2" Meter</t>
  </si>
  <si>
    <t>2" Meter</t>
  </si>
  <si>
    <t>Total Metered Sales</t>
  </si>
  <si>
    <t>Other Operating Revenues</t>
  </si>
  <si>
    <t>Late Payment Fees</t>
  </si>
  <si>
    <t>Inspection Fees</t>
  </si>
  <si>
    <t>Reconnect Fees</t>
  </si>
  <si>
    <t>Rent Income</t>
  </si>
  <si>
    <t>Total Other Operating Revenues</t>
  </si>
  <si>
    <t>Plant Operations Expenses</t>
  </si>
  <si>
    <t>Repairs of Water Plant - Pump Repair</t>
  </si>
  <si>
    <t>Repairs of Water Plant - Well Repair</t>
  </si>
  <si>
    <t>Repairs of Water Plant - Water Line Repair</t>
  </si>
  <si>
    <t>Repairs of Water Plant - Equipment Repair</t>
  </si>
  <si>
    <t>Fuel or Power Purchases for Pumping (i.e., Electric Bills, etc.)</t>
  </si>
  <si>
    <t>Chemicals</t>
  </si>
  <si>
    <t>Water Testing Expenses</t>
  </si>
  <si>
    <t>Total Plant Operations Expenses</t>
  </si>
  <si>
    <t>Tax Expenses</t>
  </si>
  <si>
    <t>Tax Expense - Property Taxes</t>
  </si>
  <si>
    <t>Tax Expense - Payroll Taxes</t>
  </si>
  <si>
    <t>Tax Expense - Franchise Taxes</t>
  </si>
  <si>
    <t>Tax Expense - Federal Income Taxes</t>
  </si>
  <si>
    <t>Tax Expense - State Income Taxes</t>
  </si>
  <si>
    <t>Tax Expense - Investment Tax Credits</t>
  </si>
  <si>
    <t>Total Tax Expenses</t>
  </si>
  <si>
    <t>PUMPING AND PURCHASED WATER STATISTICS</t>
  </si>
  <si>
    <t>(Omit 000's in reporting number of gallons or cubic feet of water.  Use additional sheets if necessary.)</t>
  </si>
  <si>
    <t>Gallons Pumped Into System</t>
  </si>
  <si>
    <t>Total of all
Methods
(a+b+c+d=e)
(e)</t>
  </si>
  <si>
    <t>(Please indicate whether measurement is gallons or cubic feet.)</t>
  </si>
  <si>
    <t>Maximum Quantity Supplied to the System in Any One Day:</t>
  </si>
  <si>
    <t>Range of Pressure in the Mains as Measured at the Highest Point on System:</t>
  </si>
  <si>
    <t>If Water is Sold to Other Utilities for Resale, List Names, Addresses, Phone Numbers and Quantities Below:</t>
  </si>
  <si>
    <t>Name of Reseller</t>
  </si>
  <si>
    <t>Address</t>
  </si>
  <si>
    <t>Phone Number</t>
  </si>
  <si>
    <t>Page W-4</t>
  </si>
  <si>
    <t>WATER UTILITY PLANT IN SERVICE</t>
  </si>
  <si>
    <t>Intangible Plant</t>
  </si>
  <si>
    <t>Class B, C or D</t>
  </si>
  <si>
    <t>Organization</t>
  </si>
  <si>
    <t>Franchise and Consents</t>
  </si>
  <si>
    <t>Miscellaneous Intangible Plant</t>
  </si>
  <si>
    <t>Source of Supply Plant</t>
  </si>
  <si>
    <t>Land and Land Rights</t>
  </si>
  <si>
    <t>Structures and Improvements</t>
  </si>
  <si>
    <t>Collecting and Impounding Reservoirs</t>
  </si>
  <si>
    <t>Lake, River, and Other Intakes</t>
  </si>
  <si>
    <t>Wells and Springs</t>
  </si>
  <si>
    <t>Infiltration Galleries and Tunnels</t>
  </si>
  <si>
    <t>Supply Mains</t>
  </si>
  <si>
    <t>Pumping Plant</t>
  </si>
  <si>
    <t>Boiler Plant Equipment</t>
  </si>
  <si>
    <t>Submersible Electric Pumping</t>
  </si>
  <si>
    <t>High Service or Booster Pumps</t>
  </si>
  <si>
    <t>Diesel Pumping Equipment</t>
  </si>
  <si>
    <t>Hydraulic Pumping Equipment</t>
  </si>
  <si>
    <t>Water Treatment Plant</t>
  </si>
  <si>
    <t>Water Treatment Equipment</t>
  </si>
  <si>
    <t>Transmission and Distribution Plant</t>
  </si>
  <si>
    <t>Distribution Reservoirs and Standpipes</t>
  </si>
  <si>
    <t>Transmission and Distribution Mains</t>
  </si>
  <si>
    <t>Fire Mains</t>
  </si>
  <si>
    <t>Services</t>
  </si>
  <si>
    <t>Meters</t>
  </si>
  <si>
    <t>Meter Installations</t>
  </si>
  <si>
    <t>Hydrants</t>
  </si>
  <si>
    <t>Other Transmission and Distribution Plant</t>
  </si>
  <si>
    <t xml:space="preserve">   General Plant</t>
  </si>
  <si>
    <r>
      <rPr>
        <b/>
        <sz val="10"/>
        <rFont val="Arial"/>
        <family val="2"/>
      </rPr>
      <t>Note:</t>
    </r>
    <r>
      <rPr>
        <sz val="10"/>
        <rFont val="Arial"/>
        <family val="2"/>
      </rPr>
      <t xml:space="preserve"> USOA CLASS  B and C are the same  </t>
    </r>
  </si>
  <si>
    <t xml:space="preserve">B &amp;C  </t>
  </si>
  <si>
    <t>D</t>
  </si>
  <si>
    <t xml:space="preserve">Land and Land Rights                                                     </t>
  </si>
  <si>
    <t xml:space="preserve">Structures and Improvements                                    </t>
  </si>
  <si>
    <t xml:space="preserve">Office Furniture and Equipment                                  </t>
  </si>
  <si>
    <t xml:space="preserve">Office Computer and Electronic Equipment   </t>
  </si>
  <si>
    <t xml:space="preserve">Transportation Equipment                                           </t>
  </si>
  <si>
    <t>Other General Equipment</t>
  </si>
  <si>
    <t xml:space="preserve">none  </t>
  </si>
  <si>
    <t xml:space="preserve">Stores Equipment                                                             </t>
  </si>
  <si>
    <t xml:space="preserve">Tools, Shop and Garage Equipment                         </t>
  </si>
  <si>
    <t xml:space="preserve">Laboratory Equipment                                                    </t>
  </si>
  <si>
    <t xml:space="preserve">Power-operated Equipment                                         </t>
  </si>
  <si>
    <t xml:space="preserve">Communication Equipment                                         </t>
  </si>
  <si>
    <t xml:space="preserve">Miscellaneous Equipment                                           </t>
  </si>
  <si>
    <t>Total Water Utility Plant In Service</t>
  </si>
  <si>
    <t>DEPRECIATION RESERVE - WATER UTILITY PLANT</t>
  </si>
  <si>
    <t>Acct.
No. 
(b)</t>
  </si>
  <si>
    <t>Retirement of Property</t>
  </si>
  <si>
    <t>(Total to Pg. 9 &amp; Pg. W-1)</t>
  </si>
  <si>
    <t>NOTE:  Amounts included in Column "j" should be the same as in Column "e" on the preceding page.  Also, Annual Depreciation Expense is equal to Column "f" from preceding page multiplied by Column "g" found on this page.</t>
  </si>
  <si>
    <t>*</t>
  </si>
  <si>
    <t>All entries included in Columns "k" and "l" should be supported by records that identify the property retired and the cost of removal or salvage is as much detail as reasonably possible.</t>
  </si>
  <si>
    <t>Report the details for these entries.  Use additional sheets if necessary.</t>
  </si>
  <si>
    <t>***</t>
  </si>
  <si>
    <t>PUMPS</t>
  </si>
  <si>
    <t>Manufacturer and Type
 (i.e., High Service, Well, Standby, etc.)</t>
  </si>
  <si>
    <t>Capacity</t>
  </si>
  <si>
    <t>WELLS</t>
  </si>
  <si>
    <t>Number:</t>
  </si>
  <si>
    <t>Description (i.e., Deep, Artisian, Spring, etc.)</t>
  </si>
  <si>
    <t>Year Constructed</t>
  </si>
  <si>
    <t>Type of Construction</t>
  </si>
  <si>
    <t>Type of Casing</t>
  </si>
  <si>
    <t>Depth and Diameter of Well</t>
  </si>
  <si>
    <t>Yield of Well in Gallons per day</t>
  </si>
  <si>
    <t xml:space="preserve">     Type -</t>
  </si>
  <si>
    <t xml:space="preserve">     Cost -</t>
  </si>
  <si>
    <t xml:space="preserve">     Quantity -</t>
  </si>
  <si>
    <t>METERS AND METER SETTINGS</t>
  </si>
  <si>
    <t>Residential:</t>
  </si>
  <si>
    <t>Other Customers:</t>
  </si>
  <si>
    <t>Total in Use by Customers</t>
  </si>
  <si>
    <t>XXXXXX</t>
  </si>
  <si>
    <t>Not in Use (i.e., Inventory)</t>
  </si>
  <si>
    <t>Total Meters</t>
  </si>
  <si>
    <t>STORAGE FACILITIES</t>
  </si>
  <si>
    <t>Page W-8</t>
  </si>
  <si>
    <t>MAINS (measurement in feet)</t>
  </si>
  <si>
    <t>Total Mains</t>
  </si>
  <si>
    <t>SERVICES AVAILABLE FOR USE (from Main to Property Line)</t>
  </si>
  <si>
    <t>Owned by Utility</t>
  </si>
  <si>
    <t>In Use:</t>
  </si>
  <si>
    <t>For Future Use:</t>
  </si>
  <si>
    <t>Page W-9</t>
  </si>
  <si>
    <t>Total of All Services</t>
  </si>
  <si>
    <t>SEWER OPERATING REVENUES, EXPENSES AND STATISTICS</t>
  </si>
  <si>
    <t>SEWER OPERATING REVENUES, EXPENSES AND STATISTICS (Continued)</t>
  </si>
  <si>
    <t>Flat Rate Sales</t>
  </si>
  <si>
    <t>Contracted Maintenance Expenses</t>
  </si>
  <si>
    <t>Repairs of Sewer Plant - Pump Repair</t>
  </si>
  <si>
    <t>Repairs of Sewer Plant - Treatment Repair</t>
  </si>
  <si>
    <t>Repairs of Sewer Plant - Collecting Sewers and Manhole Repair</t>
  </si>
  <si>
    <t>Repairs of Sewer Plant - Equipment Repair</t>
  </si>
  <si>
    <t>Utility Bills</t>
  </si>
  <si>
    <t>Sludge Hauling Expenses</t>
  </si>
  <si>
    <t>Effluent Testing Expenses</t>
  </si>
  <si>
    <t>SEWER UTILITY PLANT IN SERVICE</t>
  </si>
  <si>
    <t>Land and Structures</t>
  </si>
  <si>
    <t>none</t>
  </si>
  <si>
    <t>Collection Plant</t>
  </si>
  <si>
    <t>Collection Sewer - Force</t>
  </si>
  <si>
    <t>Collection Sewer - Gravity</t>
  </si>
  <si>
    <t>Services to Customers</t>
  </si>
  <si>
    <t>Flow Measuring Devices</t>
  </si>
  <si>
    <t>Receiving Wells and Pump Pits</t>
  </si>
  <si>
    <t>Pumping Equipment</t>
  </si>
  <si>
    <t>Treatment and Disposal</t>
  </si>
  <si>
    <t>Oxidation Lagoon</t>
  </si>
  <si>
    <t>Treatment and Disposal Equipment</t>
  </si>
  <si>
    <t>Sewer Collection (Septic) Tanks</t>
  </si>
  <si>
    <t>Plant Sewer</t>
  </si>
  <si>
    <t>Outfall Sewer Lines</t>
  </si>
  <si>
    <t>General Plant</t>
  </si>
  <si>
    <t>Office Furniture and Equipment</t>
  </si>
  <si>
    <t>Computer and Electronic Office Equipment</t>
  </si>
  <si>
    <t>Transportation Equipment</t>
  </si>
  <si>
    <t>Stores Equipment</t>
  </si>
  <si>
    <t>None</t>
  </si>
  <si>
    <t>Tools Shop and Garage Equipment</t>
  </si>
  <si>
    <t>Laboratory Equipment</t>
  </si>
  <si>
    <t>Power Operated Equipment</t>
  </si>
  <si>
    <t>Communications Equipment</t>
  </si>
  <si>
    <r>
      <t xml:space="preserve">                    </t>
    </r>
    <r>
      <rPr>
        <b/>
        <sz val="10"/>
        <rFont val="Arial"/>
        <family val="2"/>
      </rPr>
      <t>Total Sewer Utility Plant In Service</t>
    </r>
  </si>
  <si>
    <t>NOTE:  All entries should be supported by records that identify the property being added or retired, its location, and its original cost in as much detail as reasonably possible.  If adjustments are included in Columns "d" and/or "e", please explain below.  Use additional sheets if necessary.</t>
  </si>
  <si>
    <t xml:space="preserve">Explanation:
</t>
  </si>
  <si>
    <t>DEPRECIATION RESERVE - SEWER UTILITY PLANT</t>
  </si>
  <si>
    <t>Annual
Depreciation
Rate % 
(g)</t>
  </si>
  <si>
    <r>
      <t xml:space="preserve">
</t>
    </r>
    <r>
      <rPr>
        <sz val="10"/>
        <rFont val="Arial"/>
        <family val="2"/>
      </rPr>
      <t>Annual 
Depreciation 
Expense 
(f*g) 
   (h)***</t>
    </r>
  </si>
  <si>
    <t>Reserve
Balance 
at Beginning 
of Year
(i)</t>
  </si>
  <si>
    <t>Other
Charges
  (m)**</t>
  </si>
  <si>
    <t>Reserve
Balance
at End of Year
(h+i-j-k+l+m)
(n)</t>
  </si>
  <si>
    <t>Book Cost
of Plant
Retired
(j)</t>
  </si>
  <si>
    <t>Cost of 
Removal
(k)*</t>
  </si>
  <si>
    <t>Salvage
Credit 
 (l)*</t>
  </si>
  <si>
    <t>GENERAL INFORMATION</t>
  </si>
  <si>
    <t>Treatment Facilities - Please describe process.</t>
  </si>
  <si>
    <t>What is the designated capacity of your treatment facilities?</t>
  </si>
  <si>
    <t>What percent of designed capacity is currently being utilized?</t>
  </si>
  <si>
    <t>Please describe the treatment process for liquid waste.</t>
  </si>
  <si>
    <t>Please describe the treatment process for waste solids.</t>
  </si>
  <si>
    <t>Where is the point of discharge for liquid waste?</t>
  </si>
  <si>
    <t>What is the ultimate disposal of waste solids and how obtained?</t>
  </si>
  <si>
    <t>List any equipment failures occurring during the year.  Please state when failure occurred and briefly describe the failure and corrective measures taken.</t>
  </si>
  <si>
    <t>COLLECTING SEWERS (measurement in feet)</t>
  </si>
  <si>
    <t>Force:</t>
  </si>
  <si>
    <t>Gravity:</t>
  </si>
  <si>
    <t>LIFT STATIONS</t>
  </si>
  <si>
    <t>Pumps:  Name, Size, Type</t>
  </si>
  <si>
    <t>H.P.</t>
  </si>
  <si>
    <t>GPM</t>
  </si>
  <si>
    <t>TDH</t>
  </si>
  <si>
    <t>Annual Report of</t>
  </si>
  <si>
    <t>for the calendar year of January 1 - December 31,</t>
  </si>
  <si>
    <t>VERIFICATION</t>
  </si>
  <si>
    <t>The foregoing report must be verified by the oath of the President, Treasurer, General Manager or Receiver of the company. The oath required may be taken before any person authorized to administer an oath (Notary Public) by the laws of the State in which the same is taken.</t>
  </si>
  <si>
    <t>OATH</t>
  </si>
  <si>
    <t>State Of</t>
  </si>
  <si>
    <t>}</t>
  </si>
  <si>
    <t>ss:</t>
  </si>
  <si>
    <t>County Of</t>
  </si>
  <si>
    <t>makes oath and says that</t>
  </si>
  <si>
    <t>Name of Affiant (Company Official/Representative)</t>
  </si>
  <si>
    <t>s/he is</t>
  </si>
  <si>
    <t>Official Title of the Affiant (Company Official/Representative)</t>
  </si>
  <si>
    <t>of</t>
  </si>
  <si>
    <t>Exact Legal Title or Name of the Respondent (Certificated Company Name)</t>
  </si>
  <si>
    <t>and is located at</t>
  </si>
  <si>
    <t xml:space="preserve">, </t>
  </si>
  <si>
    <t>Address and Telephone Number of the Affiant (Company Official/Representative)</t>
  </si>
  <si>
    <t>that s/he has examined the foregoing report; that to the best of his or her knowledge, information, and belief, all statements of fact contained in the said report are true and the said report is a correct statement of the business and affairs of the above-named respondent.</t>
  </si>
  <si>
    <t>from</t>
  </si>
  <si>
    <t>January 1</t>
  </si>
  <si>
    <t>, to and including</t>
  </si>
  <si>
    <t>December 31</t>
  </si>
  <si>
    <t>Month/Day</t>
  </si>
  <si>
    <t>Year</t>
  </si>
  <si>
    <t>Signature of Affiant (Company Official/Representative)</t>
  </si>
  <si>
    <t xml:space="preserve">         Subscribed and sworn to before me, a Notary Public, in and for the State  and County above named, </t>
  </si>
  <si>
    <t xml:space="preserve">this     </t>
  </si>
  <si>
    <t>day of</t>
  </si>
  <si>
    <t>.</t>
  </si>
  <si>
    <t xml:space="preserve">        My Commission expires</t>
  </si>
  <si>
    <t>,</t>
  </si>
  <si>
    <t>Signature of Notary Public</t>
  </si>
  <si>
    <t>Missouri Revised Statutes § 392.210 or §393.140</t>
  </si>
  <si>
    <t>Effective Date:</t>
  </si>
  <si>
    <t xml:space="preserve">Please list your most recent rate increase request Case No(s). and effective date(s). </t>
  </si>
  <si>
    <t xml:space="preserve">DNR Permit Number: </t>
  </si>
  <si>
    <t xml:space="preserve">Original DNR Permit Date: </t>
  </si>
  <si>
    <t xml:space="preserve">DNR Permit Expiration Date: </t>
  </si>
  <si>
    <t xml:space="preserve">Company E-mail Address: </t>
  </si>
  <si>
    <t>Account Description
(a)</t>
  </si>
  <si>
    <t>Account
 No.
 (a)</t>
  </si>
  <si>
    <t>Sewer
Utility
 (d)</t>
  </si>
  <si>
    <t>Water
Utility
 (c)</t>
  </si>
  <si>
    <t>Total Utility
Compensation 
(b)</t>
  </si>
  <si>
    <t>Sewer
Expense
(d)</t>
  </si>
  <si>
    <t>Capitalized
Payroll
(e)</t>
  </si>
  <si>
    <t>Name and Title
(a)</t>
  </si>
  <si>
    <t>Amount
 (b)</t>
  </si>
  <si>
    <t xml:space="preserve">Company Name:  </t>
  </si>
  <si>
    <t xml:space="preserve">Was your treatment plant: </t>
  </si>
  <si>
    <t xml:space="preserve">constructed in place </t>
  </si>
  <si>
    <t>purchased as a package unit?</t>
  </si>
  <si>
    <t>Were your lift stations:</t>
  </si>
  <si>
    <t xml:space="preserve">Location </t>
  </si>
  <si>
    <t>Kind of Pipe
(i.e. Cast Iron, VCP, PVC, etc.)
(a)</t>
  </si>
  <si>
    <t>Diameter
of Pipe
(b)</t>
  </si>
  <si>
    <t xml:space="preserve">Total No. at
Beginning of Year
(c ) </t>
  </si>
  <si>
    <t>Total No. of
Additions During the Year
(d)</t>
  </si>
  <si>
    <t>Total No. at
End of Year
(f)</t>
  </si>
  <si>
    <t>Describe MAJOR transactions occurring during the year which will have a major effect on operations, such as rate changes,  replacement of equipment and other abnormal cash expenditures of $250 or more.</t>
  </si>
  <si>
    <t>BALANCE SHEET
WATER AND SEWER OPERATIONS
ASSETS</t>
  </si>
  <si>
    <t>BALANCE SHEET
WATER AND SEWER OPERATIONS
EQUITY AND LIABILITIES</t>
  </si>
  <si>
    <t>Net Sewer CIAC (i.e., Sewer CIAC Minus Sewer Amortization of CIAC)</t>
  </si>
  <si>
    <t>Describe customer account and
methods used to attempt collection.  Also, state why account is deemed uncollectible (bankruptcy, etc.)
(b)</t>
  </si>
  <si>
    <t>INSTRUCTIONS:  Please provide names, titles and salaries for all officers and employees.  Show total compensation paid to each during the year.  Include all amounts including bonuses and other allowances.  Enter "0" or none where applicable.  Provide explanations where necessary.  Use additional sheets if necessary.</t>
  </si>
  <si>
    <t>Water
Expense
(c)</t>
  </si>
  <si>
    <t>INSTRUCTIONS:  Report below all information concerning rate, management, construction, engineering, research, financial, valuation, legal, accounting, purchasing, advertising, labor relations, public relations, or other similar professional services rendered the respondent under written or verbal arrangements, for which total payments during the year to any corporation, partnership, individual (other than for services as an employee) or organization of any kind whatsoever.  Use additional sheets if necessary.</t>
  </si>
  <si>
    <t>Name of Recipient and Description of Service
(a)</t>
  </si>
  <si>
    <t>Expensed
(b)</t>
  </si>
  <si>
    <t>Expensed
(d)</t>
  </si>
  <si>
    <t>Capitalized
(e)</t>
  </si>
  <si>
    <t>Capitalized
(c)</t>
  </si>
  <si>
    <t>INSTRUCTIONS:  This account shall include donations or contributions in cash, services, or property for construction purposes.  
The records supporting the entries to this account shall be so kept that the utility can furnish information as to the purpose of each donation, the conditions, if any, upon which it was made, the amount of each donation, and the amount applicable to each utility department.  The credits (deductions) to this account shall not be transferred to any other account without the approval of the Commission.</t>
  </si>
  <si>
    <t>Date of
Maturity
(d)</t>
  </si>
  <si>
    <t>Loan
Amount
(e)</t>
  </si>
  <si>
    <t>Interest
Rate
(f)</t>
  </si>
  <si>
    <t>Paid
(h)</t>
  </si>
  <si>
    <t>Water
Utility
(i)</t>
  </si>
  <si>
    <t>Sewer
Utility
(j)</t>
  </si>
  <si>
    <t>Description of Obligation 
(Include Name and Address of Each Lender)
 (a)</t>
  </si>
  <si>
    <t>Frequency of Payments
(Semi-Monthly, 
Monthly, Quarterly, 
Annually, etc.)
(c)</t>
  </si>
  <si>
    <t>(Total to
 Pg. W-1)</t>
  </si>
  <si>
    <t>(Total to
 Pg. S-1)</t>
  </si>
  <si>
    <r>
      <t xml:space="preserve">22.   </t>
    </r>
    <r>
      <rPr>
        <sz val="10"/>
        <rFont val="Arial"/>
        <family val="2"/>
      </rPr>
      <t xml:space="preserve">If the answer to column (g) is variable, please explain the method used for the interest rate calculation below with corresponding line number from above. </t>
    </r>
  </si>
  <si>
    <t>Description of Items
(Pipe, Meters, Fittings, Valves, Gas, etc.)
(a)</t>
  </si>
  <si>
    <t>Quantity
(b)</t>
  </si>
  <si>
    <t>Amount
(c)</t>
  </si>
  <si>
    <t>Quantity
(d)</t>
  </si>
  <si>
    <t>Amount
(e)</t>
  </si>
  <si>
    <t>No. of
Customers</t>
  </si>
  <si>
    <t>Gallons
Sold
000's
Omitted
(d)</t>
  </si>
  <si>
    <t>Revenue
Amount
(e)</t>
  </si>
  <si>
    <t>Beginning
of Year
(b)</t>
  </si>
  <si>
    <t>End
of Year
(c)</t>
  </si>
  <si>
    <t>Source of Supply
(Please describe source below.)</t>
  </si>
  <si>
    <t xml:space="preserve">Minimum:  </t>
  </si>
  <si>
    <t>Balance at
Beginning of Year
(c)</t>
  </si>
  <si>
    <t>Additions During
the Year
(d)</t>
  </si>
  <si>
    <t>Retirements
During the Year
(e)</t>
  </si>
  <si>
    <t>Balance at End
of Year (c+d-e)
(f)</t>
  </si>
  <si>
    <t>(Total to Pages 4 &amp; 9)</t>
  </si>
  <si>
    <r>
      <rPr>
        <b/>
        <sz val="9"/>
        <rFont val="Arial"/>
        <family val="2"/>
      </rPr>
      <t xml:space="preserve">NOTE: </t>
    </r>
    <r>
      <rPr>
        <sz val="9"/>
        <rFont val="Arial"/>
        <family val="2"/>
      </rPr>
      <t xml:space="preserve"> All entries should be supported by records that identify the property being added or retired, its location, and its original cost in as much detail as reasonably possible.  If adjustments are included in Columns "d" and/or "e", use additional sheets.</t>
    </r>
  </si>
  <si>
    <t>Annual
Depreciation
Rate %***
(g)</t>
  </si>
  <si>
    <t>Depreciation
Expense
(f*g)
(h)</t>
  </si>
  <si>
    <t xml:space="preserve">Reserve
Balance at
Beginning 
of Year
(i)
</t>
  </si>
  <si>
    <t>Cost of
Removal*
(k)</t>
  </si>
  <si>
    <t>Salvage Credit*
(l)</t>
  </si>
  <si>
    <t>Other Charges**
(m)</t>
  </si>
  <si>
    <t>Reserve Balance
at END
of Year
(h+i-j-k+l+m)
(n)</t>
  </si>
  <si>
    <t>Annual Depreciation Expense must be calculated separately.  This total should be calculated based
upon actual in-service and retirement date(s) of new equipment and retirements during the period.</t>
  </si>
  <si>
    <t>Date
 Installed</t>
  </si>
  <si>
    <t>Date of Last 
Pump 
Replacement</t>
  </si>
  <si>
    <t>Date of Last 
Motor 
Replacement</t>
  </si>
  <si>
    <t>Total No. Owned
by Customers at 
End of Year
(g)</t>
  </si>
  <si>
    <t>Total at
End of Year
(f)</t>
  </si>
  <si>
    <t>Total No. Removed
or Disconnected 
(e)</t>
  </si>
  <si>
    <t>Total No. of
Additions
(d)</t>
  </si>
  <si>
    <t>Total at
Beginning of Year
(c)</t>
  </si>
  <si>
    <t>Meter Size
(b)</t>
  </si>
  <si>
    <t>Customer Class
(a)</t>
  </si>
  <si>
    <t>Construction
Material
(b)</t>
  </si>
  <si>
    <r>
      <t xml:space="preserve">Last Date Painted
if Applicable
</t>
    </r>
    <r>
      <rPr>
        <sz val="8"/>
        <color indexed="8"/>
        <rFont val="Arial"/>
        <family val="2"/>
      </rPr>
      <t>(indicate interior or exterior)</t>
    </r>
    <r>
      <rPr>
        <sz val="11"/>
        <color indexed="8"/>
        <rFont val="Arial"/>
        <family val="2"/>
      </rPr>
      <t xml:space="preserve">
(c)</t>
    </r>
  </si>
  <si>
    <t>Capacity
(d)</t>
  </si>
  <si>
    <t>Type of Storage
(i.e., Pneumatic, Ground, Standpipes, Elevated Tanks, etc.)
(a)</t>
  </si>
  <si>
    <t>Diameter of
Pipe 
(b)</t>
  </si>
  <si>
    <t>Total at
Beginning of Year 
(c)</t>
  </si>
  <si>
    <t>Total Additions
During the Year
(d)</t>
  </si>
  <si>
    <t>Total Removed
or Abandoned 
During the Year
(e)</t>
  </si>
  <si>
    <t>Size and Description by Type of Material 
(i.e., iron, copper, plastic, etc.)
(a)</t>
  </si>
  <si>
    <t>Total No. at
Beginning of Year
(b)</t>
  </si>
  <si>
    <t>Total No.
of Additions
(c)</t>
  </si>
  <si>
    <t>Total No. Retired
or Abandoned
(d)</t>
  </si>
  <si>
    <t>Total No. at
End of Year
(e)</t>
  </si>
  <si>
    <t>Total No. Owned
by Customers
at End of Year
(f)</t>
  </si>
  <si>
    <r>
      <t xml:space="preserve">  2 </t>
    </r>
    <r>
      <rPr>
        <sz val="9"/>
        <rFont val="Arial"/>
        <family val="2"/>
      </rPr>
      <t>Company Name:</t>
    </r>
  </si>
  <si>
    <t>No. of Customers</t>
  </si>
  <si>
    <t>End of Year
(c)</t>
  </si>
  <si>
    <t>Gallons Sold
000's
Omitted 
(d)</t>
  </si>
  <si>
    <t>Revenue
Amount 
(e)</t>
  </si>
  <si>
    <t>CLASS
B</t>
  </si>
  <si>
    <t>CLASS
C &amp; D</t>
  </si>
  <si>
    <t xml:space="preserve">CLASS
C &amp; D </t>
  </si>
  <si>
    <t>(Total to Pg 9 &amp; Pg S-1)</t>
  </si>
  <si>
    <r>
      <t xml:space="preserve">Water Depreciation Reserve </t>
    </r>
    <r>
      <rPr>
        <sz val="8"/>
        <rFont val="Arial"/>
        <family val="2"/>
      </rPr>
      <t>(From Pg. W-6)</t>
    </r>
  </si>
  <si>
    <r>
      <t xml:space="preserve">Sewer Depreciation Reserve </t>
    </r>
    <r>
      <rPr>
        <sz val="8"/>
        <rFont val="Arial"/>
        <family val="2"/>
      </rPr>
      <t>(From Pg. S-5)</t>
    </r>
  </si>
  <si>
    <t>Chemicals (i.e., Provide Type, Cost and 
Quantities of Each):</t>
  </si>
  <si>
    <t xml:space="preserve">Total Other Operating Revenues </t>
  </si>
  <si>
    <t>Page 4, Line 19</t>
  </si>
  <si>
    <t>Page 5, Line 20</t>
  </si>
  <si>
    <t>Page 5, Line 21</t>
  </si>
  <si>
    <t>Page W-1, Line 21</t>
  </si>
  <si>
    <t>Page W-2, Line 21</t>
  </si>
  <si>
    <t>Amount</t>
  </si>
  <si>
    <t>Description</t>
  </si>
  <si>
    <t>Total (should match amount on Page 4, Line 19)</t>
  </si>
  <si>
    <t xml:space="preserve">Sewer Case No.: </t>
  </si>
  <si>
    <r>
      <t xml:space="preserve">Other Assets (Accounts Receivable, etc.)  </t>
    </r>
    <r>
      <rPr>
        <sz val="8"/>
        <rFont val="Arial"/>
        <family val="2"/>
      </rPr>
      <t>(List explanation on Page 4a)</t>
    </r>
  </si>
  <si>
    <t>Page 4, Line 8</t>
  </si>
  <si>
    <t>Page 4, Line 15</t>
  </si>
  <si>
    <t>Page 4, Line 17</t>
  </si>
  <si>
    <t>Total (should match amount on Page 4, Line 17)</t>
  </si>
  <si>
    <t>Total (should match amount on Page 4, Line 15)</t>
  </si>
  <si>
    <t>Total (should match amount on Page 4, Line 8)</t>
  </si>
  <si>
    <t xml:space="preserve">          Total Equity and Liabilities*</t>
  </si>
  <si>
    <t>* Total Equity and Liabilities should balance with Total  Assets on Page 4 (see instructions).  
    Difference between Equity &amp; Liabilities and Assets (from Pg 4).</t>
  </si>
  <si>
    <t>Page W-1, Line 11</t>
  </si>
  <si>
    <t xml:space="preserve">Rent Expense </t>
  </si>
  <si>
    <t>Total (should match amount on Page 5, Line 20)</t>
  </si>
  <si>
    <t>Total (should match amount on Page 5, Line 21)</t>
  </si>
  <si>
    <t>Total (should match amount on Page W-1, Line 11)</t>
  </si>
  <si>
    <t xml:space="preserve">Other Expenses </t>
  </si>
  <si>
    <t>Total (should match amount on Page W-1, Line 21)</t>
  </si>
  <si>
    <t>Page W-2, Line 8</t>
  </si>
  <si>
    <t>Total (should match amount on Page W-2, Line 8)</t>
  </si>
  <si>
    <t>Page W-2, Line 15</t>
  </si>
  <si>
    <t>Total (should match amount on Page W-2, Line 15)</t>
  </si>
  <si>
    <t>Income (Merchandising, Jobbing, &amp; Contract Work )</t>
  </si>
  <si>
    <t>Total (should match amount on Page W-2, Line 21)</t>
  </si>
  <si>
    <t>Page W-2, Line 22</t>
  </si>
  <si>
    <t>Total (should match amount on Page W-2, Line 22)</t>
  </si>
  <si>
    <t>Page W-3, Line 7</t>
  </si>
  <si>
    <t>Total (should match amount on Page W-3, Line 7)</t>
  </si>
  <si>
    <t>Page W-3, Line 11</t>
  </si>
  <si>
    <t>Total (should match amount on Page W-3, Line 11)</t>
  </si>
  <si>
    <t>Page W-3, Line 16</t>
  </si>
  <si>
    <t>Total (should match amount on Page W-3, Line 16)</t>
  </si>
  <si>
    <t>Page S-1, Line 11</t>
  </si>
  <si>
    <t>Page S-1, Line 21</t>
  </si>
  <si>
    <t>Total (should match amount on Page S-1, Line 21)</t>
  </si>
  <si>
    <t>Total Operating Revenues *</t>
  </si>
  <si>
    <t>Page S-2, Line 8</t>
  </si>
  <si>
    <t>Page S-2, Line 12</t>
  </si>
  <si>
    <t>Total (should match amount on Page S-2, Line 8)</t>
  </si>
  <si>
    <t>Total (should match amount on Page S-2, Line 12)</t>
  </si>
  <si>
    <t>Page S-2, Line 18</t>
  </si>
  <si>
    <t>Total (should match amount on Page S-2, Line 18)</t>
  </si>
  <si>
    <t>Page S-2, Line 19</t>
  </si>
  <si>
    <t>Total (should match amount on Page S-2, Line 19)</t>
  </si>
  <si>
    <t>3.</t>
  </si>
  <si>
    <t>4.</t>
  </si>
  <si>
    <t>5.</t>
  </si>
  <si>
    <t>Page S-3, Line 8</t>
  </si>
  <si>
    <t>Total (should match amount on Page S-3, Line 8)</t>
  </si>
  <si>
    <t>Page S-3, Line 13</t>
  </si>
  <si>
    <t>Total (should match amount on Page S-3, Line 13)</t>
  </si>
  <si>
    <t>Page S-3, Line 18</t>
  </si>
  <si>
    <t>Total (should match amount on Page S-3, Line 18)</t>
  </si>
  <si>
    <t>Total Assets*</t>
  </si>
  <si>
    <r>
      <t xml:space="preserve">Water Amortization of CIAC </t>
    </r>
    <r>
      <rPr>
        <sz val="8"/>
        <rFont val="Arial"/>
        <family val="2"/>
      </rPr>
      <t>(From Pg. 9)</t>
    </r>
  </si>
  <si>
    <t xml:space="preserve">Total </t>
  </si>
  <si>
    <t>Indicates a link to another worksheet within workbook</t>
  </si>
  <si>
    <t>Indicates formula cell(s)</t>
  </si>
  <si>
    <t>Total for Year</t>
  </si>
  <si>
    <r>
      <t xml:space="preserve">Balance at
End of Year 
</t>
    </r>
    <r>
      <rPr>
        <sz val="8"/>
        <rFont val="Arial"/>
        <family val="2"/>
      </rPr>
      <t>(c+d-e)</t>
    </r>
    <r>
      <rPr>
        <sz val="10"/>
        <rFont val="Arial"/>
        <family val="2"/>
      </rPr>
      <t xml:space="preserve">
(f)</t>
    </r>
  </si>
  <si>
    <t xml:space="preserve">Water Case No.: </t>
  </si>
  <si>
    <t>Number of Shares Authorized
 (b)</t>
  </si>
  <si>
    <t>Par or Stated Value Per Share
 (c)</t>
  </si>
  <si>
    <t>Page W-7a</t>
  </si>
  <si>
    <t>NOTE:  TOTAL ASSETS FROM PAGE 4 MUST BALANCE WITH TOTAL EQUITY AND LIABILITIES 
FROM PAGE 5</t>
  </si>
  <si>
    <t xml:space="preserve">Operator License Number </t>
  </si>
  <si>
    <r>
      <t>Non-Public Submission</t>
    </r>
    <r>
      <rPr>
        <b/>
        <sz val="12"/>
        <rFont val="Arial"/>
        <family val="2"/>
      </rPr>
      <t xml:space="preserve"> </t>
    </r>
    <r>
      <rPr>
        <b/>
        <sz val="10"/>
        <rFont val="Arial"/>
        <family val="2"/>
      </rPr>
      <t>(Highly Confidential / Filed Under Seal)</t>
    </r>
    <r>
      <rPr>
        <sz val="12"/>
        <rFont val="Arial"/>
        <family val="2"/>
      </rPr>
      <t xml:space="preserve">
For this filing to be considered Highly Confidential, additional 
submission of materials is required pursuant to Commission 
rule 4 CSR 240-3.335 and/or 4 CSR 240-3.640, Section 392.210, RSMo., and/or Section 393.140, RSMo.</t>
    </r>
  </si>
  <si>
    <t>•   If the document has been prepared by a third-party preparer, it is the responsibility of the
    company personnel attesting to the accuracy of the document to review the document before 
    submission to the Missouri Public Service Commission.</t>
  </si>
  <si>
    <t xml:space="preserve">•   You shall use the form provided by the Commission.   You may use one of the three versions 
     provided:  1) the Adobe Fillable document, 2) the Excel version, or 3) the Adobe document 
     that shall be printed and completed by hand. </t>
  </si>
  <si>
    <t>•   The Excel form is "read only". You must save or copy the file to your computer's hard drive to 
     input information into the annual report form.</t>
  </si>
  <si>
    <t xml:space="preserve">•   If additional space is needed for entering information on a page, please insert a worksheet or
    page and copy the formats or lines into the new sheet to accommodate the necessary
    information.  </t>
  </si>
  <si>
    <t xml:space="preserve">•   If you are submitting an annual report extension request, it must be on company letterhead or
    on the form provided and signed by an officer of the company.  A contact email address is also
    required for approval or rejection of the request. </t>
  </si>
  <si>
    <r>
      <t xml:space="preserve">Provide two versions of the annual report;
    </t>
    </r>
    <r>
      <rPr>
        <b/>
        <sz val="12"/>
        <rFont val="Arial"/>
        <family val="2"/>
      </rPr>
      <t>1)</t>
    </r>
    <r>
      <rPr>
        <sz val="12"/>
        <rFont val="Arial"/>
        <family val="2"/>
      </rPr>
      <t xml:space="preserve"> a Public version with the Highly Confidential information redacted (removed), and
    </t>
    </r>
    <r>
      <rPr>
        <b/>
        <sz val="12"/>
        <rFont val="Arial"/>
        <family val="2"/>
      </rPr>
      <t>2)</t>
    </r>
    <r>
      <rPr>
        <sz val="12"/>
        <rFont val="Arial"/>
        <family val="2"/>
      </rPr>
      <t xml:space="preserve"> a fully completed version to be kept as Highly Confidential with restricted access.
Below are the procedures outlining the requirements for each type of submission: </t>
    </r>
  </si>
  <si>
    <r>
      <t xml:space="preserve">• Click the orange ‘Logon’ button on the left-hand side.
• Enter your User ID and Password.
 </t>
    </r>
    <r>
      <rPr>
        <b/>
        <sz val="12"/>
        <rFont val="Arial"/>
        <family val="2"/>
      </rPr>
      <t xml:space="preserve"> </t>
    </r>
    <r>
      <rPr>
        <b/>
        <i/>
        <sz val="12"/>
        <rFont val="Arial"/>
        <family val="2"/>
      </rPr>
      <t>NOTE</t>
    </r>
    <r>
      <rPr>
        <i/>
        <sz val="12"/>
        <rFont val="Arial"/>
        <family val="2"/>
      </rPr>
      <t xml:space="preserve">: </t>
    </r>
    <r>
      <rPr>
        <sz val="12"/>
        <rFont val="Arial"/>
        <family val="2"/>
      </rPr>
      <t>Passwords are case sensitive.</t>
    </r>
  </si>
  <si>
    <t xml:space="preserve">Once your submission is complete, you will be assigned a non-case related tracking number (BARE-2012-xxxx).  Please retain this number for your records. </t>
  </si>
  <si>
    <t>Page S-4, Line 12</t>
  </si>
  <si>
    <t>Total (should match amount on Page S-4, Line 12)</t>
  </si>
  <si>
    <t>Page S-4, Line 26</t>
  </si>
  <si>
    <t>Total (should match amount on Page S-4, Line 26)</t>
  </si>
  <si>
    <t>Page S-4, Line 32</t>
  </si>
  <si>
    <t>Total (should match amount on Page S-4, Line 32)</t>
  </si>
  <si>
    <t>Page W-5, Line 13</t>
  </si>
  <si>
    <t>Total (should match amount on Page W-5, Line 13)</t>
  </si>
  <si>
    <t>Page W-5, Line 17</t>
  </si>
  <si>
    <t>Total (should match amount on Page W-5, Line 17)</t>
  </si>
  <si>
    <t>Page W-5, Line 22</t>
  </si>
  <si>
    <t>Total (should match amount on Page W-5, Line 22)</t>
  </si>
  <si>
    <t>Total (should match amount on Page S-1, Line 11)</t>
  </si>
  <si>
    <t>Please list the name, address, phone number and e-mail address of the primary licensed operator to contact concerning water plant operations:</t>
  </si>
  <si>
    <t>Please list the name, address, phone number and e-mail address of the primary licensed operator to contact concerning sewer plant operations:</t>
  </si>
  <si>
    <t>Total MO Jurisdictional Revenue (line 19 above) should match Statement of Revenue (MoPSC Assessment).</t>
  </si>
  <si>
    <t>Total MO Jurisdictional Revenue (line 22 above) should match Statement of Revenue (MoPSC Assessment).</t>
  </si>
  <si>
    <r>
      <t xml:space="preserve">TOTAL REVENUES </t>
    </r>
    <r>
      <rPr>
        <sz val="8"/>
        <rFont val="Arial"/>
        <family val="2"/>
      </rPr>
      <t>(Page W-2,  line 24)</t>
    </r>
  </si>
  <si>
    <r>
      <t xml:space="preserve">TOTAL REVENUES </t>
    </r>
    <r>
      <rPr>
        <sz val="8"/>
        <rFont val="Arial"/>
        <family val="2"/>
      </rPr>
      <t>(Page S-2,  line 21)</t>
    </r>
  </si>
  <si>
    <r>
      <t xml:space="preserve">Water Plant Held for Future Use </t>
    </r>
    <r>
      <rPr>
        <sz val="8"/>
        <rFont val="Arial"/>
        <family val="2"/>
      </rPr>
      <t>(List explanation on Page 4a)</t>
    </r>
  </si>
  <si>
    <r>
      <t xml:space="preserve">Sewer Plant Held for Future Use </t>
    </r>
    <r>
      <rPr>
        <sz val="8"/>
        <rFont val="Arial"/>
        <family val="2"/>
      </rPr>
      <t>(List explanation on Page 4a)</t>
    </r>
  </si>
  <si>
    <r>
      <t xml:space="preserve">Other Plant </t>
    </r>
    <r>
      <rPr>
        <sz val="8"/>
        <rFont val="Arial"/>
        <family val="2"/>
      </rPr>
      <t>(List explanation on Page 4a)</t>
    </r>
  </si>
  <si>
    <r>
      <t xml:space="preserve">Deferred Taxes - Other  </t>
    </r>
    <r>
      <rPr>
        <sz val="8"/>
        <rFont val="Arial"/>
        <family val="2"/>
      </rPr>
      <t>(List explanation on Page 5a)</t>
    </r>
  </si>
  <si>
    <r>
      <t xml:space="preserve">Other Liabilities (Accounts Payable, etc.)  </t>
    </r>
    <r>
      <rPr>
        <sz val="8"/>
        <rFont val="Arial"/>
        <family val="2"/>
      </rPr>
      <t>(List explanation on Page 5a)</t>
    </r>
  </si>
  <si>
    <r>
      <t xml:space="preserve">Rent Expense </t>
    </r>
    <r>
      <rPr>
        <sz val="8"/>
        <rFont val="Arial"/>
        <family val="2"/>
      </rPr>
      <t>(List explanation on Page W-1a)</t>
    </r>
  </si>
  <si>
    <r>
      <t xml:space="preserve">Other Expenses </t>
    </r>
    <r>
      <rPr>
        <sz val="8"/>
        <rFont val="Arial"/>
        <family val="2"/>
      </rPr>
      <t>(List explanation on Page W-1a)</t>
    </r>
  </si>
  <si>
    <r>
      <t xml:space="preserve">Other </t>
    </r>
    <r>
      <rPr>
        <sz val="8"/>
        <rFont val="Arial"/>
        <family val="2"/>
      </rPr>
      <t>(List explanation on page W-2a)</t>
    </r>
  </si>
  <si>
    <r>
      <t xml:space="preserve">Income from Merchandising, Jobbing &amp; Contract Work </t>
    </r>
    <r>
      <rPr>
        <sz val="8"/>
        <rFont val="Arial"/>
        <family val="2"/>
      </rPr>
      <t>(List explanation on page W-2a)</t>
    </r>
  </si>
  <si>
    <r>
      <t xml:space="preserve">Other Revenue </t>
    </r>
    <r>
      <rPr>
        <sz val="8"/>
        <rFont val="Arial"/>
        <family val="2"/>
      </rPr>
      <t>(List explanation on page W-2a)</t>
    </r>
  </si>
  <si>
    <r>
      <t xml:space="preserve">Total Operating Revenues should match Statement of Revenue </t>
    </r>
    <r>
      <rPr>
        <sz val="8"/>
        <rFont val="Arial"/>
        <family val="2"/>
      </rPr>
      <t>(MOPSC Assessment).</t>
    </r>
  </si>
  <si>
    <r>
      <t xml:space="preserve">Repairs of Water Plant - Other  </t>
    </r>
    <r>
      <rPr>
        <sz val="8"/>
        <rFont val="Arial"/>
        <family val="2"/>
      </rPr>
      <t>(List explanation on Page W-3a)</t>
    </r>
  </si>
  <si>
    <r>
      <t xml:space="preserve">Other Plant Operations Expenses </t>
    </r>
    <r>
      <rPr>
        <sz val="8"/>
        <rFont val="Calibri"/>
        <family val="2"/>
      </rPr>
      <t>(List explanation on Page W-3a)</t>
    </r>
  </si>
  <si>
    <r>
      <t xml:space="preserve">Tax Expense - Other Taxes </t>
    </r>
    <r>
      <rPr>
        <sz val="8"/>
        <rFont val="Calibri"/>
        <family val="2"/>
      </rPr>
      <t>(List explanation on Page W-3a)</t>
    </r>
  </si>
  <si>
    <r>
      <t xml:space="preserve">Other Water Source Plant </t>
    </r>
    <r>
      <rPr>
        <sz val="8"/>
        <rFont val="Arial"/>
        <family val="2"/>
      </rPr>
      <t xml:space="preserve">(List explanation on Page W-5a)  </t>
    </r>
  </si>
  <si>
    <r>
      <t xml:space="preserve">Other Power Production Equipment
 </t>
    </r>
    <r>
      <rPr>
        <sz val="8"/>
        <rFont val="Arial"/>
        <family val="2"/>
      </rPr>
      <t xml:space="preserve">(List explanation on Page W-5a)  </t>
    </r>
  </si>
  <si>
    <r>
      <t xml:space="preserve">Other Pumping Equipment </t>
    </r>
    <r>
      <rPr>
        <sz val="8"/>
        <rFont val="Arial"/>
        <family val="2"/>
      </rPr>
      <t xml:space="preserve">(List explanation on Page W-5a)  </t>
    </r>
  </si>
  <si>
    <r>
      <t xml:space="preserve">Other Tangible Property </t>
    </r>
    <r>
      <rPr>
        <sz val="8"/>
        <rFont val="Arial"/>
        <family val="2"/>
      </rPr>
      <t>(List explanation on Page W-5a)</t>
    </r>
    <r>
      <rPr>
        <sz val="10"/>
        <rFont val="Arial"/>
        <family val="2"/>
      </rPr>
      <t xml:space="preserve">                                            </t>
    </r>
  </si>
  <si>
    <r>
      <t xml:space="preserve">Rent Expense </t>
    </r>
    <r>
      <rPr>
        <sz val="8"/>
        <rFont val="Arial"/>
        <family val="2"/>
      </rPr>
      <t>(List explanation on Page S-1a)</t>
    </r>
  </si>
  <si>
    <t>Metered Sales Based onWater Usage</t>
  </si>
  <si>
    <r>
      <t xml:space="preserve">Repairs of Sewer Plant - Other </t>
    </r>
    <r>
      <rPr>
        <sz val="8"/>
        <rFont val="Calibri"/>
        <family val="2"/>
      </rPr>
      <t>(List explanation on Page S-3a)</t>
    </r>
  </si>
  <si>
    <r>
      <t xml:space="preserve">Other Plant Operations Expenses </t>
    </r>
    <r>
      <rPr>
        <sz val="8"/>
        <rFont val="Calibri"/>
        <family val="2"/>
      </rPr>
      <t>(List explanation on Page S-3a)</t>
    </r>
  </si>
  <si>
    <r>
      <t xml:space="preserve">Tax Expense - Other Taxes </t>
    </r>
    <r>
      <rPr>
        <sz val="8"/>
        <rFont val="Calibri"/>
        <family val="2"/>
      </rPr>
      <t>(List explanation on Page S-3a)</t>
    </r>
  </si>
  <si>
    <r>
      <t xml:space="preserve">Other Collection Plant Facilities </t>
    </r>
    <r>
      <rPr>
        <sz val="8"/>
        <rFont val="Arial"/>
        <family val="2"/>
      </rPr>
      <t>(List explanation on Page S-4a)</t>
    </r>
  </si>
  <si>
    <r>
      <t xml:space="preserve">Other Treatment and Disposal Plant Equipment 
</t>
    </r>
    <r>
      <rPr>
        <sz val="8"/>
        <rFont val="Arial"/>
        <family val="2"/>
      </rPr>
      <t>(List explanation on Page S-4a)</t>
    </r>
  </si>
  <si>
    <r>
      <t xml:space="preserve">Other General Equipment </t>
    </r>
    <r>
      <rPr>
        <sz val="8"/>
        <rFont val="Arial"/>
        <family val="2"/>
      </rPr>
      <t>(List explanation on Page S-4a)</t>
    </r>
  </si>
  <si>
    <t>Name of Person Holding Office</t>
  </si>
  <si>
    <t>Total No. Removed or Abandoned During the Year
(e)</t>
  </si>
  <si>
    <t>(If you hold more than one permit, please attach list.)</t>
  </si>
  <si>
    <t>Page W-5, Line 48</t>
  </si>
  <si>
    <t>Total (should match amount on Page W-5, Line 48)</t>
  </si>
  <si>
    <r>
      <t>Total Operating Revenues</t>
    </r>
    <r>
      <rPr>
        <sz val="8"/>
        <rFont val="Arial"/>
        <family val="2"/>
      </rPr>
      <t xml:space="preserve"> (From Page S-2)</t>
    </r>
  </si>
  <si>
    <r>
      <t xml:space="preserve">Plant Operations Expenses </t>
    </r>
    <r>
      <rPr>
        <sz val="8"/>
        <rFont val="Arial"/>
        <family val="2"/>
      </rPr>
      <t>(From Page S-3)</t>
    </r>
  </si>
  <si>
    <r>
      <t xml:space="preserve">Outside Services Employed (i.e., Legal, Accounting, etc.) </t>
    </r>
    <r>
      <rPr>
        <sz val="8"/>
        <rFont val="Arial"/>
        <family val="2"/>
      </rPr>
      <t>(From Page 8)</t>
    </r>
  </si>
  <si>
    <r>
      <t xml:space="preserve">Depreciation Expense </t>
    </r>
    <r>
      <rPr>
        <sz val="8"/>
        <rFont val="Arial"/>
        <family val="2"/>
      </rPr>
      <t>(From Page S-5)</t>
    </r>
  </si>
  <si>
    <r>
      <t xml:space="preserve">Amortization of Contributions in Aid of Construction </t>
    </r>
    <r>
      <rPr>
        <sz val="8"/>
        <rFont val="Arial"/>
        <family val="2"/>
      </rPr>
      <t>(Page 9)</t>
    </r>
  </si>
  <si>
    <r>
      <t xml:space="preserve">Tax Expenses </t>
    </r>
    <r>
      <rPr>
        <sz val="8"/>
        <rFont val="Arial"/>
        <family val="2"/>
      </rPr>
      <t>(From Page S-3)</t>
    </r>
  </si>
  <si>
    <r>
      <t xml:space="preserve">Other Expenses </t>
    </r>
    <r>
      <rPr>
        <sz val="8"/>
        <rFont val="Arial"/>
        <family val="2"/>
      </rPr>
      <t>(List explanation on Page S-1a)</t>
    </r>
  </si>
  <si>
    <r>
      <t xml:space="preserve">Other  </t>
    </r>
    <r>
      <rPr>
        <sz val="8"/>
        <rFont val="Arial "/>
      </rPr>
      <t>(List explanation on Page S-2a)</t>
    </r>
  </si>
  <si>
    <r>
      <t xml:space="preserve">Income from Merchandising, Jobbing &amp; Contract Work </t>
    </r>
    <r>
      <rPr>
        <sz val="8"/>
        <rFont val="Arial "/>
      </rPr>
      <t>(List explanation on Page S-2a)</t>
    </r>
  </si>
  <si>
    <r>
      <t xml:space="preserve">Other Revenue  </t>
    </r>
    <r>
      <rPr>
        <sz val="8"/>
        <rFont val="Arial "/>
      </rPr>
      <t>(List explanation on Page S-2a)</t>
    </r>
  </si>
  <si>
    <r>
      <t xml:space="preserve">Total Operating Revenues should match Statement of Revenue </t>
    </r>
    <r>
      <rPr>
        <sz val="8"/>
        <rFont val="Arial "/>
      </rPr>
      <t>(MOPSC Assessment).</t>
    </r>
  </si>
  <si>
    <t xml:space="preserve">Repairs of Sewer Plant - Other </t>
  </si>
  <si>
    <t xml:space="preserve">Other Plant Operations Expenses </t>
  </si>
  <si>
    <t xml:space="preserve">Tax Expense - Other Taxes </t>
  </si>
  <si>
    <t xml:space="preserve">Other Collection Plant Facilities </t>
  </si>
  <si>
    <t xml:space="preserve">Other Treatment &amp; Disposal Plant Equipment </t>
  </si>
  <si>
    <t xml:space="preserve">Other General Equipment </t>
  </si>
  <si>
    <t xml:space="preserve">Other </t>
  </si>
  <si>
    <t xml:space="preserve">Other Revenue </t>
  </si>
  <si>
    <t xml:space="preserve">Repairs of Water Plant - Other </t>
  </si>
  <si>
    <t xml:space="preserve">Other Water Source Plant </t>
  </si>
  <si>
    <t xml:space="preserve">Other Power Production Equipment </t>
  </si>
  <si>
    <t xml:space="preserve">Other Pumping Equipment </t>
  </si>
  <si>
    <t xml:space="preserve">Other Tangible Property </t>
  </si>
  <si>
    <t xml:space="preserve">Other Plant Operation Expenses </t>
  </si>
  <si>
    <t xml:space="preserve">Income (Merchandising, Jobbing, &amp; Contract Work) </t>
  </si>
  <si>
    <t xml:space="preserve">Deferred Taxes - Other </t>
  </si>
  <si>
    <t xml:space="preserve">Other Liabilities (Accounts Payable, etc.) </t>
  </si>
  <si>
    <t xml:space="preserve">Water Plant Held for Future Use </t>
  </si>
  <si>
    <t xml:space="preserve">Sewer Plant Held for Future Use </t>
  </si>
  <si>
    <t xml:space="preserve">Other Plant </t>
  </si>
  <si>
    <t xml:space="preserve">Other Assets </t>
  </si>
  <si>
    <t>Net Income 
(Loss: This number should be negative as it is an offset to depreciation expense)</t>
  </si>
  <si>
    <t>Net Income
(Loss: This number should be negative as it is an offset to depreciation expense)</t>
  </si>
  <si>
    <t xml:space="preserve">Total Assets should balance with Total Equity and Liabilities on Page 5 (see instructions).  Difference between 
Equity &amp; Liabilities and Assets (from Pg 5). </t>
  </si>
  <si>
    <t>DETAILED EXPLANATION OF ITEMS</t>
  </si>
  <si>
    <t>Page W-7 (Part 1</t>
  </si>
  <si>
    <t>Kind of Pipe
(i.e., cast iron, galvanized, iron, plastic, etc.)
(a)</t>
  </si>
  <si>
    <t>(See Instructions Pages II and III for more information to complete this page. )</t>
  </si>
  <si>
    <r>
      <t xml:space="preserve">This report is due to the Missouri Public Service Commission on or before </t>
    </r>
    <r>
      <rPr>
        <b/>
        <sz val="12"/>
        <rFont val="Arial"/>
        <family val="2"/>
      </rPr>
      <t xml:space="preserve">April 15th </t>
    </r>
    <r>
      <rPr>
        <sz val="12"/>
        <rFont val="Arial"/>
        <family val="2"/>
      </rPr>
      <t>and is required to be filed on a calendar year basis pursuant to the Commission rules (4 CSR 240-3.335 and/or
4 CSR 240-3.640).  Failure to file this report by the deadline of April 15, 2012, could result in penalties up to $100 for every day the report is late pursuant to Section 392.210, RSMo.</t>
    </r>
  </si>
  <si>
    <t>•   After the annual report is complete, save the file to your computer.  You may submit it
    electronically through the Commission's Electronic Filing and Information System (EFIS), as a   
    non-case related submission (see Electronic Filing Instructions on Instructions Pages 4 - 5 
    for details) or print the form, keep a copy for your records, and prepare for mailing.</t>
  </si>
  <si>
    <t>• Type of Utility – Select the utility type as which the company is certificated/registered.
   Separate submissions are required if a company has multiple certifications/registrations
   (Example:  Water and Sewer; or CLEC and IXC).
• Company – Select certificated company name. 
  Choose d/b/a name, if applicable.  This name should match the name at the top of the 
  annual report's cover page.
• Type of Submission – Select ‘Annual Report (Mo PSC)’.
• Total Missouri Jurisdictional Revenue – Enter the amount from the annual report form found
  on Page 1, Item No. 18 (Water) or Item No. 21 (Sewer).
• Report for Calendar Year - Type in 2011.
• Applicable Case No. – Leave blank.
• Date Filed – Will already be filled in.
• Click on the ‘Continue’ button.
  This will take you to the Filing/Submission Attachment screen.
• Click on ‘Browse’ – Select the file that contains the completed annual report.
• Choose the security level for your document:  Public, Highly Confidential, or Proprietary.
• Click the ‘Attach’ button.
  On screen instructions are provided for attaching more than one document.  
  Confirm that the correct document is attached before proceeding.  
• Click the ‘Done with Attach’ button.
  This will return you to the original submission screen.
• Scroll down and click on the ‘Submit’ button.</t>
  </si>
  <si>
    <t xml:space="preserve">This will complete your submission and assign a non-case related tracking number (BMAR-2012-xxxx).  Please retain this number for your records. 
</t>
  </si>
  <si>
    <r>
      <t xml:space="preserve">Sewer Amortization of CIAC </t>
    </r>
    <r>
      <rPr>
        <sz val="8"/>
        <rFont val="Arial"/>
        <family val="2"/>
      </rPr>
      <t>(From Pg. 9)</t>
    </r>
  </si>
  <si>
    <t>Excel Revised  02/01/2012</t>
  </si>
  <si>
    <t>x</t>
  </si>
  <si>
    <t xml:space="preserve">12725 W Indian School Rd, Suite D101 Avondale, AZ </t>
  </si>
  <si>
    <t>same as above</t>
  </si>
  <si>
    <t>623-935-9367</t>
  </si>
  <si>
    <t>Chris Krygier</t>
  </si>
  <si>
    <t>Avondale</t>
  </si>
  <si>
    <t>AZ</t>
  </si>
  <si>
    <t>623-298-3769</t>
  </si>
  <si>
    <t>Christopher.Krygier@libertyutilities.com</t>
  </si>
  <si>
    <t>Crystal Greene</t>
  </si>
  <si>
    <t xml:space="preserve">AZ </t>
  </si>
  <si>
    <t>623-298-3739</t>
  </si>
  <si>
    <t>Crystal.Greene@libertyutilities.com</t>
  </si>
  <si>
    <t>Director</t>
  </si>
  <si>
    <t>CFO</t>
  </si>
  <si>
    <t>Vice President</t>
  </si>
  <si>
    <t>Ian Robertson</t>
  </si>
  <si>
    <t>Greg Sorensen</t>
  </si>
  <si>
    <t>David Bronicheski</t>
  </si>
  <si>
    <t>Christopher Jarratt</t>
  </si>
  <si>
    <t>YW-2007-0650</t>
  </si>
  <si>
    <t>No employees in Missouri</t>
  </si>
  <si>
    <t>None - No inventory</t>
  </si>
  <si>
    <t>January</t>
  </si>
  <si>
    <t>February</t>
  </si>
  <si>
    <t>March</t>
  </si>
  <si>
    <t>April</t>
  </si>
  <si>
    <t>May</t>
  </si>
  <si>
    <t>June</t>
  </si>
  <si>
    <t>July</t>
  </si>
  <si>
    <t>August</t>
  </si>
  <si>
    <t>September</t>
  </si>
  <si>
    <t>October</t>
  </si>
  <si>
    <t>November</t>
  </si>
  <si>
    <t>December</t>
  </si>
  <si>
    <t>Peerless Well Pump</t>
  </si>
  <si>
    <t>3 - High Service Pumps at TCR 15HP</t>
  </si>
  <si>
    <t>High Service Pump at TCR 30HP</t>
  </si>
  <si>
    <t>3 - High Service Pumps at HHR 60HP</t>
  </si>
  <si>
    <t>3 - High Service Pumps at HHR 100HP</t>
  </si>
  <si>
    <t>2 - High Service Pumps at OMR 40HP</t>
  </si>
  <si>
    <t>350 GPM</t>
  </si>
  <si>
    <t>670 GPM</t>
  </si>
  <si>
    <t>260 GPM</t>
  </si>
  <si>
    <t>300 GPM</t>
  </si>
  <si>
    <t>365 GPM</t>
  </si>
  <si>
    <t>850 GPM</t>
  </si>
  <si>
    <t>?GPM EACH</t>
  </si>
  <si>
    <t>490 GPM EACH</t>
  </si>
  <si>
    <t>Deep OMR</t>
  </si>
  <si>
    <t>Deep HHR</t>
  </si>
  <si>
    <t>Deep TCR</t>
  </si>
  <si>
    <t>Steel</t>
  </si>
  <si>
    <t>1915'  10"</t>
  </si>
  <si>
    <t>Chlorine Gas</t>
  </si>
  <si>
    <t>.75 per #</t>
  </si>
  <si>
    <t>250 #'s</t>
  </si>
  <si>
    <t>1140'  12"</t>
  </si>
  <si>
    <t>1023'  8"</t>
  </si>
  <si>
    <t>800'  12"</t>
  </si>
  <si>
    <t>175 #'s</t>
  </si>
  <si>
    <t>275 #'s</t>
  </si>
  <si>
    <t>200 #'s</t>
  </si>
  <si>
    <t>PVC</t>
  </si>
  <si>
    <t>10"</t>
  </si>
  <si>
    <t>8"</t>
  </si>
  <si>
    <t>6"</t>
  </si>
  <si>
    <t>4"</t>
  </si>
  <si>
    <t>2"</t>
  </si>
  <si>
    <t>3/4"</t>
  </si>
  <si>
    <t>2" pvc</t>
  </si>
  <si>
    <t>OMR (#4 Constructed in Place) - Extended Aeration/Chlorination/Sludge Holding Tank. TCR (Package Unit) - Primary screening/Flow equalization/extended aeration/aerated sludge holding</t>
  </si>
  <si>
    <t>OMR .09 MGD/ TCR .05 MGD</t>
  </si>
  <si>
    <t>17%/ 76%</t>
  </si>
  <si>
    <t>OMR - Extended aeration/chlorination/Sludge Holding Tank.  TCR - Primary screening/flow equalization/extended aeration/aerated sludge holding</t>
  </si>
  <si>
    <t>Sludge is retained in the sludge holding tank and then hauled by a contract hauler</t>
  </si>
  <si>
    <t>Hauled by a contract hauler</t>
  </si>
  <si>
    <t>6"8",10</t>
  </si>
  <si>
    <t>see next page</t>
  </si>
  <si>
    <t>Location</t>
  </si>
  <si>
    <t>Hydromatic 2.0 HP 1 1/4 Submersible</t>
  </si>
  <si>
    <t>#1 - NW Corner Bldg B - Streamside</t>
  </si>
  <si>
    <t>#2 - NE Corner Bldg E - Watersbluff</t>
  </si>
  <si>
    <t>Hydromatic 5.0 HP 1 1/4 Submersible</t>
  </si>
  <si>
    <t>#3 - Behind laundry - Campground</t>
  </si>
  <si>
    <t>#4 - Behind Timeshare - Unit #117</t>
  </si>
  <si>
    <t>#5 - Below Timeshare - Unit #45</t>
  </si>
  <si>
    <t>Pump#1 Electric - Submersible  Year installed 1998</t>
  </si>
  <si>
    <t>#1 - S of Entrance @ Member Registration E of Hwy 67</t>
  </si>
  <si>
    <t>Pump#2 Electric - Submersible  Year installed 1998</t>
  </si>
  <si>
    <t>Pump#1 Ebara - 230 V 60 Hz 3 phase power (1999)</t>
  </si>
  <si>
    <t xml:space="preserve">#2 - W of 1st Timeshare BLdg </t>
  </si>
  <si>
    <t>42'</t>
  </si>
  <si>
    <t>Pump#2 Ebara - 230 V 60 Hz 3 phase power (1999)</t>
  </si>
  <si>
    <t>Pump #1 Peabody Barnes Submersible 230V 3phase 2003</t>
  </si>
  <si>
    <t>#3 - WWTP, North of Lake</t>
  </si>
  <si>
    <t>Pump #2 Peabody Barnes Submersible 230V 3phase 2003</t>
  </si>
  <si>
    <t>Pump#1 Electric - Submersible</t>
  </si>
  <si>
    <t>#4 - S end of Lake @ A-Frames</t>
  </si>
  <si>
    <t>Pump#2 Electric - Submersible</t>
  </si>
  <si>
    <t>Equipment Rental</t>
  </si>
  <si>
    <t>Equipment Rental expense</t>
  </si>
  <si>
    <t>Accounts Receivable</t>
  </si>
  <si>
    <t>Accrued Receivables</t>
  </si>
  <si>
    <t>Prepaids</t>
  </si>
  <si>
    <t xml:space="preserve">Deferred </t>
  </si>
  <si>
    <t>Goodwill</t>
  </si>
  <si>
    <t>Accounts Payable</t>
  </si>
  <si>
    <t>Accrued Expenses</t>
  </si>
  <si>
    <t>Unapplied Payments</t>
  </si>
  <si>
    <t>Liberty Water Co.</t>
  </si>
  <si>
    <t>Algonquin Water Resources of America</t>
  </si>
  <si>
    <t>Interco - Note</t>
  </si>
  <si>
    <t>unknown</t>
  </si>
  <si>
    <t>Bradley Jordan Total</t>
  </si>
  <si>
    <t>Brian Hamrick Total</t>
  </si>
  <si>
    <t>Century Tel Total</t>
  </si>
  <si>
    <t>Cintas Corporation Total</t>
  </si>
  <si>
    <t>City of Branson Total</t>
  </si>
  <si>
    <t>CT Corporation System Total</t>
  </si>
  <si>
    <t>Curtis Vinson Total</t>
  </si>
  <si>
    <t>Evans Enterprises, Inc.</t>
  </si>
  <si>
    <t>Gene Estoll Total</t>
  </si>
  <si>
    <t>Granite Telecom Total</t>
  </si>
  <si>
    <t>Hyper Graphix Inc. Total</t>
  </si>
  <si>
    <t>Joe Wilkins Total</t>
  </si>
  <si>
    <t>Kenco Fire Equipment Inc. Total</t>
  </si>
  <si>
    <t>Professional Answering Service Total</t>
  </si>
  <si>
    <t>RK Water Operations LLC Total</t>
  </si>
  <si>
    <t>Sean Lonegran Total</t>
  </si>
  <si>
    <t>Shana Mahaffey Total</t>
  </si>
  <si>
    <t>Staples Business Advantage Total</t>
  </si>
  <si>
    <t>Grand Total</t>
  </si>
  <si>
    <t>Bonerjas Pastor Total</t>
  </si>
  <si>
    <t>Candy J. Watts Total</t>
  </si>
  <si>
    <t>Candy Watts Total</t>
  </si>
  <si>
    <t>Crystal Greene Total</t>
  </si>
  <si>
    <t>Dan M. Harmon Living Trust dba Arvest Trust Company Total</t>
  </si>
  <si>
    <t>DPC Enterprises, LP Total</t>
  </si>
  <si>
    <t>Empire District - Noel Total</t>
  </si>
  <si>
    <t>Ernest Hartley Total</t>
  </si>
  <si>
    <t>Felix S Ramirez Total</t>
  </si>
  <si>
    <t>Franklin County Lab, LLC Total</t>
  </si>
  <si>
    <t>GE Fleet Services Total</t>
  </si>
  <si>
    <t>Jeanie Richard Total</t>
  </si>
  <si>
    <t>Jeffrey S. Todd Total</t>
  </si>
  <si>
    <t>Juana Montero Total</t>
  </si>
  <si>
    <t>Linda Byrd Total</t>
  </si>
  <si>
    <t>Lowe's Total</t>
  </si>
  <si>
    <t>Missouri Department of Revenue Total</t>
  </si>
  <si>
    <t>Molly Carroll Total</t>
  </si>
  <si>
    <t>Municipal Water Works Supply Total</t>
  </si>
  <si>
    <t>NEC, Inc. Total</t>
  </si>
  <si>
    <t>Noel Water Company Total</t>
  </si>
  <si>
    <t>Ozark Telephone Company Total</t>
  </si>
  <si>
    <t>Safety Gear Depot, LLC Total</t>
  </si>
  <si>
    <t>Southern Union Company dba Missouri Gas Energy Total</t>
  </si>
  <si>
    <t>Steve Olds Total</t>
  </si>
  <si>
    <t>Thura White Total</t>
  </si>
  <si>
    <t>Upscale Office Cleaning Total</t>
  </si>
  <si>
    <t>Verizon Wireless Total</t>
  </si>
  <si>
    <t>Well #1</t>
  </si>
  <si>
    <t>Well #3</t>
  </si>
  <si>
    <t>Well #4</t>
  </si>
  <si>
    <t>Well #5</t>
  </si>
  <si>
    <t>Well #7</t>
  </si>
  <si>
    <t>15 HP 6" Submersible - Cedar Hill</t>
  </si>
  <si>
    <t>5 HP Grund/Fos - Crestview</t>
  </si>
  <si>
    <t>10 HP Webtrol - High Ridge</t>
  </si>
  <si>
    <t>1.5 HP Webtrol - Hillshine Acres</t>
  </si>
  <si>
    <t>7.5 Grund/FOS - Lakewood</t>
  </si>
  <si>
    <t>10 HP Aemotor - Scotsdale</t>
  </si>
  <si>
    <t>5 HP Aemotor - Warren Woods</t>
  </si>
  <si>
    <t>Deep</t>
  </si>
  <si>
    <t>Drilled</t>
  </si>
  <si>
    <t>.8"-1225'</t>
  </si>
  <si>
    <t>C1</t>
  </si>
  <si>
    <t>8"-1113'</t>
  </si>
  <si>
    <t>8"-1110'</t>
  </si>
  <si>
    <t>10"-800'</t>
  </si>
  <si>
    <t>300 gpm</t>
  </si>
  <si>
    <t>82 gpm</t>
  </si>
  <si>
    <t>70 gpm</t>
  </si>
  <si>
    <t>15 gpm</t>
  </si>
  <si>
    <t>60 gpm</t>
  </si>
  <si>
    <t>50 HP</t>
  </si>
  <si>
    <t>75 HP</t>
  </si>
  <si>
    <t>51 HP</t>
  </si>
  <si>
    <t>52 HP</t>
  </si>
  <si>
    <t>53 HP</t>
  </si>
  <si>
    <t>5/8</t>
  </si>
  <si>
    <t>2",4",6",8"</t>
  </si>
  <si>
    <t>2",4",6"</t>
  </si>
  <si>
    <t>2" &amp; 8"</t>
  </si>
  <si>
    <t>2",2",3",4",6",8-10"</t>
  </si>
  <si>
    <t>GALVANIZED, PVC, CAST IRON</t>
  </si>
  <si>
    <t>UNKNOWN</t>
  </si>
  <si>
    <t>Two acquisitions took place - Noel Water Company $900,945.14 &amp; KMB Water $351,677.00</t>
  </si>
  <si>
    <t>Originating Master Name</t>
  </si>
  <si>
    <t>Cindy's Janitorial Cleaning Ser Total</t>
  </si>
  <si>
    <t>Stanton Gilliam dba Constructio Total</t>
  </si>
  <si>
    <t>Missouri Department Of Natural Total</t>
  </si>
  <si>
    <t>Missouri Rural Water Associatio Total</t>
  </si>
  <si>
    <t>A Bluebook Total</t>
  </si>
  <si>
    <t>Staples Biness Advantage Total</t>
  </si>
  <si>
    <t>Qwest Corporation dba Century L Total</t>
  </si>
  <si>
    <t>Waterwork Specialties</t>
  </si>
  <si>
    <t>Hurst - Roche Engineers</t>
  </si>
  <si>
    <t>Joanne Nichols</t>
  </si>
  <si>
    <t>L &amp; J Pumping</t>
  </si>
  <si>
    <t>H2O Technical Services</t>
  </si>
  <si>
    <t>MMET, inc.</t>
  </si>
  <si>
    <t>Misc from prior years in WIP</t>
  </si>
  <si>
    <t>Paid off monthly/quarterly</t>
  </si>
  <si>
    <t>Amount was reported incorrectly for Repairs of Sewer Plant - Other $284,852.14</t>
  </si>
  <si>
    <t>Rental of Building</t>
  </si>
  <si>
    <t>Roger Mullis</t>
  </si>
  <si>
    <t>Contract Services - See 8a</t>
  </si>
  <si>
    <t>8357 Windrock Lane</t>
  </si>
  <si>
    <t>Harrison</t>
  </si>
  <si>
    <t xml:space="preserve">AR </t>
  </si>
  <si>
    <t>870-437-5353</t>
  </si>
  <si>
    <t>AR</t>
  </si>
  <si>
    <t>Ground Storage - TCR</t>
  </si>
  <si>
    <t>(2) Ground Storage tanks - HH</t>
  </si>
  <si>
    <t>(2) Pneumatic Pressure Tanks - HH</t>
  </si>
  <si>
    <t>Pneumatic Pressure Tank - TCR</t>
  </si>
  <si>
    <t>Ground Storage - OMR</t>
  </si>
  <si>
    <t>Pneumatic Pressure Tank - OMR</t>
  </si>
  <si>
    <t>Well #3 - Noel</t>
  </si>
  <si>
    <t>Well #2 - Noel</t>
  </si>
  <si>
    <t>Underground Storage - Noel</t>
  </si>
  <si>
    <t>NONE (All equity reinvestment)</t>
  </si>
  <si>
    <t>Noel Water Co. - Red Wood Development</t>
  </si>
  <si>
    <t>Warren Woods Subdivision</t>
  </si>
  <si>
    <t>Crestview Subdivision</t>
  </si>
  <si>
    <t>Piffel Excavating replacements in Hillshine &amp; Crestview</t>
  </si>
  <si>
    <t>KMB Utility Corporation - Plant in Service at May 31, 2011</t>
  </si>
  <si>
    <t>Plant in Service</t>
  </si>
  <si>
    <r>
      <t>Plant Additions</t>
    </r>
    <r>
      <rPr>
        <b/>
        <vertAlign val="superscript"/>
        <sz val="11"/>
        <color theme="1"/>
        <rFont val="Calibri"/>
        <family val="2"/>
        <scheme val="minor"/>
      </rPr>
      <t>2</t>
    </r>
  </si>
  <si>
    <t>Annual Report</t>
  </si>
  <si>
    <t>Variance</t>
  </si>
  <si>
    <t>FERC Acct</t>
  </si>
  <si>
    <t>Account Description</t>
  </si>
  <si>
    <r>
      <t>at 12/31/2010</t>
    </r>
    <r>
      <rPr>
        <b/>
        <vertAlign val="superscript"/>
        <sz val="11"/>
        <color theme="1"/>
        <rFont val="Calibri"/>
        <family val="2"/>
        <scheme val="minor"/>
      </rPr>
      <t xml:space="preserve">1 </t>
    </r>
  </si>
  <si>
    <t>1/1/2011 - 5/31/2011</t>
  </si>
  <si>
    <t>at 5/31/2011</t>
  </si>
  <si>
    <t>Other Water Source Plant *</t>
  </si>
  <si>
    <t>Other Power Production Equipment *</t>
  </si>
  <si>
    <t>Other Pumping Equipment *</t>
  </si>
  <si>
    <t>Note:  USOA CLASS  B and C are the same</t>
  </si>
  <si>
    <t>Total Water Plant</t>
  </si>
  <si>
    <r>
      <t xml:space="preserve">1  </t>
    </r>
    <r>
      <rPr>
        <sz val="11"/>
        <color theme="1"/>
        <rFont val="Calibri"/>
        <family val="2"/>
        <scheme val="minor"/>
      </rPr>
      <t>Information obtained from KMB Utility Corporation's CY2010 Annual Report to the Missouri Public Service Commission, BMAR-2010-0630 (water)</t>
    </r>
  </si>
  <si>
    <r>
      <t xml:space="preserve">2  </t>
    </r>
    <r>
      <rPr>
        <sz val="11"/>
        <color theme="1"/>
        <rFont val="Calibri"/>
        <family val="2"/>
        <scheme val="minor"/>
      </rPr>
      <t>Information obtained from books and records of KMB Utility Corporation for the period 1/1/2011 through 5/31/2011.  See Tab:  Plant Additions</t>
    </r>
  </si>
  <si>
    <t>KMB Utility Corporation-  Depreciation Reserve at May 31, 2011</t>
  </si>
  <si>
    <t>Depreciation Reserve</t>
  </si>
  <si>
    <t>Depreciation</t>
  </si>
  <si>
    <t>Depr Reserve</t>
  </si>
  <si>
    <t>Depr Reserve on Plant Adds</t>
  </si>
  <si>
    <t>Total Depr Reserve</t>
  </si>
  <si>
    <r>
      <t>at 12/31/2010</t>
    </r>
    <r>
      <rPr>
        <b/>
        <vertAlign val="superscript"/>
        <sz val="11"/>
        <color theme="1"/>
        <rFont val="Calibri"/>
        <family val="2"/>
        <scheme val="minor"/>
      </rPr>
      <t>1</t>
    </r>
  </si>
  <si>
    <r>
      <t>Rate</t>
    </r>
    <r>
      <rPr>
        <b/>
        <vertAlign val="superscript"/>
        <sz val="11"/>
        <color theme="1"/>
        <rFont val="Calibri"/>
        <family val="2"/>
        <scheme val="minor"/>
      </rPr>
      <t>2</t>
    </r>
  </si>
  <si>
    <r>
      <t>1/1/2011-5/31/2011</t>
    </r>
    <r>
      <rPr>
        <b/>
        <vertAlign val="superscript"/>
        <sz val="11"/>
        <color theme="1"/>
        <rFont val="Calibri"/>
        <family val="2"/>
        <scheme val="minor"/>
      </rPr>
      <t>3</t>
    </r>
  </si>
  <si>
    <t>Total Water Depreciation Reserve</t>
  </si>
  <si>
    <r>
      <t xml:space="preserve">2  </t>
    </r>
    <r>
      <rPr>
        <sz val="11"/>
        <color theme="1"/>
        <rFont val="Calibri"/>
        <family val="2"/>
        <scheme val="minor"/>
      </rPr>
      <t>These depreciation rates represent the rates approved by the Commission in KMB Utility Corporation's most recent rate case, Case No. WR-2010-0345.</t>
    </r>
  </si>
  <si>
    <r>
      <t xml:space="preserve">3  </t>
    </r>
    <r>
      <rPr>
        <sz val="11"/>
        <color theme="1"/>
        <rFont val="Calibri"/>
        <family val="2"/>
        <scheme val="minor"/>
      </rPr>
      <t>Information obtained from books and records of KMB Utility Corporation for the period 1/1/2011 through 5/31/2011.  See Tab:  Plant Additions</t>
    </r>
  </si>
  <si>
    <t>KMB Utility Corporation - Total Sewer Plant in Service at May 31, 2011</t>
  </si>
  <si>
    <t>Other Collection Plant Facilities *</t>
  </si>
  <si>
    <t>Other Treatment and Disposal Plant Equipment *</t>
  </si>
  <si>
    <t>Other General Equipment *</t>
  </si>
  <si>
    <r>
      <t xml:space="preserve">1  </t>
    </r>
    <r>
      <rPr>
        <sz val="11"/>
        <color theme="1"/>
        <rFont val="Calibri"/>
        <family val="2"/>
        <scheme val="minor"/>
      </rPr>
      <t>Information obtained from KMB Utility Corporation's CY2010 Annual Report to the Missouri Public Service Commission, BMAR-2010-0631 (sewer)</t>
    </r>
  </si>
  <si>
    <t>Total Sewer Plant Depreciation Reserve as of May 31, 2011</t>
  </si>
  <si>
    <t xml:space="preserve">Noel Water Company </t>
  </si>
  <si>
    <t>Plant Analysis from June 30, 2009 through May 31, 2011</t>
  </si>
  <si>
    <t>Acquisition Case No. WO-2011-0328</t>
  </si>
  <si>
    <t>Rate Case No. WR-2009-0395</t>
  </si>
  <si>
    <t>USOA</t>
  </si>
  <si>
    <t>Rate Case</t>
  </si>
  <si>
    <t xml:space="preserve">Account </t>
  </si>
  <si>
    <t>Dep.</t>
  </si>
  <si>
    <t>Total Plant</t>
  </si>
  <si>
    <t>Adjustments</t>
  </si>
  <si>
    <t>Adjusted Plant</t>
  </si>
  <si>
    <t>Plant Additions</t>
  </si>
  <si>
    <t xml:space="preserve">Date of </t>
  </si>
  <si>
    <t>Date of</t>
  </si>
  <si>
    <t>Number</t>
  </si>
  <si>
    <t>Rate</t>
  </si>
  <si>
    <t>June 30, 2009</t>
  </si>
  <si>
    <t>June-Dec 2009</t>
  </si>
  <si>
    <t>Addition</t>
  </si>
  <si>
    <t>Ending 2009</t>
  </si>
  <si>
    <t>Calendar 2010</t>
  </si>
  <si>
    <t>Ending 2010</t>
  </si>
  <si>
    <t>Jan-May 2011</t>
  </si>
  <si>
    <t>Ending May 2011</t>
  </si>
  <si>
    <t>INTANGIBLE PLANT</t>
  </si>
  <si>
    <t xml:space="preserve">Miscellaneous Intangible Plant </t>
  </si>
  <si>
    <t>Total Intangible Plant</t>
  </si>
  <si>
    <t>SOURCE OF SUPPLY PLANT</t>
  </si>
  <si>
    <t>Total Source of Supply Plant</t>
  </si>
  <si>
    <t>PUMPING PLANT</t>
  </si>
  <si>
    <t>3/22/2011</t>
  </si>
  <si>
    <t>Submersible Pumping Equipment</t>
  </si>
  <si>
    <t>5/25/2011</t>
  </si>
  <si>
    <t>High Service or Booster Pumping Equipment</t>
  </si>
  <si>
    <t>Total Pumping Plant</t>
  </si>
  <si>
    <t xml:space="preserve">WATER TREATMENT PLANT </t>
  </si>
  <si>
    <t>Total Water Treatment Plant</t>
  </si>
  <si>
    <t>TRANSMISSION &amp; DISTRIBUTION PLANT</t>
  </si>
  <si>
    <t>Distribution Resivoirs and Standpipes</t>
  </si>
  <si>
    <t>Meters - Bronze Chamber</t>
  </si>
  <si>
    <t>2/8/2011</t>
  </si>
  <si>
    <t>Meter Installations - Bronze</t>
  </si>
  <si>
    <t>5/17/2011</t>
  </si>
  <si>
    <t>Total Transmission &amp; Distribution Plant</t>
  </si>
  <si>
    <t xml:space="preserve">GENERAL PLANT </t>
  </si>
  <si>
    <t>Office Furniture &amp; Equipment</t>
  </si>
  <si>
    <t>Tools &amp; Shop Equipment</t>
  </si>
  <si>
    <t>Power Equipment</t>
  </si>
  <si>
    <t>Total General Plant</t>
  </si>
  <si>
    <t>Additions to Reserve</t>
  </si>
  <si>
    <t>Total Reserve</t>
  </si>
  <si>
    <t>Adjusted Reserve</t>
  </si>
  <si>
    <t>On June 30 Plant</t>
  </si>
  <si>
    <t>On Plant Additions</t>
  </si>
  <si>
    <t>On 2009 Plant</t>
  </si>
  <si>
    <t>On 2010 Plant</t>
  </si>
  <si>
    <t>Jan-Dec 2010</t>
  </si>
  <si>
    <t>Total Intangible Plant Reserve</t>
  </si>
  <si>
    <t>Total Source of Supply Plant Reserve</t>
  </si>
  <si>
    <t>Total Pumping Plant Reserve</t>
  </si>
  <si>
    <t>Total Water Treatment Plant Reserve</t>
  </si>
  <si>
    <t>Total Transmission &amp; Distribution Plant Reserve</t>
  </si>
  <si>
    <t>Total General Plant Reserve</t>
  </si>
  <si>
    <t>Total Accumulated Reserve</t>
  </si>
  <si>
    <t>Other Collection Plant - Cotner Electric at Cape Rock Village Subdivision</t>
  </si>
  <si>
    <t>From Page 9 of Annual Report</t>
  </si>
  <si>
    <r>
      <t xml:space="preserve">Balance at First of Year (Total of Amortization </t>
    </r>
    <r>
      <rPr>
        <i/>
        <sz val="11"/>
        <color theme="1"/>
        <rFont val="Calibri"/>
        <family val="2"/>
      </rPr>
      <t>not</t>
    </r>
    <r>
      <rPr>
        <sz val="11"/>
        <color theme="1"/>
        <rFont val="Calibri"/>
        <family val="2"/>
      </rPr>
      <t xml:space="preserve"> Total of CIAC line 3)</t>
    </r>
  </si>
  <si>
    <t>0.00%</t>
  </si>
  <si>
    <t>Sources:</t>
  </si>
  <si>
    <t>Line 19 - Case No. WR-2006-0425 effective March 23, 2007
Lines 20, 22 - 2007 Annual Report</t>
  </si>
  <si>
    <t>Lines 20, 22 - 2008 Annual Report; Line 20 high because negative intangibles (Acct 304) reported in 2007 removed.</t>
  </si>
  <si>
    <t>Lines 20, 22 - 2009 Annual Report</t>
  </si>
  <si>
    <t>Lines 20, 22 - 2010 Annual Report</t>
  </si>
  <si>
    <t>Line 19 - includes additions to CIAC in 2011</t>
  </si>
  <si>
    <t>DNR Permit List:</t>
  </si>
  <si>
    <t>Holiday Hills</t>
  </si>
  <si>
    <t>PWS 5190947</t>
  </si>
  <si>
    <t>Ozark Mountain</t>
  </si>
  <si>
    <t>PSW 5198285</t>
  </si>
  <si>
    <t>Timber Creek</t>
  </si>
  <si>
    <t>PWS 6191991</t>
  </si>
  <si>
    <t>Noel</t>
  </si>
  <si>
    <t>PWS 577101</t>
  </si>
  <si>
    <t>PWS 577103</t>
  </si>
  <si>
    <t>PWS 577104</t>
  </si>
  <si>
    <t>PWS 577105</t>
  </si>
  <si>
    <t>PWS 577106</t>
  </si>
  <si>
    <t>PWS 577107</t>
  </si>
  <si>
    <t>KMB</t>
  </si>
  <si>
    <t>PWS 6036049</t>
  </si>
  <si>
    <t>PWS 6036060</t>
  </si>
  <si>
    <t>PWS 6036062</t>
  </si>
  <si>
    <t>PWS 6036074</t>
  </si>
  <si>
    <t>PWS 603615</t>
  </si>
  <si>
    <t>PWS 604252</t>
  </si>
  <si>
    <t>MO-0056332</t>
  </si>
  <si>
    <t>See Page 2a</t>
  </si>
  <si>
    <t>W A T E R   P L A N T - I N - S E R V I C E</t>
  </si>
  <si>
    <t xml:space="preserve"> D E P R E C I A T I O N   R E S E R V E   -   W A T E R   U T I L I T Y   P L A N T</t>
  </si>
  <si>
    <t>Liberty Water Plant Balance at Beg of Year (12/31/2010)
-(c)-</t>
  </si>
  <si>
    <t>KMB Utility Additions During the Year (5/31/2011)
(d)</t>
  </si>
  <si>
    <t>Noel Water Additions During the Year (5/31/2011)
(e)</t>
  </si>
  <si>
    <t>Liberty Water Additions During the Year
(f)</t>
  </si>
  <si>
    <t>Liberty Water Retirements During the Year
(g)</t>
  </si>
  <si>
    <t>Plant in Service Balance at EOY (c+d+e+f-g)
(h)</t>
  </si>
  <si>
    <t>Annual Depreciation Rate
(i)</t>
  </si>
  <si>
    <t>KMB Utility Annual Depreciation Rate
(j)</t>
  </si>
  <si>
    <t>Liberty Water Annual Depr Expense
(c * i)
(k)</t>
  </si>
  <si>
    <t>KMB Utility Depr Expense (6/1 - 12/31/11)
(d * j / 12 * 7)
(l)</t>
  </si>
  <si>
    <t>Noel Water Depr Expense
(6/1 - 12/31/11)
(e* i / 12 * 7)
(m)</t>
  </si>
  <si>
    <t>Liberty Water Adds/Retires Annual Depr Expense
(n)</t>
  </si>
  <si>
    <t>Annual Depreciation Expense
(k + l + m + n)
(o)</t>
  </si>
  <si>
    <t>Liberty Water Reserve Balance at Beg of Year (12/31/2010)
(p)</t>
  </si>
  <si>
    <t>KMB Utility Reserve Balance at 5/31/2011
(q)</t>
  </si>
  <si>
    <t>Noel Water Reserve Balance at 5/31/2011
-(r)-</t>
  </si>
  <si>
    <t>Reserve Balance at EOY
(o + p + q + r)
(s)</t>
  </si>
  <si>
    <t>Total Plant at May 31, 2011</t>
  </si>
  <si>
    <t>S E W E R   P L A N T - I N - S E R V I C E</t>
  </si>
  <si>
    <t xml:space="preserve"> D E P R E C I A T I O N   R E S E R V E   -   S E W E R   U T I L I T Y   P L A N T</t>
  </si>
  <si>
    <t>Liberty Water Additions During the Year
(e)</t>
  </si>
  <si>
    <t>Liberty Water Retirements During the Year
(f)</t>
  </si>
  <si>
    <t>Plant in Service Balance at EOY (c+d+e-f)
(g)</t>
  </si>
  <si>
    <t>Annual Depreciation Rate
(h)</t>
  </si>
  <si>
    <t>KMB Utility Annual Depreciation Rate
(i)</t>
  </si>
  <si>
    <t>Liberty Water Annual Depr Expense
(c * h)
(j)</t>
  </si>
  <si>
    <t>KMB Utility Depr Expense (6/1 - 12/31/11)
(d * i / 12 * 7)
(k)</t>
  </si>
  <si>
    <t>Liberty Water Adds/Retires Annual Depr Expense
(l)</t>
  </si>
  <si>
    <t>Annual Depreciation Expense
(j + k + l)
(m)</t>
  </si>
  <si>
    <t>Liberty Water Reserve Balance at Beg of Year (12/31/2010)
(n)</t>
  </si>
  <si>
    <t>KMB Utility Reserve Balance at 5/31/2011
(o)</t>
  </si>
  <si>
    <t>Reserve Balance at EOY
(m + n + o)
(p)</t>
  </si>
  <si>
    <t>Liberty Water Admin Total</t>
  </si>
  <si>
    <t>Liberty Water Labor Total</t>
  </si>
  <si>
    <t>Arizona</t>
  </si>
  <si>
    <t>Maricopa</t>
  </si>
  <si>
    <t>Vice-President and General Manager</t>
  </si>
  <si>
    <t>12725 W. Indian School Road, Suite D101, Avondale, AZ 85392, 623.935.9367</t>
  </si>
  <si>
    <t>Algonquin Water Resources of Missouri, LLC dba Liberty Utilities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</si>
</sst>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lt;=9999999]###\-####;\(###\)\ ###\-####"/>
    <numFmt numFmtId="165" formatCode="00000"/>
    <numFmt numFmtId="166" formatCode="_(* #,##0_);_(* \(#,##0\);_(* &quot;-&quot;??_);_(@_)"/>
    <numFmt numFmtId="167" formatCode="m/d/yy;@"/>
    <numFmt numFmtId="168" formatCode="_(* #,##0.0_);_(* \(#,##0.0\);_(* &quot;-&quot;??_);_(@_)"/>
    <numFmt numFmtId="169" formatCode="0.0_);\(0.0\)"/>
    <numFmt numFmtId="170" formatCode="&quot;$&quot;#,##0.00"/>
    <numFmt numFmtId="171" formatCode="0.000"/>
    <numFmt numFmtId="172" formatCode="m/d/yyyy;@"/>
  </numFmts>
  <fonts count="78">
    <font>
      <sz val="11"/>
      <color theme="1"/>
      <name val="Calibri"/>
      <family val="2"/>
      <scheme val="minor"/>
    </font>
    <font>
      <sz val="11"/>
      <color indexed="8"/>
      <name val="Calibri"/>
      <family val="2"/>
    </font>
    <font>
      <sz val="10"/>
      <name val="Arial"/>
      <family val="2"/>
    </font>
    <font>
      <sz val="10"/>
      <name val="Times New Roman"/>
      <family val="1"/>
    </font>
    <font>
      <b/>
      <sz val="12"/>
      <name val="Arial"/>
      <family val="2"/>
    </font>
    <font>
      <sz val="12"/>
      <name val="Arial"/>
      <family val="2"/>
    </font>
    <font>
      <sz val="16"/>
      <name val="Arial"/>
      <family val="2"/>
    </font>
    <font>
      <b/>
      <sz val="11"/>
      <name val="Arial"/>
      <family val="2"/>
    </font>
    <font>
      <sz val="14"/>
      <name val="Arial"/>
      <family val="2"/>
    </font>
    <font>
      <b/>
      <sz val="14"/>
      <name val="Arial"/>
      <family val="2"/>
    </font>
    <font>
      <sz val="10.5"/>
      <name val="Arial"/>
      <family val="2"/>
    </font>
    <font>
      <sz val="10"/>
      <name val="Arial"/>
      <family val="2"/>
    </font>
    <font>
      <b/>
      <u/>
      <sz val="12"/>
      <name val="Arial"/>
      <family val="2"/>
    </font>
    <font>
      <sz val="11"/>
      <name val="Arial"/>
      <family val="2"/>
    </font>
    <font>
      <b/>
      <sz val="10"/>
      <name val="Arial"/>
      <family val="2"/>
    </font>
    <font>
      <sz val="8"/>
      <name val="Arial"/>
      <family val="2"/>
    </font>
    <font>
      <b/>
      <u/>
      <sz val="14"/>
      <name val="Arial"/>
      <family val="2"/>
    </font>
    <font>
      <u/>
      <sz val="12"/>
      <name val="Arial"/>
      <family val="2"/>
    </font>
    <font>
      <b/>
      <u/>
      <sz val="13"/>
      <name val="Arial"/>
      <family val="2"/>
    </font>
    <font>
      <sz val="13"/>
      <name val="Arial"/>
      <family val="2"/>
    </font>
    <font>
      <b/>
      <i/>
      <sz val="12"/>
      <name val="Arial"/>
      <family val="2"/>
    </font>
    <font>
      <i/>
      <u/>
      <sz val="12"/>
      <name val="Arial"/>
      <family val="2"/>
    </font>
    <font>
      <i/>
      <sz val="12"/>
      <name val="Arial"/>
      <family val="2"/>
    </font>
    <font>
      <b/>
      <u/>
      <sz val="10"/>
      <name val="Arial"/>
      <family val="2"/>
    </font>
    <font>
      <u/>
      <sz val="10"/>
      <name val="Arial"/>
      <family val="2"/>
    </font>
    <font>
      <b/>
      <i/>
      <sz val="10"/>
      <name val="Arial"/>
      <family val="2"/>
    </font>
    <font>
      <b/>
      <sz val="8"/>
      <name val="Arial"/>
      <family val="2"/>
    </font>
    <font>
      <sz val="9"/>
      <name val="Arial"/>
      <family val="2"/>
    </font>
    <font>
      <b/>
      <sz val="9"/>
      <name val="Arial"/>
      <family val="2"/>
    </font>
    <font>
      <i/>
      <u/>
      <sz val="10"/>
      <name val="Arial"/>
      <family val="2"/>
    </font>
    <font>
      <sz val="18"/>
      <name val="Arial"/>
      <family val="2"/>
    </font>
    <font>
      <i/>
      <sz val="10"/>
      <name val="Arial"/>
      <family val="2"/>
    </font>
    <font>
      <sz val="7"/>
      <name val="Arial"/>
      <family val="2"/>
    </font>
    <font>
      <sz val="8"/>
      <color indexed="8"/>
      <name val="Arial"/>
      <family val="2"/>
    </font>
    <font>
      <sz val="11"/>
      <color indexed="8"/>
      <name val="Arial"/>
      <family val="2"/>
    </font>
    <font>
      <sz val="11"/>
      <name val="Calibri"/>
      <family val="2"/>
    </font>
    <font>
      <sz val="8"/>
      <name val="Calibri"/>
      <family val="2"/>
    </font>
    <font>
      <sz val="10"/>
      <name val="Calibri"/>
      <family val="2"/>
    </font>
    <font>
      <b/>
      <sz val="8"/>
      <name val="Arial "/>
    </font>
    <font>
      <sz val="11"/>
      <name val="Arial "/>
    </font>
    <font>
      <sz val="10"/>
      <name val="Arial "/>
    </font>
    <font>
      <b/>
      <u/>
      <sz val="10"/>
      <name val="Arial "/>
    </font>
    <font>
      <i/>
      <u/>
      <sz val="10"/>
      <name val="Arial "/>
    </font>
    <font>
      <sz val="8"/>
      <name val="Arial "/>
    </font>
    <font>
      <b/>
      <sz val="11"/>
      <name val="Arial "/>
    </font>
    <font>
      <b/>
      <sz val="10"/>
      <name val="Arial "/>
    </font>
    <font>
      <sz val="9"/>
      <name val="Arial "/>
    </font>
    <font>
      <b/>
      <sz val="12"/>
      <name val="Arial "/>
    </font>
    <font>
      <b/>
      <sz val="8.5"/>
      <name val="Arial"/>
      <family val="2"/>
    </font>
    <font>
      <b/>
      <u/>
      <sz val="16"/>
      <name val="Arial"/>
      <family val="2"/>
    </font>
    <font>
      <b/>
      <sz val="11"/>
      <color indexed="8"/>
      <name val="Calibri"/>
      <family val="2"/>
    </font>
    <font>
      <sz val="11"/>
      <color theme="1"/>
      <name val="Calibri"/>
      <family val="2"/>
      <scheme val="minor"/>
    </font>
    <font>
      <b/>
      <sz val="11"/>
      <color theme="1"/>
      <name val="Calibri"/>
      <family val="2"/>
      <scheme val="minor"/>
    </font>
    <font>
      <sz val="11"/>
      <color theme="1"/>
      <name val="Calibri"/>
      <family val="2"/>
    </font>
    <font>
      <sz val="11"/>
      <color rgb="FF000000"/>
      <name val="Calibri"/>
      <family val="2"/>
    </font>
    <font>
      <sz val="10"/>
      <color theme="1"/>
      <name val="Arial"/>
      <family val="2"/>
    </font>
    <font>
      <sz val="10"/>
      <color rgb="FF000000"/>
      <name val="Arial"/>
      <family val="2"/>
    </font>
    <font>
      <sz val="9"/>
      <color rgb="FF000000"/>
      <name val="Calibri"/>
      <family val="2"/>
    </font>
    <font>
      <sz val="8"/>
      <color theme="1"/>
      <name val="Calibri"/>
      <family val="2"/>
    </font>
    <font>
      <sz val="8"/>
      <color rgb="FF000000"/>
      <name val="Arial"/>
      <family val="2"/>
    </font>
    <font>
      <sz val="11"/>
      <name val="Calibri"/>
      <family val="2"/>
      <scheme val="minor"/>
    </font>
    <font>
      <b/>
      <sz val="10"/>
      <color theme="1"/>
      <name val="Arial"/>
      <family val="2"/>
    </font>
    <font>
      <sz val="7"/>
      <color rgb="FF000000"/>
      <name val="Arial"/>
      <family val="2"/>
    </font>
    <font>
      <sz val="11"/>
      <color theme="1"/>
      <name val="Arial"/>
      <family val="2"/>
    </font>
    <font>
      <sz val="8"/>
      <color theme="1"/>
      <name val="Arial"/>
      <family val="2"/>
    </font>
    <font>
      <sz val="12"/>
      <color theme="1"/>
      <name val="Arial"/>
      <family val="2"/>
    </font>
    <font>
      <b/>
      <sz val="14"/>
      <color theme="1"/>
      <name val="Calibri"/>
      <family val="2"/>
    </font>
    <font>
      <sz val="7"/>
      <color theme="1"/>
      <name val="Arial"/>
      <family val="2"/>
    </font>
    <font>
      <b/>
      <u/>
      <sz val="11"/>
      <color theme="1"/>
      <name val="Calibri"/>
      <family val="2"/>
      <scheme val="minor"/>
    </font>
    <font>
      <b/>
      <vertAlign val="superscript"/>
      <sz val="11"/>
      <color theme="1"/>
      <name val="Calibri"/>
      <family val="2"/>
      <scheme val="minor"/>
    </font>
    <font>
      <vertAlign val="superscript"/>
      <sz val="11"/>
      <color theme="1"/>
      <name val="Calibri"/>
      <family val="2"/>
      <scheme val="minor"/>
    </font>
    <font>
      <i/>
      <u/>
      <sz val="11"/>
      <color theme="1"/>
      <name val="Calibri"/>
      <family val="2"/>
      <scheme val="minor"/>
    </font>
    <font>
      <b/>
      <i/>
      <sz val="10"/>
      <color theme="1"/>
      <name val="Arial"/>
      <family val="2"/>
    </font>
    <font>
      <sz val="16"/>
      <color theme="1"/>
      <name val="Calibri"/>
      <family val="2"/>
    </font>
    <font>
      <i/>
      <sz val="11"/>
      <color theme="1"/>
      <name val="Calibri"/>
      <family val="2"/>
    </font>
    <font>
      <b/>
      <sz val="11"/>
      <color rgb="FFFF0000"/>
      <name val="Calibri"/>
      <family val="2"/>
      <scheme val="minor"/>
    </font>
    <font>
      <b/>
      <sz val="11"/>
      <color rgb="FF0070C0"/>
      <name val="Calibri"/>
      <family val="2"/>
      <scheme val="minor"/>
    </font>
    <font>
      <b/>
      <sz val="9"/>
      <color indexed="81"/>
      <name val="Tahoma"/>
      <family val="2"/>
    </font>
  </fonts>
  <fills count="17">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FFFFFF"/>
        <bgColor rgb="FF000000"/>
      </patternFill>
    </fill>
    <fill>
      <patternFill patternType="solid">
        <fgColor rgb="FFFFFF00"/>
        <bgColor indexed="64"/>
      </patternFill>
    </fill>
    <fill>
      <patternFill patternType="solid">
        <fgColor rgb="FFFFFFCC"/>
        <bgColor indexed="64"/>
      </patternFill>
    </fill>
    <fill>
      <patternFill patternType="solid">
        <fgColor rgb="FFFFFF66"/>
        <bgColor indexed="64"/>
      </patternFill>
    </fill>
    <fill>
      <patternFill patternType="solid">
        <fgColor rgb="FFC0C0C0"/>
        <bgColor rgb="FF000000"/>
      </patternFill>
    </fill>
    <fill>
      <patternFill patternType="solid">
        <fgColor rgb="FFFFFF99"/>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rgb="FFFF0000"/>
        <bgColor indexed="64"/>
      </patternFill>
    </fill>
    <fill>
      <patternFill patternType="solid">
        <fgColor theme="1" tint="4.9989318521683403E-2"/>
        <bgColor indexed="64"/>
      </patternFill>
    </fill>
    <fill>
      <patternFill patternType="solid">
        <fgColor theme="0" tint="-0.14999847407452621"/>
        <bgColor rgb="FF000000"/>
      </patternFill>
    </fill>
    <fill>
      <patternFill patternType="solid">
        <fgColor theme="0" tint="-0.14999847407452621"/>
        <bgColor indexed="64"/>
      </patternFill>
    </fill>
  </fills>
  <borders count="95">
    <border>
      <left/>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style="double">
        <color indexed="64"/>
      </bottom>
      <diagonal/>
    </border>
    <border>
      <left style="thin">
        <color indexed="64"/>
      </left>
      <right style="medium">
        <color indexed="64"/>
      </right>
      <top style="thin">
        <color indexed="64"/>
      </top>
      <bottom style="double">
        <color indexed="64"/>
      </bottom>
      <diagonal/>
    </border>
    <border>
      <left/>
      <right/>
      <top style="medium">
        <color indexed="64"/>
      </top>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top style="double">
        <color indexed="64"/>
      </top>
      <bottom/>
      <diagonal/>
    </border>
    <border>
      <left style="thin">
        <color indexed="64"/>
      </left>
      <right style="thick">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double">
        <color indexed="64"/>
      </top>
      <bottom/>
      <diagonal/>
    </border>
    <border>
      <left style="thin">
        <color indexed="64"/>
      </left>
      <right style="thick">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theme="1"/>
      </bottom>
      <diagonal/>
    </border>
    <border>
      <left/>
      <right/>
      <top style="thin">
        <color auto="1"/>
      </top>
      <bottom style="double">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3">
    <xf numFmtId="0" fontId="0" fillId="0" borderId="0"/>
    <xf numFmtId="43" fontId="51" fillId="0" borderId="0" applyFont="0" applyFill="0" applyBorder="0" applyAlignment="0" applyProtection="0"/>
    <xf numFmtId="43" fontId="2" fillId="0" borderId="0" applyFont="0" applyFill="0" applyBorder="0" applyAlignment="0" applyProtection="0"/>
    <xf numFmtId="44" fontId="51" fillId="0" borderId="0" applyFont="0" applyFill="0" applyBorder="0" applyAlignment="0" applyProtection="0"/>
    <xf numFmtId="44" fontId="2" fillId="0" borderId="0" applyFont="0" applyFill="0" applyBorder="0" applyAlignment="0" applyProtection="0"/>
    <xf numFmtId="0" fontId="2" fillId="0" borderId="0"/>
    <xf numFmtId="0" fontId="3" fillId="0" borderId="0"/>
    <xf numFmtId="0" fontId="11" fillId="0" borderId="0"/>
    <xf numFmtId="0" fontId="2" fillId="0" borderId="0"/>
    <xf numFmtId="0" fontId="2" fillId="0" borderId="0"/>
    <xf numFmtId="9" fontId="51" fillId="0" borderId="0" applyFont="0" applyFill="0" applyBorder="0" applyAlignment="0" applyProtection="0"/>
    <xf numFmtId="9" fontId="2"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0" fontId="3" fillId="0" borderId="0"/>
    <xf numFmtId="44" fontId="3" fillId="0" borderId="0" applyFont="0" applyFill="0" applyBorder="0" applyAlignment="0" applyProtection="0"/>
    <xf numFmtId="0" fontId="3" fillId="0" borderId="0"/>
  </cellStyleXfs>
  <cellXfs count="1594">
    <xf numFmtId="0" fontId="0" fillId="0" borderId="0" xfId="0"/>
    <xf numFmtId="0" fontId="2" fillId="0" borderId="0" xfId="0" applyFont="1" applyBorder="1"/>
    <xf numFmtId="0" fontId="2" fillId="0" borderId="0" xfId="6" applyFont="1" applyBorder="1"/>
    <xf numFmtId="0" fontId="2" fillId="0" borderId="0" xfId="6" applyFont="1" applyFill="1" applyBorder="1"/>
    <xf numFmtId="0" fontId="2" fillId="0" borderId="0" xfId="0" applyFont="1" applyFill="1" applyBorder="1"/>
    <xf numFmtId="0" fontId="4" fillId="5" borderId="0" xfId="6" applyFont="1" applyFill="1" applyBorder="1" applyAlignment="1"/>
    <xf numFmtId="0" fontId="5" fillId="0" borderId="0" xfId="0" applyFont="1" applyBorder="1" applyAlignment="1"/>
    <xf numFmtId="0" fontId="2" fillId="0" borderId="0" xfId="0" applyFont="1" applyBorder="1" applyAlignment="1"/>
    <xf numFmtId="0" fontId="9" fillId="5" borderId="1" xfId="0" applyFont="1" applyFill="1" applyBorder="1" applyAlignment="1" applyProtection="1">
      <alignment horizontal="center"/>
      <protection locked="0"/>
    </xf>
    <xf numFmtId="0" fontId="5" fillId="5" borderId="2" xfId="0" applyFont="1" applyFill="1" applyBorder="1" applyAlignment="1">
      <alignment horizontal="left" indent="1"/>
    </xf>
    <xf numFmtId="0" fontId="10" fillId="5" borderId="0" xfId="0" applyFont="1" applyFill="1" applyBorder="1" applyAlignment="1"/>
    <xf numFmtId="0" fontId="5" fillId="5" borderId="0" xfId="0" applyFont="1" applyFill="1" applyBorder="1" applyAlignment="1">
      <alignment horizontal="left" indent="1"/>
    </xf>
    <xf numFmtId="0" fontId="10" fillId="0" borderId="0" xfId="0" applyFont="1" applyBorder="1" applyAlignment="1">
      <alignment horizontal="left" indent="1"/>
    </xf>
    <xf numFmtId="0" fontId="4" fillId="0" borderId="0" xfId="7" applyFont="1" applyBorder="1" applyAlignment="1"/>
    <xf numFmtId="0" fontId="5" fillId="0" borderId="0" xfId="7" applyFont="1" applyBorder="1" applyAlignment="1"/>
    <xf numFmtId="0" fontId="9" fillId="5" borderId="3" xfId="0" applyFont="1" applyFill="1" applyBorder="1" applyAlignment="1">
      <alignment horizontal="left" indent="1"/>
    </xf>
    <xf numFmtId="0" fontId="8" fillId="5" borderId="0" xfId="0" applyFont="1" applyFill="1" applyBorder="1" applyAlignment="1"/>
    <xf numFmtId="0" fontId="2" fillId="0" borderId="0" xfId="0" applyFont="1" applyBorder="1" applyProtection="1">
      <protection locked="0"/>
    </xf>
    <xf numFmtId="0" fontId="15" fillId="0" borderId="0" xfId="0" applyFont="1" applyBorder="1" applyProtection="1">
      <protection locked="0"/>
    </xf>
    <xf numFmtId="0" fontId="4" fillId="5" borderId="4" xfId="6" applyFont="1" applyFill="1" applyBorder="1" applyAlignment="1" applyProtection="1">
      <alignment horizontal="left"/>
      <protection locked="0"/>
    </xf>
    <xf numFmtId="0" fontId="6" fillId="0" borderId="0" xfId="0" applyFont="1" applyBorder="1" applyAlignment="1" applyProtection="1">
      <alignment horizontal="center"/>
    </xf>
    <xf numFmtId="0" fontId="2" fillId="0" borderId="0" xfId="0" applyFont="1" applyBorder="1" applyProtection="1"/>
    <xf numFmtId="0" fontId="6" fillId="0" borderId="0" xfId="0" applyFont="1" applyBorder="1" applyProtection="1"/>
    <xf numFmtId="0" fontId="8" fillId="0" borderId="0" xfId="0" applyFont="1" applyBorder="1" applyProtection="1"/>
    <xf numFmtId="0" fontId="2" fillId="0" borderId="0" xfId="8" applyFont="1" applyBorder="1"/>
    <xf numFmtId="0" fontId="16" fillId="0" borderId="0" xfId="8" applyFont="1" applyBorder="1" applyAlignment="1">
      <alignment vertical="top"/>
    </xf>
    <xf numFmtId="0" fontId="5" fillId="0" borderId="0" xfId="8" applyFont="1" applyFill="1" applyBorder="1" applyAlignment="1">
      <alignment wrapText="1"/>
    </xf>
    <xf numFmtId="0" fontId="2" fillId="0" borderId="0" xfId="8" applyFont="1" applyBorder="1" applyAlignment="1">
      <alignment vertical="top"/>
    </xf>
    <xf numFmtId="0" fontId="2" fillId="0" borderId="0" xfId="8" quotePrefix="1" applyFont="1" applyFill="1" applyBorder="1" applyAlignment="1">
      <alignment horizontal="center" wrapText="1"/>
    </xf>
    <xf numFmtId="0" fontId="12" fillId="0" borderId="0" xfId="0" applyFont="1" applyBorder="1" applyAlignment="1">
      <alignment vertical="center"/>
    </xf>
    <xf numFmtId="0" fontId="5" fillId="0" borderId="0" xfId="0" applyFont="1" applyBorder="1"/>
    <xf numFmtId="0" fontId="4" fillId="0" borderId="0" xfId="0" applyFont="1" applyBorder="1" applyAlignment="1">
      <alignment vertical="top"/>
    </xf>
    <xf numFmtId="0" fontId="4" fillId="0" borderId="0" xfId="0" applyFont="1" applyBorder="1" applyAlignment="1">
      <alignment horizontal="left" vertical="top"/>
    </xf>
    <xf numFmtId="0" fontId="12" fillId="0" borderId="0" xfId="0" applyFont="1" applyBorder="1" applyAlignment="1">
      <alignment vertical="top"/>
    </xf>
    <xf numFmtId="0" fontId="18" fillId="0" borderId="0" xfId="0" applyFont="1" applyBorder="1" applyAlignment="1">
      <alignment vertical="center"/>
    </xf>
    <xf numFmtId="0" fontId="19" fillId="0" borderId="0" xfId="0" applyFont="1" applyBorder="1"/>
    <xf numFmtId="0" fontId="5" fillId="0" borderId="0" xfId="8" applyFont="1" applyBorder="1" applyAlignment="1">
      <alignment horizontal="left" wrapText="1" indent="2"/>
    </xf>
    <xf numFmtId="0" fontId="2" fillId="0" borderId="0" xfId="8" quotePrefix="1" applyFont="1" applyBorder="1" applyAlignment="1">
      <alignment wrapText="1"/>
    </xf>
    <xf numFmtId="0" fontId="2" fillId="0" borderId="0" xfId="8" applyFont="1" applyBorder="1" applyAlignment="1">
      <alignment horizontal="left" indent="2"/>
    </xf>
    <xf numFmtId="0" fontId="7" fillId="0" borderId="0" xfId="8" applyFont="1" applyBorder="1"/>
    <xf numFmtId="0" fontId="7" fillId="0" borderId="0" xfId="8" applyFont="1" applyBorder="1" applyAlignment="1">
      <alignment vertical="top"/>
    </xf>
    <xf numFmtId="0" fontId="13" fillId="0" borderId="0" xfId="8" applyFont="1" applyBorder="1"/>
    <xf numFmtId="0" fontId="23" fillId="0" borderId="0" xfId="0" applyFont="1" applyBorder="1" applyAlignment="1">
      <alignment horizontal="center" vertical="center" wrapText="1"/>
    </xf>
    <xf numFmtId="0" fontId="2" fillId="0" borderId="0" xfId="0" applyFont="1" applyBorder="1" applyAlignment="1">
      <alignment wrapText="1"/>
    </xf>
    <xf numFmtId="49" fontId="2" fillId="0" borderId="0" xfId="0" applyNumberFormat="1" applyFont="1" applyBorder="1" applyAlignment="1">
      <alignment wrapText="1"/>
    </xf>
    <xf numFmtId="0" fontId="23" fillId="0" borderId="0" xfId="0" applyFont="1" applyBorder="1" applyAlignment="1">
      <alignment horizontal="center" wrapText="1"/>
    </xf>
    <xf numFmtId="0" fontId="2" fillId="0" borderId="0" xfId="8" applyFont="1" applyFill="1" applyBorder="1" applyAlignment="1">
      <alignment wrapText="1"/>
    </xf>
    <xf numFmtId="0" fontId="25" fillId="0" borderId="0" xfId="0" applyFont="1" applyBorder="1" applyAlignment="1">
      <alignment wrapText="1"/>
    </xf>
    <xf numFmtId="0" fontId="2" fillId="0" borderId="0" xfId="0" applyFont="1" applyBorder="1" applyAlignment="1">
      <alignment horizontal="left" wrapText="1"/>
    </xf>
    <xf numFmtId="0" fontId="2" fillId="0" borderId="0" xfId="0" quotePrefix="1" applyFont="1" applyBorder="1" applyAlignment="1">
      <alignment horizontal="center" wrapText="1"/>
    </xf>
    <xf numFmtId="0" fontId="2" fillId="0" borderId="0" xfId="0" applyNumberFormat="1" applyFont="1" applyBorder="1" applyAlignment="1">
      <alignment wrapText="1"/>
    </xf>
    <xf numFmtId="0" fontId="2" fillId="0" borderId="0" xfId="0" applyFont="1" applyBorder="1" applyAlignment="1">
      <alignment horizontal="center" wrapText="1"/>
    </xf>
    <xf numFmtId="0" fontId="2" fillId="0" borderId="4" xfId="0" applyFont="1" applyBorder="1" applyAlignment="1">
      <alignment horizontal="left"/>
    </xf>
    <xf numFmtId="0" fontId="2" fillId="0" borderId="0" xfId="0" applyFont="1" applyBorder="1" applyAlignment="1">
      <alignment horizontal="left"/>
    </xf>
    <xf numFmtId="0" fontId="5" fillId="0" borderId="0" xfId="0" applyFont="1" applyFill="1" applyBorder="1" applyAlignment="1" applyProtection="1">
      <alignment horizontal="left"/>
    </xf>
    <xf numFmtId="0" fontId="2" fillId="0" borderId="0" xfId="0" applyFont="1" applyFill="1" applyBorder="1" applyAlignment="1" applyProtection="1">
      <alignment horizontal="center"/>
    </xf>
    <xf numFmtId="0" fontId="2" fillId="0" borderId="5" xfId="0" applyFont="1" applyBorder="1" applyAlignment="1" applyProtection="1"/>
    <xf numFmtId="0" fontId="2" fillId="0" borderId="0" xfId="0" applyFont="1" applyBorder="1" applyAlignment="1" applyProtection="1"/>
    <xf numFmtId="0" fontId="2" fillId="0" borderId="0" xfId="0" applyFont="1" applyBorder="1" applyAlignment="1" applyProtection="1">
      <alignment horizontal="center"/>
      <protection locked="0"/>
    </xf>
    <xf numFmtId="0" fontId="2" fillId="0" borderId="0" xfId="0" applyFont="1" applyBorder="1" applyAlignment="1" applyProtection="1">
      <alignment wrapText="1"/>
    </xf>
    <xf numFmtId="0" fontId="2" fillId="0" borderId="5" xfId="0" applyFont="1" applyBorder="1" applyAlignment="1" applyProtection="1">
      <alignment horizontal="center"/>
    </xf>
    <xf numFmtId="0" fontId="2" fillId="0" borderId="0" xfId="0" applyFont="1" applyBorder="1" applyAlignment="1" applyProtection="1">
      <alignment horizontal="center"/>
    </xf>
    <xf numFmtId="0" fontId="2" fillId="0" borderId="0" xfId="0" applyFont="1" applyBorder="1" applyAlignment="1" applyProtection="1">
      <alignment horizontal="center" vertical="top" wrapText="1"/>
    </xf>
    <xf numFmtId="0" fontId="2" fillId="0" borderId="4" xfId="0" applyFont="1" applyBorder="1" applyAlignment="1" applyProtection="1">
      <alignment horizontal="center"/>
      <protection locked="0"/>
    </xf>
    <xf numFmtId="165" fontId="2" fillId="0" borderId="4" xfId="0" applyNumberFormat="1" applyFont="1" applyBorder="1" applyAlignment="1" applyProtection="1">
      <alignment horizontal="center"/>
      <protection locked="0"/>
    </xf>
    <xf numFmtId="0" fontId="2" fillId="0" borderId="5" xfId="0" applyFont="1" applyBorder="1" applyAlignment="1" applyProtection="1">
      <alignment horizontal="center" vertical="top"/>
    </xf>
    <xf numFmtId="0" fontId="2" fillId="0" borderId="0" xfId="0" applyFont="1" applyBorder="1" applyAlignment="1" applyProtection="1">
      <alignment horizontal="center" vertical="top"/>
    </xf>
    <xf numFmtId="0" fontId="26" fillId="0" borderId="0" xfId="0" applyFont="1" applyBorder="1" applyAlignment="1">
      <alignment horizontal="center"/>
    </xf>
    <xf numFmtId="0" fontId="2" fillId="0" borderId="0" xfId="0" applyFont="1" applyBorder="1" applyAlignment="1" applyProtection="1">
      <alignment horizontal="left"/>
    </xf>
    <xf numFmtId="0" fontId="14" fillId="0" borderId="0" xfId="0" applyFont="1" applyBorder="1" applyAlignment="1" applyProtection="1">
      <alignment horizontal="left"/>
    </xf>
    <xf numFmtId="0" fontId="14" fillId="0" borderId="0" xfId="0" applyFont="1" applyBorder="1" applyAlignment="1" applyProtection="1"/>
    <xf numFmtId="0" fontId="2" fillId="0" borderId="0" xfId="0" applyFont="1" applyBorder="1" applyAlignment="1">
      <alignment horizontal="center" vertical="top"/>
    </xf>
    <xf numFmtId="0" fontId="14" fillId="0" borderId="0" xfId="0" applyFont="1" applyBorder="1" applyAlignment="1">
      <alignment horizontal="left"/>
    </xf>
    <xf numFmtId="0" fontId="14" fillId="0" borderId="0" xfId="0" applyFont="1" applyBorder="1"/>
    <xf numFmtId="0" fontId="14" fillId="0" borderId="0" xfId="0" applyFont="1" applyBorder="1" applyAlignment="1" applyProtection="1">
      <alignment horizontal="left" wrapText="1"/>
    </xf>
    <xf numFmtId="44" fontId="2" fillId="0" borderId="6" xfId="3" applyNumberFormat="1" applyFont="1" applyFill="1" applyBorder="1" applyAlignment="1" applyProtection="1">
      <alignment vertical="center"/>
      <protection locked="0"/>
    </xf>
    <xf numFmtId="44" fontId="2" fillId="0" borderId="6" xfId="1" applyNumberFormat="1" applyFont="1" applyFill="1" applyBorder="1" applyAlignment="1" applyProtection="1">
      <alignment vertical="center"/>
      <protection locked="0"/>
    </xf>
    <xf numFmtId="0" fontId="15" fillId="0" borderId="0" xfId="0" applyFont="1" applyBorder="1" applyAlignment="1" applyProtection="1">
      <alignment horizontal="right"/>
      <protection locked="0"/>
    </xf>
    <xf numFmtId="0" fontId="23" fillId="5" borderId="0" xfId="0" applyFont="1" applyFill="1" applyBorder="1" applyAlignment="1" applyProtection="1">
      <alignment horizontal="center"/>
      <protection locked="0"/>
    </xf>
    <xf numFmtId="0" fontId="15" fillId="5" borderId="0" xfId="0" applyFont="1" applyFill="1" applyBorder="1" applyAlignment="1" applyProtection="1">
      <alignment horizontal="left"/>
      <protection locked="0"/>
    </xf>
    <xf numFmtId="0" fontId="15" fillId="0" borderId="5" xfId="0" applyFont="1" applyBorder="1" applyAlignment="1" applyProtection="1">
      <alignment horizontal="right"/>
      <protection locked="0"/>
    </xf>
    <xf numFmtId="0" fontId="26" fillId="0" borderId="0" xfId="0" applyFont="1" applyAlignment="1" applyProtection="1">
      <alignment horizontal="center"/>
      <protection locked="0"/>
    </xf>
    <xf numFmtId="0" fontId="5" fillId="0" borderId="0" xfId="0" applyFont="1" applyBorder="1" applyAlignment="1" applyProtection="1">
      <protection locked="0"/>
    </xf>
    <xf numFmtId="0" fontId="2" fillId="0" borderId="0" xfId="0" applyFont="1" applyBorder="1" applyAlignment="1" applyProtection="1">
      <protection locked="0"/>
    </xf>
    <xf numFmtId="0" fontId="2" fillId="0" borderId="0" xfId="0" applyFont="1" applyBorder="1" applyAlignment="1" applyProtection="1">
      <alignment horizontal="right"/>
      <protection locked="0"/>
    </xf>
    <xf numFmtId="0" fontId="2" fillId="0" borderId="4" xfId="0" applyFont="1" applyBorder="1" applyAlignment="1" applyProtection="1">
      <protection locked="0"/>
    </xf>
    <xf numFmtId="0" fontId="2" fillId="0" borderId="0" xfId="0" applyFont="1" applyBorder="1" applyAlignment="1" applyProtection="1">
      <alignment horizontal="left"/>
      <protection locked="0"/>
    </xf>
    <xf numFmtId="0" fontId="2" fillId="0" borderId="7" xfId="0" applyFont="1" applyBorder="1" applyAlignment="1" applyProtection="1">
      <alignment horizontal="center"/>
      <protection locked="0"/>
    </xf>
    <xf numFmtId="166" fontId="2" fillId="0" borderId="8" xfId="1" applyNumberFormat="1" applyFont="1" applyBorder="1" applyAlignment="1" applyProtection="1">
      <alignment horizontal="center" vertical="center"/>
      <protection locked="0"/>
    </xf>
    <xf numFmtId="166" fontId="2" fillId="0" borderId="9" xfId="1" applyNumberFormat="1" applyFont="1" applyBorder="1" applyAlignment="1" applyProtection="1">
      <alignment horizontal="center" vertical="center"/>
      <protection locked="0"/>
    </xf>
    <xf numFmtId="44" fontId="2" fillId="0" borderId="10" xfId="3" applyFont="1" applyBorder="1" applyAlignment="1" applyProtection="1">
      <alignment horizontal="center" vertical="center"/>
      <protection locked="0"/>
    </xf>
    <xf numFmtId="44" fontId="2" fillId="0" borderId="11" xfId="3" applyFont="1" applyBorder="1" applyAlignment="1" applyProtection="1">
      <alignment horizontal="center" vertical="center"/>
      <protection locked="0"/>
    </xf>
    <xf numFmtId="0" fontId="26" fillId="0" borderId="0" xfId="0" applyFont="1" applyBorder="1" applyAlignment="1" applyProtection="1">
      <alignment horizontal="center"/>
      <protection locked="0"/>
    </xf>
    <xf numFmtId="0" fontId="53" fillId="0" borderId="0" xfId="0" applyFont="1" applyBorder="1" applyProtection="1">
      <protection locked="0"/>
    </xf>
    <xf numFmtId="0" fontId="2" fillId="0" borderId="12" xfId="0" applyFont="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0" fillId="0" borderId="0" xfId="0" applyProtection="1">
      <protection locked="0"/>
    </xf>
    <xf numFmtId="44" fontId="2" fillId="0" borderId="2" xfId="3" applyFont="1" applyFill="1" applyBorder="1" applyAlignment="1" applyProtection="1">
      <protection locked="0"/>
    </xf>
    <xf numFmtId="44" fontId="2" fillId="0" borderId="2" xfId="3" applyFont="1" applyBorder="1" applyAlignment="1" applyProtection="1">
      <protection locked="0"/>
    </xf>
    <xf numFmtId="0" fontId="26" fillId="0" borderId="0" xfId="0" applyFont="1" applyBorder="1" applyProtection="1">
      <protection locked="0"/>
    </xf>
    <xf numFmtId="0" fontId="15" fillId="0" borderId="0" xfId="0" applyFont="1" applyBorder="1" applyAlignment="1" applyProtection="1">
      <protection locked="0"/>
    </xf>
    <xf numFmtId="44" fontId="2" fillId="0" borderId="14" xfId="3" applyFont="1" applyBorder="1" applyAlignment="1" applyProtection="1">
      <protection locked="0"/>
    </xf>
    <xf numFmtId="0" fontId="15" fillId="0" borderId="0" xfId="0" applyFont="1" applyFill="1" applyBorder="1" applyAlignment="1" applyProtection="1">
      <protection locked="0"/>
    </xf>
    <xf numFmtId="0" fontId="0" fillId="0" borderId="0" xfId="0" applyBorder="1" applyProtection="1">
      <protection locked="0"/>
    </xf>
    <xf numFmtId="0" fontId="15" fillId="0" borderId="0" xfId="0" applyFont="1" applyAlignment="1" applyProtection="1">
      <protection locked="0"/>
    </xf>
    <xf numFmtId="44" fontId="15" fillId="0" borderId="0" xfId="0" applyNumberFormat="1" applyFont="1" applyBorder="1" applyAlignment="1" applyProtection="1">
      <alignment horizontal="right"/>
      <protection locked="0"/>
    </xf>
    <xf numFmtId="44" fontId="53" fillId="0" borderId="0" xfId="0" applyNumberFormat="1" applyFont="1" applyFill="1" applyBorder="1" applyAlignment="1" applyProtection="1">
      <alignment horizontal="center"/>
      <protection locked="0"/>
    </xf>
    <xf numFmtId="167" fontId="2" fillId="0" borderId="12" xfId="0" applyNumberFormat="1" applyFont="1" applyBorder="1" applyAlignment="1" applyProtection="1">
      <protection locked="0"/>
    </xf>
    <xf numFmtId="0" fontId="2" fillId="0" borderId="12" xfId="0" applyFont="1" applyBorder="1" applyAlignment="1" applyProtection="1">
      <protection locked="0"/>
    </xf>
    <xf numFmtId="10" fontId="2" fillId="0" borderId="12" xfId="10" applyNumberFormat="1" applyFont="1" applyBorder="1" applyAlignment="1" applyProtection="1">
      <alignment horizontal="center"/>
      <protection locked="0"/>
    </xf>
    <xf numFmtId="10" fontId="2" fillId="0" borderId="15" xfId="10" applyNumberFormat="1" applyFont="1" applyBorder="1" applyAlignment="1" applyProtection="1">
      <alignment horizontal="center"/>
      <protection locked="0"/>
    </xf>
    <xf numFmtId="167" fontId="2" fillId="0" borderId="0" xfId="0" applyNumberFormat="1" applyFont="1" applyBorder="1" applyProtection="1">
      <protection locked="0"/>
    </xf>
    <xf numFmtId="167" fontId="2" fillId="0" borderId="0" xfId="0" applyNumberFormat="1" applyFont="1" applyBorder="1" applyAlignment="1" applyProtection="1">
      <protection locked="0"/>
    </xf>
    <xf numFmtId="44" fontId="15" fillId="0" borderId="0" xfId="0" applyNumberFormat="1" applyFont="1" applyFill="1" applyBorder="1" applyAlignment="1" applyProtection="1">
      <alignment horizontal="right"/>
      <protection locked="0"/>
    </xf>
    <xf numFmtId="0" fontId="53" fillId="0" borderId="0" xfId="0" applyFont="1" applyBorder="1" applyAlignment="1" applyProtection="1">
      <alignment textRotation="180"/>
      <protection locked="0"/>
    </xf>
    <xf numFmtId="0" fontId="2" fillId="0" borderId="0" xfId="0" applyFont="1" applyBorder="1" applyAlignment="1" applyProtection="1">
      <alignment vertical="top"/>
      <protection locked="0"/>
    </xf>
    <xf numFmtId="0" fontId="26" fillId="0" borderId="0" xfId="0" applyFont="1" applyBorder="1" applyAlignment="1" applyProtection="1">
      <alignment horizontal="center"/>
    </xf>
    <xf numFmtId="0" fontId="53" fillId="0" borderId="0" xfId="0" applyFont="1" applyBorder="1" applyProtection="1"/>
    <xf numFmtId="0" fontId="2" fillId="0" borderId="16" xfId="0" applyFont="1" applyBorder="1" applyAlignment="1" applyProtection="1">
      <alignment horizontal="center"/>
    </xf>
    <xf numFmtId="0" fontId="53" fillId="0" borderId="0" xfId="0" applyFont="1" applyBorder="1" applyAlignment="1" applyProtection="1">
      <alignment horizontal="center"/>
      <protection locked="0"/>
    </xf>
    <xf numFmtId="0" fontId="2" fillId="0" borderId="15" xfId="0" applyFont="1" applyBorder="1" applyAlignment="1" applyProtection="1">
      <alignment horizontal="center"/>
    </xf>
    <xf numFmtId="0" fontId="29" fillId="0" borderId="12" xfId="0" applyFont="1" applyBorder="1" applyAlignment="1" applyProtection="1">
      <alignment horizontal="center"/>
    </xf>
    <xf numFmtId="0" fontId="2" fillId="0" borderId="12" xfId="0" applyFont="1" applyBorder="1" applyAlignment="1" applyProtection="1">
      <alignment horizontal="center"/>
    </xf>
    <xf numFmtId="49" fontId="2" fillId="0" borderId="0" xfId="0" applyNumberFormat="1" applyFont="1" applyBorder="1" applyAlignment="1" applyProtection="1">
      <alignment horizontal="center"/>
    </xf>
    <xf numFmtId="0" fontId="53" fillId="0" borderId="0" xfId="0" applyFont="1" applyFill="1" applyBorder="1" applyAlignment="1" applyProtection="1">
      <protection locked="0"/>
    </xf>
    <xf numFmtId="44" fontId="2" fillId="0" borderId="0" xfId="0" applyNumberFormat="1" applyFont="1" applyFill="1" applyBorder="1" applyAlignment="1" applyProtection="1">
      <protection locked="0"/>
    </xf>
    <xf numFmtId="0" fontId="53" fillId="0" borderId="0" xfId="0" applyFont="1" applyFill="1" applyBorder="1" applyAlignment="1" applyProtection="1">
      <alignment horizontal="center"/>
      <protection locked="0"/>
    </xf>
    <xf numFmtId="0" fontId="14" fillId="0" borderId="0" xfId="0" applyFont="1" applyBorder="1" applyAlignment="1" applyProtection="1">
      <alignment horizontal="center"/>
      <protection locked="0"/>
    </xf>
    <xf numFmtId="0" fontId="2" fillId="5" borderId="0" xfId="9" applyFont="1" applyFill="1" applyBorder="1" applyAlignment="1" applyProtection="1">
      <alignment horizontal="center"/>
    </xf>
    <xf numFmtId="0" fontId="2" fillId="5" borderId="17" xfId="9" applyFont="1" applyFill="1" applyBorder="1" applyProtection="1"/>
    <xf numFmtId="0" fontId="27" fillId="5" borderId="0" xfId="9" applyFont="1" applyFill="1" applyBorder="1" applyAlignment="1" applyProtection="1">
      <alignment horizontal="center"/>
    </xf>
    <xf numFmtId="0" fontId="2" fillId="5" borderId="0" xfId="9" applyFont="1" applyFill="1" applyBorder="1" applyAlignment="1" applyProtection="1"/>
    <xf numFmtId="0" fontId="2" fillId="5" borderId="0" xfId="9" applyFont="1" applyFill="1" applyBorder="1" applyAlignment="1" applyProtection="1">
      <alignment wrapText="1"/>
    </xf>
    <xf numFmtId="0" fontId="2" fillId="5" borderId="0" xfId="9" applyFont="1" applyFill="1" applyBorder="1" applyProtection="1"/>
    <xf numFmtId="0" fontId="2" fillId="5" borderId="0" xfId="9" applyFont="1" applyFill="1" applyBorder="1" applyAlignment="1" applyProtection="1">
      <alignment horizontal="right"/>
    </xf>
    <xf numFmtId="0" fontId="2" fillId="5" borderId="0" xfId="9" applyFont="1" applyFill="1" applyBorder="1" applyAlignment="1" applyProtection="1">
      <alignment horizontal="center" wrapText="1"/>
    </xf>
    <xf numFmtId="0" fontId="2" fillId="0" borderId="4" xfId="0" applyFont="1" applyBorder="1" applyProtection="1">
      <protection locked="0"/>
    </xf>
    <xf numFmtId="0" fontId="26" fillId="0" borderId="0" xfId="0" applyFont="1" applyBorder="1" applyAlignment="1" applyProtection="1">
      <alignment horizontal="right" wrapText="1"/>
    </xf>
    <xf numFmtId="49" fontId="2" fillId="0" borderId="18" xfId="0" applyNumberFormat="1" applyFont="1" applyBorder="1" applyAlignment="1" applyProtection="1">
      <alignment horizontal="center"/>
      <protection locked="0"/>
    </xf>
    <xf numFmtId="44" fontId="54" fillId="0" borderId="7" xfId="3" applyFont="1" applyFill="1" applyBorder="1" applyAlignment="1" applyProtection="1">
      <alignment horizontal="center"/>
      <protection locked="0"/>
    </xf>
    <xf numFmtId="44" fontId="54" fillId="0" borderId="19" xfId="3" applyFont="1" applyFill="1" applyBorder="1" applyAlignment="1" applyProtection="1">
      <protection locked="0"/>
    </xf>
    <xf numFmtId="44" fontId="54" fillId="0" borderId="2" xfId="3" applyFont="1" applyBorder="1" applyAlignment="1" applyProtection="1">
      <protection locked="0"/>
    </xf>
    <xf numFmtId="0" fontId="2" fillId="0" borderId="2" xfId="0" applyFont="1" applyBorder="1" applyAlignment="1" applyProtection="1">
      <protection locked="0"/>
    </xf>
    <xf numFmtId="0" fontId="53" fillId="0" borderId="15" xfId="0" applyFont="1" applyBorder="1" applyAlignment="1" applyProtection="1">
      <protection locked="0"/>
    </xf>
    <xf numFmtId="44" fontId="54" fillId="0" borderId="14" xfId="3" applyFont="1" applyBorder="1" applyAlignment="1" applyProtection="1">
      <protection locked="0"/>
    </xf>
    <xf numFmtId="167" fontId="2" fillId="0" borderId="2" xfId="0" applyNumberFormat="1" applyFont="1" applyBorder="1" applyAlignment="1" applyProtection="1">
      <alignment horizontal="center"/>
      <protection locked="0"/>
    </xf>
    <xf numFmtId="44" fontId="2" fillId="0" borderId="12" xfId="3" applyFont="1" applyBorder="1" applyAlignment="1" applyProtection="1">
      <protection locked="0"/>
    </xf>
    <xf numFmtId="0" fontId="2" fillId="0" borderId="3" xfId="0" applyFont="1" applyBorder="1" applyAlignment="1" applyProtection="1">
      <protection locked="0"/>
    </xf>
    <xf numFmtId="44" fontId="2" fillId="0" borderId="16" xfId="3" applyFont="1" applyBorder="1" applyAlignment="1" applyProtection="1">
      <protection locked="0"/>
    </xf>
    <xf numFmtId="167" fontId="2" fillId="0" borderId="12" xfId="0" applyNumberFormat="1" applyFont="1" applyBorder="1" applyAlignment="1" applyProtection="1">
      <alignment horizontal="center"/>
      <protection locked="0"/>
    </xf>
    <xf numFmtId="0" fontId="53" fillId="0" borderId="3" xfId="0" applyFont="1" applyBorder="1" applyAlignment="1" applyProtection="1">
      <protection locked="0"/>
    </xf>
    <xf numFmtId="166" fontId="54" fillId="0" borderId="2" xfId="1" applyNumberFormat="1" applyFont="1" applyBorder="1" applyAlignment="1" applyProtection="1">
      <protection locked="0"/>
    </xf>
    <xf numFmtId="166" fontId="54" fillId="0" borderId="12" xfId="1" applyNumberFormat="1" applyFont="1" applyBorder="1" applyAlignment="1" applyProtection="1">
      <protection locked="0"/>
    </xf>
    <xf numFmtId="166" fontId="2" fillId="0" borderId="20" xfId="1" applyNumberFormat="1" applyFont="1" applyBorder="1" applyAlignment="1" applyProtection="1">
      <protection locked="0"/>
    </xf>
    <xf numFmtId="0" fontId="2" fillId="0" borderId="21" xfId="0" applyFont="1" applyBorder="1" applyAlignment="1" applyProtection="1">
      <protection locked="0"/>
    </xf>
    <xf numFmtId="44" fontId="2" fillId="0" borderId="2" xfId="3" applyFont="1" applyBorder="1" applyAlignment="1" applyProtection="1">
      <alignment horizontal="center"/>
      <protection locked="0"/>
    </xf>
    <xf numFmtId="0" fontId="55" fillId="0" borderId="18" xfId="0" applyFont="1" applyFill="1" applyBorder="1" applyAlignment="1" applyProtection="1">
      <protection locked="0"/>
    </xf>
    <xf numFmtId="0" fontId="55" fillId="0" borderId="3" xfId="0" applyFont="1" applyFill="1" applyBorder="1" applyAlignment="1" applyProtection="1">
      <protection locked="0"/>
    </xf>
    <xf numFmtId="44" fontId="55" fillId="0" borderId="12" xfId="3" applyFont="1" applyFill="1" applyBorder="1" applyAlignment="1" applyProtection="1">
      <protection locked="0"/>
    </xf>
    <xf numFmtId="44" fontId="55" fillId="0" borderId="22" xfId="3" applyFont="1" applyFill="1" applyBorder="1" applyAlignment="1" applyProtection="1">
      <protection locked="0"/>
    </xf>
    <xf numFmtId="44" fontId="55" fillId="0" borderId="2" xfId="3" applyFont="1" applyFill="1" applyBorder="1" applyAlignment="1" applyProtection="1">
      <protection locked="0"/>
    </xf>
    <xf numFmtId="44" fontId="55" fillId="0" borderId="14" xfId="3" applyFont="1" applyFill="1" applyBorder="1" applyAlignment="1" applyProtection="1">
      <protection locked="0"/>
    </xf>
    <xf numFmtId="44" fontId="55" fillId="0" borderId="23" xfId="3" applyFont="1" applyFill="1" applyBorder="1" applyAlignment="1" applyProtection="1">
      <protection locked="0"/>
    </xf>
    <xf numFmtId="44" fontId="54" fillId="0" borderId="23" xfId="3" applyFont="1" applyBorder="1" applyAlignment="1" applyProtection="1">
      <protection locked="0"/>
    </xf>
    <xf numFmtId="0" fontId="53" fillId="0" borderId="3" xfId="0" applyFont="1" applyBorder="1" applyAlignment="1" applyProtection="1">
      <alignment wrapText="1"/>
      <protection locked="0"/>
    </xf>
    <xf numFmtId="44" fontId="56" fillId="0" borderId="2" xfId="3" applyFont="1" applyBorder="1" applyAlignment="1" applyProtection="1">
      <protection locked="0"/>
    </xf>
    <xf numFmtId="44" fontId="56" fillId="0" borderId="22" xfId="3" applyFont="1" applyBorder="1" applyAlignment="1" applyProtection="1">
      <protection locked="0"/>
    </xf>
    <xf numFmtId="44" fontId="56" fillId="0" borderId="2" xfId="3" applyFont="1" applyFill="1" applyBorder="1" applyAlignment="1" applyProtection="1">
      <protection locked="0"/>
    </xf>
    <xf numFmtId="44" fontId="56" fillId="0" borderId="22" xfId="3" applyFont="1" applyFill="1" applyBorder="1" applyAlignment="1" applyProtection="1">
      <protection locked="0"/>
    </xf>
    <xf numFmtId="44" fontId="54" fillId="0" borderId="26" xfId="3" applyFont="1" applyFill="1" applyBorder="1" applyAlignment="1" applyProtection="1">
      <alignment horizontal="center"/>
      <protection locked="0"/>
    </xf>
    <xf numFmtId="44" fontId="54" fillId="0" borderId="27" xfId="3" applyFont="1" applyFill="1" applyBorder="1" applyAlignment="1" applyProtection="1">
      <protection locked="0"/>
    </xf>
    <xf numFmtId="0" fontId="2" fillId="0" borderId="28" xfId="0" applyFont="1" applyBorder="1" applyAlignment="1" applyProtection="1">
      <alignment horizontal="left"/>
      <protection locked="0"/>
    </xf>
    <xf numFmtId="0" fontId="2" fillId="0" borderId="18" xfId="0" applyFont="1" applyBorder="1" applyAlignment="1" applyProtection="1">
      <alignment wrapText="1"/>
      <protection locked="0"/>
    </xf>
    <xf numFmtId="0" fontId="53" fillId="0" borderId="0" xfId="0" applyFont="1" applyBorder="1" applyAlignment="1" applyProtection="1"/>
    <xf numFmtId="43" fontId="56" fillId="0" borderId="12" xfId="1" applyFont="1" applyBorder="1" applyAlignment="1" applyProtection="1">
      <protection locked="0"/>
    </xf>
    <xf numFmtId="44" fontId="56" fillId="0" borderId="12" xfId="3" applyFont="1" applyBorder="1" applyAlignment="1" applyProtection="1">
      <protection locked="0"/>
    </xf>
    <xf numFmtId="44" fontId="2" fillId="0" borderId="22" xfId="3" applyFont="1" applyFill="1" applyBorder="1" applyAlignment="1" applyProtection="1">
      <protection locked="0"/>
    </xf>
    <xf numFmtId="164" fontId="2" fillId="0" borderId="2" xfId="0" applyNumberFormat="1" applyFont="1" applyBorder="1" applyAlignment="1" applyProtection="1">
      <alignment horizontal="center"/>
      <protection locked="0"/>
    </xf>
    <xf numFmtId="164" fontId="2" fillId="0" borderId="29" xfId="0" applyNumberFormat="1" applyFont="1" applyBorder="1" applyAlignment="1" applyProtection="1">
      <alignment horizontal="center"/>
      <protection locked="0"/>
    </xf>
    <xf numFmtId="166" fontId="54" fillId="0" borderId="22" xfId="1" applyNumberFormat="1" applyFont="1" applyBorder="1" applyAlignment="1" applyProtection="1">
      <alignment horizontal="center"/>
      <protection locked="0"/>
    </xf>
    <xf numFmtId="166" fontId="54" fillId="0" borderId="30" xfId="1" applyNumberFormat="1" applyFont="1" applyBorder="1" applyAlignment="1" applyProtection="1">
      <alignment horizontal="center"/>
      <protection locked="0"/>
    </xf>
    <xf numFmtId="10" fontId="56" fillId="0" borderId="3" xfId="10" applyNumberFormat="1" applyFont="1" applyBorder="1" applyAlignment="1" applyProtection="1">
      <protection locked="0"/>
    </xf>
    <xf numFmtId="44" fontId="56" fillId="0" borderId="12" xfId="3" applyFont="1" applyFill="1" applyBorder="1" applyAlignment="1" applyProtection="1">
      <protection locked="0"/>
    </xf>
    <xf numFmtId="0" fontId="2" fillId="0" borderId="31" xfId="0" applyFont="1" applyBorder="1" applyAlignment="1" applyProtection="1">
      <alignment horizontal="center" wrapText="1"/>
    </xf>
    <xf numFmtId="0" fontId="55" fillId="0" borderId="18" xfId="0" applyFont="1" applyBorder="1" applyAlignment="1" applyProtection="1">
      <protection locked="0"/>
    </xf>
    <xf numFmtId="0" fontId="55" fillId="0" borderId="32" xfId="0" applyFont="1" applyBorder="1" applyAlignment="1" applyProtection="1">
      <protection locked="0"/>
    </xf>
    <xf numFmtId="0" fontId="55" fillId="0" borderId="12" xfId="0" applyFont="1" applyBorder="1" applyAlignment="1" applyProtection="1">
      <protection locked="0"/>
    </xf>
    <xf numFmtId="14" fontId="55" fillId="0" borderId="32" xfId="0" applyNumberFormat="1" applyFont="1" applyBorder="1" applyAlignment="1" applyProtection="1">
      <protection locked="0"/>
    </xf>
    <xf numFmtId="14" fontId="55" fillId="0" borderId="12" xfId="0" applyNumberFormat="1" applyFont="1" applyBorder="1" applyAlignment="1" applyProtection="1">
      <protection locked="0"/>
    </xf>
    <xf numFmtId="0" fontId="55" fillId="0" borderId="22" xfId="0" applyFont="1" applyBorder="1" applyAlignment="1" applyProtection="1">
      <protection locked="0"/>
    </xf>
    <xf numFmtId="0" fontId="55" fillId="0" borderId="33" xfId="0" applyFont="1" applyBorder="1" applyAlignment="1" applyProtection="1">
      <alignment vertical="top"/>
    </xf>
    <xf numFmtId="0" fontId="55" fillId="0" borderId="13" xfId="0" applyFont="1" applyBorder="1" applyAlignment="1" applyProtection="1">
      <protection locked="0"/>
    </xf>
    <xf numFmtId="0" fontId="55" fillId="0" borderId="30" xfId="0" applyFont="1" applyBorder="1" applyAlignment="1" applyProtection="1">
      <protection locked="0"/>
    </xf>
    <xf numFmtId="0" fontId="55" fillId="0" borderId="12" xfId="0" applyFont="1" applyBorder="1" applyAlignment="1" applyProtection="1">
      <alignment vertical="top"/>
      <protection locked="0"/>
    </xf>
    <xf numFmtId="166" fontId="56" fillId="0" borderId="12" xfId="1" applyNumberFormat="1" applyFont="1" applyBorder="1" applyAlignment="1" applyProtection="1">
      <alignment vertical="top"/>
      <protection locked="0"/>
    </xf>
    <xf numFmtId="166" fontId="56" fillId="0" borderId="22" xfId="1" applyNumberFormat="1" applyFont="1" applyBorder="1" applyAlignment="1" applyProtection="1">
      <alignment vertical="top"/>
      <protection locked="0"/>
    </xf>
    <xf numFmtId="0" fontId="57" fillId="0" borderId="0" xfId="0" applyFont="1" applyBorder="1" applyAlignment="1" applyProtection="1">
      <alignment horizontal="right"/>
      <protection locked="0"/>
    </xf>
    <xf numFmtId="166" fontId="56" fillId="0" borderId="12" xfId="1" applyNumberFormat="1" applyFont="1" applyFill="1" applyBorder="1" applyAlignment="1" applyProtection="1">
      <protection locked="0"/>
    </xf>
    <xf numFmtId="166" fontId="56" fillId="0" borderId="22" xfId="1" applyNumberFormat="1" applyFont="1" applyFill="1" applyBorder="1" applyAlignment="1" applyProtection="1">
      <protection locked="0"/>
    </xf>
    <xf numFmtId="166" fontId="56" fillId="0" borderId="32" xfId="1" applyNumberFormat="1" applyFont="1" applyBorder="1" applyAlignment="1" applyProtection="1">
      <protection locked="0"/>
    </xf>
    <xf numFmtId="166" fontId="56" fillId="0" borderId="12" xfId="1" applyNumberFormat="1" applyFont="1" applyBorder="1" applyAlignment="1" applyProtection="1">
      <protection locked="0"/>
    </xf>
    <xf numFmtId="166" fontId="56" fillId="0" borderId="32" xfId="1" applyNumberFormat="1" applyFont="1" applyFill="1" applyBorder="1" applyAlignment="1" applyProtection="1">
      <protection locked="0"/>
    </xf>
    <xf numFmtId="166" fontId="56" fillId="0" borderId="16" xfId="1" applyNumberFormat="1" applyFont="1" applyFill="1" applyBorder="1" applyAlignment="1" applyProtection="1">
      <protection locked="0"/>
    </xf>
    <xf numFmtId="166" fontId="56" fillId="0" borderId="2" xfId="1" applyNumberFormat="1" applyFont="1" applyFill="1" applyBorder="1" applyAlignment="1" applyProtection="1">
      <protection locked="0"/>
    </xf>
    <xf numFmtId="166" fontId="56" fillId="0" borderId="23" xfId="1" applyNumberFormat="1" applyFont="1" applyFill="1" applyBorder="1" applyAlignment="1" applyProtection="1">
      <protection locked="0"/>
    </xf>
    <xf numFmtId="0" fontId="4" fillId="0" borderId="7" xfId="0" applyFont="1" applyBorder="1" applyAlignment="1" applyProtection="1">
      <protection locked="0"/>
    </xf>
    <xf numFmtId="0" fontId="26" fillId="0" borderId="0" xfId="0" applyFont="1" applyBorder="1" applyAlignment="1" applyProtection="1">
      <alignment horizontal="center" vertical="top"/>
      <protection locked="0"/>
    </xf>
    <xf numFmtId="0" fontId="58" fillId="0" borderId="0" xfId="0" applyFont="1" applyBorder="1" applyProtection="1">
      <protection locked="0"/>
    </xf>
    <xf numFmtId="0" fontId="2" fillId="0" borderId="18" xfId="0" applyFont="1" applyBorder="1" applyAlignment="1" applyProtection="1">
      <alignment horizontal="center"/>
    </xf>
    <xf numFmtId="0" fontId="59" fillId="0" borderId="0" xfId="0" applyFont="1" applyBorder="1" applyAlignment="1" applyProtection="1">
      <alignment horizontal="right"/>
      <protection locked="0"/>
    </xf>
    <xf numFmtId="0" fontId="14" fillId="0" borderId="0" xfId="0" applyFont="1" applyBorder="1" applyAlignment="1" applyProtection="1">
      <alignment horizontal="center"/>
    </xf>
    <xf numFmtId="10" fontId="55" fillId="0" borderId="3" xfId="0" applyNumberFormat="1" applyFont="1" applyFill="1" applyBorder="1" applyAlignment="1" applyProtection="1">
      <alignment horizontal="center"/>
      <protection locked="0"/>
    </xf>
    <xf numFmtId="44" fontId="56" fillId="0" borderId="12" xfId="3" applyNumberFormat="1" applyFont="1" applyFill="1" applyBorder="1" applyAlignment="1" applyProtection="1">
      <alignment horizontal="center"/>
      <protection locked="0"/>
    </xf>
    <xf numFmtId="44" fontId="56" fillId="0" borderId="0" xfId="3" applyFont="1" applyFill="1" applyBorder="1" applyAlignment="1" applyProtection="1">
      <alignment horizontal="center"/>
      <protection locked="0"/>
    </xf>
    <xf numFmtId="44" fontId="55" fillId="0" borderId="12" xfId="0" applyNumberFormat="1" applyFont="1" applyFill="1" applyBorder="1" applyAlignment="1" applyProtection="1">
      <alignment horizontal="center"/>
      <protection locked="0"/>
    </xf>
    <xf numFmtId="44" fontId="56" fillId="0" borderId="12" xfId="3" applyFont="1" applyFill="1" applyBorder="1" applyAlignment="1" applyProtection="1">
      <alignment horizontal="center"/>
      <protection locked="0"/>
    </xf>
    <xf numFmtId="166" fontId="2" fillId="0" borderId="34" xfId="1" applyNumberFormat="1" applyFont="1" applyBorder="1" applyAlignment="1" applyProtection="1">
      <alignment horizontal="center" vertical="center"/>
      <protection locked="0"/>
    </xf>
    <xf numFmtId="166" fontId="2" fillId="0" borderId="7" xfId="1" applyNumberFormat="1" applyFont="1" applyBorder="1" applyAlignment="1" applyProtection="1">
      <protection locked="0"/>
    </xf>
    <xf numFmtId="0" fontId="55" fillId="0" borderId="12" xfId="0" applyFont="1" applyBorder="1" applyAlignment="1" applyProtection="1">
      <alignment vertical="top" wrapText="1"/>
      <protection locked="0"/>
    </xf>
    <xf numFmtId="0" fontId="55" fillId="0" borderId="22" xfId="0" applyFont="1" applyBorder="1" applyAlignment="1" applyProtection="1">
      <alignment vertical="top" wrapText="1"/>
      <protection locked="0"/>
    </xf>
    <xf numFmtId="0" fontId="55" fillId="0" borderId="13" xfId="0" applyFont="1" applyBorder="1" applyAlignment="1" applyProtection="1">
      <alignment vertical="top" wrapText="1"/>
      <protection locked="0"/>
    </xf>
    <xf numFmtId="0" fontId="55" fillId="0" borderId="30" xfId="0" applyFont="1" applyBorder="1" applyAlignment="1" applyProtection="1">
      <alignment vertical="top" wrapText="1"/>
      <protection locked="0"/>
    </xf>
    <xf numFmtId="0" fontId="55" fillId="0" borderId="35" xfId="0" applyFont="1" applyBorder="1" applyAlignment="1" applyProtection="1">
      <alignment wrapText="1"/>
      <protection locked="0"/>
    </xf>
    <xf numFmtId="0" fontId="55" fillId="0" borderId="18" xfId="0" applyFont="1" applyBorder="1" applyAlignment="1" applyProtection="1">
      <alignment wrapText="1"/>
      <protection locked="0"/>
    </xf>
    <xf numFmtId="44" fontId="2" fillId="6" borderId="36" xfId="3" applyFont="1" applyFill="1" applyBorder="1" applyAlignment="1" applyProtection="1"/>
    <xf numFmtId="0" fontId="2" fillId="0" borderId="0" xfId="0" applyFont="1" applyFill="1" applyBorder="1" applyProtection="1">
      <protection locked="0"/>
    </xf>
    <xf numFmtId="44" fontId="2" fillId="6" borderId="37" xfId="3" applyFont="1" applyFill="1" applyBorder="1" applyAlignment="1" applyProtection="1"/>
    <xf numFmtId="0" fontId="26" fillId="6" borderId="0" xfId="0" applyFont="1" applyFill="1" applyBorder="1" applyProtection="1">
      <protection locked="0"/>
    </xf>
    <xf numFmtId="44" fontId="2" fillId="0" borderId="22" xfId="3" applyFont="1" applyBorder="1" applyAlignment="1" applyProtection="1">
      <protection locked="0"/>
    </xf>
    <xf numFmtId="44" fontId="2" fillId="0" borderId="23" xfId="3" applyFont="1" applyBorder="1" applyAlignment="1" applyProtection="1">
      <protection locked="0"/>
    </xf>
    <xf numFmtId="0" fontId="2" fillId="0" borderId="18" xfId="0" applyNumberFormat="1" applyFont="1" applyBorder="1" applyAlignment="1" applyProtection="1">
      <alignment horizontal="center"/>
    </xf>
    <xf numFmtId="0" fontId="4" fillId="0" borderId="0" xfId="0" applyFont="1" applyBorder="1" applyAlignment="1">
      <alignment horizontal="justify" vertical="top" wrapText="1"/>
    </xf>
    <xf numFmtId="0" fontId="5" fillId="0" borderId="0" xfId="0" applyFont="1" applyBorder="1" applyAlignment="1">
      <alignment horizontal="justify" vertical="top" wrapText="1"/>
    </xf>
    <xf numFmtId="44" fontId="2" fillId="0" borderId="2" xfId="3" applyFont="1" applyFill="1" applyBorder="1" applyAlignment="1" applyProtection="1">
      <alignment vertical="top"/>
      <protection locked="0"/>
    </xf>
    <xf numFmtId="44" fontId="2" fillId="0" borderId="2" xfId="3" applyFont="1" applyBorder="1" applyAlignment="1" applyProtection="1">
      <alignment horizontal="center" vertical="top"/>
      <protection locked="0"/>
    </xf>
    <xf numFmtId="0" fontId="2" fillId="0" borderId="5" xfId="0" applyFont="1" applyBorder="1" applyAlignment="1" applyProtection="1">
      <alignment horizontal="center" vertical="top" wrapText="1"/>
    </xf>
    <xf numFmtId="0" fontId="53" fillId="0" borderId="0" xfId="0" applyFont="1" applyBorder="1" applyAlignment="1" applyProtection="1">
      <protection locked="0"/>
    </xf>
    <xf numFmtId="44" fontId="54" fillId="0" borderId="22" xfId="3" applyFont="1" applyBorder="1" applyAlignment="1" applyProtection="1">
      <protection locked="0"/>
    </xf>
    <xf numFmtId="0" fontId="53" fillId="0" borderId="0" xfId="0" applyFont="1" applyBorder="1" applyAlignment="1" applyProtection="1">
      <alignment vertical="top"/>
    </xf>
    <xf numFmtId="0" fontId="2" fillId="5" borderId="4" xfId="9" applyFont="1" applyFill="1" applyBorder="1" applyAlignment="1" applyProtection="1">
      <alignment horizontal="center"/>
      <protection locked="0"/>
    </xf>
    <xf numFmtId="0" fontId="2" fillId="0" borderId="90" xfId="0" applyFont="1" applyBorder="1" applyAlignment="1" applyProtection="1">
      <protection locked="0"/>
    </xf>
    <xf numFmtId="44" fontId="35" fillId="0" borderId="0" xfId="3" applyFont="1" applyFill="1" applyBorder="1" applyProtection="1">
      <protection locked="0"/>
    </xf>
    <xf numFmtId="0" fontId="35" fillId="0" borderId="2" xfId="0" applyFont="1" applyBorder="1" applyProtection="1">
      <protection locked="0"/>
    </xf>
    <xf numFmtId="0" fontId="35" fillId="0" borderId="0" xfId="0" applyFont="1" applyBorder="1" applyProtection="1">
      <protection locked="0"/>
    </xf>
    <xf numFmtId="44" fontId="35" fillId="0" borderId="2" xfId="3" applyFont="1" applyBorder="1" applyAlignment="1" applyProtection="1">
      <protection locked="0"/>
    </xf>
    <xf numFmtId="44" fontId="35" fillId="0" borderId="2" xfId="3" applyFont="1" applyFill="1" applyBorder="1" applyAlignment="1" applyProtection="1">
      <protection locked="0"/>
    </xf>
    <xf numFmtId="0" fontId="35" fillId="0" borderId="13" xfId="0" applyFont="1" applyBorder="1" applyAlignment="1" applyProtection="1">
      <protection locked="0"/>
    </xf>
    <xf numFmtId="44" fontId="35" fillId="0" borderId="22" xfId="3" applyFont="1" applyFill="1" applyBorder="1" applyAlignment="1" applyProtection="1">
      <protection locked="0"/>
    </xf>
    <xf numFmtId="166" fontId="35" fillId="0" borderId="12" xfId="1" applyNumberFormat="1" applyFont="1" applyBorder="1" applyAlignment="1" applyProtection="1">
      <protection locked="0"/>
    </xf>
    <xf numFmtId="44" fontId="35" fillId="0" borderId="22" xfId="3" applyFont="1" applyBorder="1" applyAlignment="1" applyProtection="1">
      <protection locked="0"/>
    </xf>
    <xf numFmtId="166" fontId="35" fillId="0" borderId="2" xfId="1" applyNumberFormat="1" applyFont="1" applyBorder="1" applyAlignment="1" applyProtection="1">
      <protection locked="0"/>
    </xf>
    <xf numFmtId="44" fontId="35" fillId="0" borderId="22" xfId="3" applyFont="1" applyBorder="1" applyAlignment="1" applyProtection="1">
      <alignment horizontal="center"/>
      <protection locked="0"/>
    </xf>
    <xf numFmtId="0" fontId="35" fillId="0" borderId="0" xfId="0" applyFont="1" applyBorder="1" applyAlignment="1" applyProtection="1">
      <protection locked="0"/>
    </xf>
    <xf numFmtId="44" fontId="60" fillId="0" borderId="25" xfId="3" applyFont="1" applyBorder="1" applyAlignment="1" applyProtection="1"/>
    <xf numFmtId="44" fontId="60" fillId="0" borderId="22" xfId="3" applyFont="1" applyBorder="1" applyAlignment="1" applyProtection="1">
      <protection locked="0"/>
    </xf>
    <xf numFmtId="44" fontId="60" fillId="0" borderId="17" xfId="3" applyFont="1" applyBorder="1" applyAlignment="1" applyProtection="1">
      <protection locked="0"/>
    </xf>
    <xf numFmtId="44" fontId="60" fillId="0" borderId="17" xfId="3" applyFont="1" applyFill="1" applyBorder="1" applyAlignment="1" applyProtection="1">
      <protection locked="0"/>
    </xf>
    <xf numFmtId="44" fontId="60" fillId="0" borderId="8" xfId="3" applyFont="1" applyFill="1" applyBorder="1" applyAlignment="1" applyProtection="1">
      <protection locked="0"/>
    </xf>
    <xf numFmtId="44" fontId="60" fillId="0" borderId="8" xfId="3" applyFont="1" applyBorder="1" applyAlignment="1" applyProtection="1">
      <protection locked="0"/>
    </xf>
    <xf numFmtId="0" fontId="60" fillId="0" borderId="38" xfId="0" applyFont="1" applyBorder="1" applyAlignment="1" applyProtection="1">
      <protection locked="0"/>
    </xf>
    <xf numFmtId="0" fontId="60" fillId="0" borderId="0" xfId="0" applyFont="1" applyProtection="1">
      <protection locked="0"/>
    </xf>
    <xf numFmtId="44" fontId="35" fillId="0" borderId="0" xfId="3" applyFont="1" applyFill="1" applyBorder="1" applyAlignment="1" applyProtection="1">
      <protection locked="0"/>
    </xf>
    <xf numFmtId="0" fontId="32" fillId="0" borderId="0" xfId="0" applyFont="1" applyBorder="1" applyAlignment="1" applyProtection="1">
      <alignment horizontal="right"/>
      <protection locked="0"/>
    </xf>
    <xf numFmtId="0" fontId="35" fillId="0" borderId="39" xfId="0" applyFont="1" applyBorder="1" applyAlignment="1" applyProtection="1"/>
    <xf numFmtId="0" fontId="35" fillId="0" borderId="0" xfId="0" applyFont="1" applyBorder="1" applyAlignment="1" applyProtection="1"/>
    <xf numFmtId="0" fontId="35" fillId="0" borderId="0" xfId="0" applyFont="1" applyBorder="1" applyAlignment="1" applyProtection="1">
      <alignment vertical="top"/>
    </xf>
    <xf numFmtId="0" fontId="36" fillId="0" borderId="0" xfId="0" applyFont="1" applyBorder="1" applyAlignment="1" applyProtection="1">
      <alignment horizontal="right" vertical="top"/>
      <protection locked="0"/>
    </xf>
    <xf numFmtId="0" fontId="14" fillId="0" borderId="7" xfId="0" applyFont="1" applyBorder="1" applyAlignment="1" applyProtection="1">
      <alignment horizontal="center"/>
      <protection locked="0"/>
    </xf>
    <xf numFmtId="0" fontId="37" fillId="0" borderId="0" xfId="0" applyFont="1" applyBorder="1" applyProtection="1">
      <protection locked="0"/>
    </xf>
    <xf numFmtId="0" fontId="37" fillId="0" borderId="0" xfId="0" applyFont="1" applyBorder="1" applyAlignment="1" applyProtection="1">
      <protection locked="0"/>
    </xf>
    <xf numFmtId="0" fontId="4" fillId="5" borderId="0" xfId="6" applyFont="1" applyFill="1" applyBorder="1" applyAlignment="1" applyProtection="1">
      <alignment horizontal="left"/>
    </xf>
    <xf numFmtId="0" fontId="5" fillId="5" borderId="0" xfId="0" applyFont="1" applyFill="1" applyBorder="1" applyAlignment="1" applyProtection="1">
      <alignment horizontal="center"/>
    </xf>
    <xf numFmtId="0" fontId="2" fillId="0" borderId="0" xfId="0" applyFont="1" applyBorder="1" applyAlignment="1" applyProtection="1">
      <alignment horizontal="center" vertical="top" wrapText="1"/>
      <protection locked="0"/>
    </xf>
    <xf numFmtId="0" fontId="27" fillId="7" borderId="0" xfId="0" applyFont="1" applyFill="1" applyBorder="1" applyProtection="1">
      <protection locked="0"/>
    </xf>
    <xf numFmtId="0" fontId="27" fillId="0" borderId="0" xfId="0" applyFont="1" applyFill="1" applyBorder="1" applyProtection="1">
      <protection locked="0"/>
    </xf>
    <xf numFmtId="0" fontId="27" fillId="8" borderId="0" xfId="0" applyFont="1" applyFill="1" applyBorder="1" applyAlignment="1" applyProtection="1">
      <protection locked="0"/>
    </xf>
    <xf numFmtId="0" fontId="27" fillId="0" borderId="0" xfId="0" applyFont="1" applyFill="1" applyBorder="1" applyAlignment="1" applyProtection="1">
      <protection locked="0"/>
    </xf>
    <xf numFmtId="0" fontId="27" fillId="0" borderId="5" xfId="0" applyFont="1" applyFill="1" applyBorder="1" applyAlignment="1" applyProtection="1">
      <protection locked="0"/>
    </xf>
    <xf numFmtId="164" fontId="2" fillId="0" borderId="5" xfId="0" applyNumberFormat="1" applyFont="1" applyBorder="1" applyAlignment="1" applyProtection="1">
      <alignment horizontal="center"/>
    </xf>
    <xf numFmtId="0" fontId="2" fillId="0" borderId="0" xfId="0" applyFont="1" applyBorder="1" applyAlignment="1" applyProtection="1">
      <alignment horizontal="center" wrapText="1"/>
    </xf>
    <xf numFmtId="0" fontId="15" fillId="0" borderId="0" xfId="0" applyFont="1" applyBorder="1" applyAlignment="1" applyProtection="1">
      <alignment horizontal="center"/>
    </xf>
    <xf numFmtId="165" fontId="2" fillId="0" borderId="0" xfId="0" applyNumberFormat="1" applyFont="1" applyBorder="1" applyAlignment="1" applyProtection="1">
      <alignment horizontal="center"/>
    </xf>
    <xf numFmtId="164" fontId="2" fillId="0" borderId="0" xfId="0" applyNumberFormat="1" applyFont="1" applyBorder="1" applyAlignment="1" applyProtection="1">
      <alignment horizontal="center"/>
    </xf>
    <xf numFmtId="0" fontId="26" fillId="0" borderId="0" xfId="0" applyFont="1" applyBorder="1" applyAlignment="1" applyProtection="1">
      <alignment horizontal="center" vertical="top"/>
    </xf>
    <xf numFmtId="0" fontId="2" fillId="0" borderId="0" xfId="0" applyFont="1" applyBorder="1" applyAlignment="1" applyProtection="1">
      <alignment horizontal="right"/>
    </xf>
    <xf numFmtId="0" fontId="2" fillId="0" borderId="4" xfId="0" applyFont="1" applyBorder="1" applyAlignment="1" applyProtection="1"/>
    <xf numFmtId="0" fontId="14" fillId="0" borderId="4" xfId="0" applyFont="1" applyBorder="1" applyAlignment="1" applyProtection="1">
      <alignment horizontal="left"/>
    </xf>
    <xf numFmtId="0" fontId="2" fillId="0" borderId="7" xfId="0" applyFont="1" applyBorder="1" applyAlignment="1" applyProtection="1">
      <alignment horizontal="center"/>
    </xf>
    <xf numFmtId="0" fontId="14" fillId="0" borderId="20" xfId="0" applyFont="1" applyBorder="1" applyAlignment="1" applyProtection="1">
      <alignment horizontal="center"/>
    </xf>
    <xf numFmtId="0" fontId="14" fillId="0" borderId="7" xfId="0" applyFont="1" applyBorder="1" applyAlignment="1" applyProtection="1">
      <alignment horizontal="center"/>
    </xf>
    <xf numFmtId="0" fontId="2" fillId="0" borderId="5" xfId="0" applyFont="1" applyFill="1" applyBorder="1" applyAlignment="1" applyProtection="1">
      <alignment horizontal="left"/>
    </xf>
    <xf numFmtId="44" fontId="2" fillId="7" borderId="20" xfId="3" applyNumberFormat="1" applyFont="1" applyFill="1" applyBorder="1" applyAlignment="1" applyProtection="1">
      <alignment horizontal="left" vertical="center"/>
    </xf>
    <xf numFmtId="0" fontId="2" fillId="0" borderId="0" xfId="0" applyFont="1" applyFill="1" applyBorder="1" applyAlignment="1" applyProtection="1"/>
    <xf numFmtId="0" fontId="14" fillId="0" borderId="0" xfId="0" applyFont="1" applyFill="1" applyBorder="1" applyAlignment="1" applyProtection="1">
      <alignment horizontal="left"/>
    </xf>
    <xf numFmtId="44" fontId="2" fillId="8" borderId="6" xfId="3" applyNumberFormat="1" applyFont="1" applyFill="1" applyBorder="1" applyAlignment="1" applyProtection="1">
      <alignment vertical="center"/>
    </xf>
    <xf numFmtId="0" fontId="27" fillId="0" borderId="0" xfId="0" applyFont="1" applyBorder="1" applyAlignment="1" applyProtection="1"/>
    <xf numFmtId="0" fontId="27" fillId="7" borderId="0" xfId="0" applyFont="1" applyFill="1" applyBorder="1" applyProtection="1"/>
    <xf numFmtId="0" fontId="27" fillId="0" borderId="0" xfId="0" applyFont="1" applyFill="1" applyBorder="1" applyProtection="1"/>
    <xf numFmtId="0" fontId="27" fillId="8" borderId="0" xfId="0" applyFont="1" applyFill="1" applyBorder="1" applyAlignment="1" applyProtection="1"/>
    <xf numFmtId="0" fontId="27" fillId="0" borderId="0" xfId="0" applyFont="1" applyFill="1" applyBorder="1" applyAlignment="1" applyProtection="1"/>
    <xf numFmtId="0" fontId="2" fillId="0" borderId="0" xfId="0" applyFont="1" applyFill="1" applyBorder="1" applyProtection="1"/>
    <xf numFmtId="0" fontId="15" fillId="0" borderId="0" xfId="0" applyFont="1" applyBorder="1" applyAlignment="1" applyProtection="1">
      <alignment horizontal="right"/>
    </xf>
    <xf numFmtId="0" fontId="2" fillId="0" borderId="4" xfId="0" applyFont="1" applyBorder="1" applyAlignment="1" applyProtection="1">
      <alignment horizontal="left"/>
    </xf>
    <xf numFmtId="0" fontId="23" fillId="0" borderId="0" xfId="0" applyFont="1" applyBorder="1" applyAlignment="1" applyProtection="1">
      <alignment horizontal="center"/>
    </xf>
    <xf numFmtId="0" fontId="2" fillId="9" borderId="40" xfId="0" applyFont="1" applyFill="1" applyBorder="1" applyAlignment="1" applyProtection="1">
      <alignment horizontal="center" wrapText="1"/>
    </xf>
    <xf numFmtId="0" fontId="2" fillId="9" borderId="41" xfId="0" applyFont="1" applyFill="1" applyBorder="1" applyAlignment="1" applyProtection="1">
      <alignment horizontal="center" wrapText="1"/>
    </xf>
    <xf numFmtId="0" fontId="2" fillId="0" borderId="38" xfId="0" applyFont="1" applyBorder="1" applyAlignment="1" applyProtection="1"/>
    <xf numFmtId="0" fontId="24" fillId="0" borderId="0" xfId="0" applyFont="1" applyBorder="1" applyAlignment="1" applyProtection="1">
      <alignment horizontal="center"/>
    </xf>
    <xf numFmtId="0" fontId="2" fillId="0" borderId="15" xfId="0" applyFont="1" applyBorder="1" applyAlignment="1" applyProtection="1"/>
    <xf numFmtId="1" fontId="2" fillId="8" borderId="16" xfId="1" applyNumberFormat="1" applyFont="1" applyFill="1" applyBorder="1" applyAlignment="1" applyProtection="1"/>
    <xf numFmtId="0" fontId="5" fillId="5" borderId="0" xfId="0" applyFont="1" applyFill="1" applyBorder="1" applyProtection="1"/>
    <xf numFmtId="0" fontId="2" fillId="0" borderId="0" xfId="0" applyFont="1" applyBorder="1" applyAlignment="1" applyProtection="1">
      <alignment horizontal="left" indent="1"/>
    </xf>
    <xf numFmtId="0" fontId="2" fillId="0" borderId="0" xfId="0" applyFont="1" applyBorder="1" applyAlignment="1" applyProtection="1">
      <alignment horizontal="left" indent="2"/>
    </xf>
    <xf numFmtId="0" fontId="2" fillId="0" borderId="0" xfId="0" applyFont="1" applyBorder="1" applyAlignment="1" applyProtection="1">
      <alignment horizontal="left" vertical="top"/>
    </xf>
    <xf numFmtId="0" fontId="15" fillId="0" borderId="5" xfId="0" applyFont="1" applyBorder="1" applyAlignment="1" applyProtection="1">
      <alignment horizontal="right"/>
    </xf>
    <xf numFmtId="0" fontId="35" fillId="0" borderId="0" xfId="0" applyFont="1" applyBorder="1" applyProtection="1"/>
    <xf numFmtId="0" fontId="2" fillId="9" borderId="42" xfId="0" applyFont="1" applyFill="1" applyBorder="1" applyAlignment="1" applyProtection="1">
      <alignment horizontal="center" vertical="center"/>
    </xf>
    <xf numFmtId="0" fontId="2" fillId="9" borderId="41" xfId="0" applyFont="1" applyFill="1" applyBorder="1" applyAlignment="1" applyProtection="1">
      <alignment horizontal="center" vertical="center"/>
    </xf>
    <xf numFmtId="0" fontId="2" fillId="0" borderId="3" xfId="0" applyFont="1" applyBorder="1" applyAlignment="1" applyProtection="1"/>
    <xf numFmtId="44" fontId="35" fillId="7" borderId="0" xfId="3" applyFont="1" applyFill="1" applyBorder="1" applyProtection="1"/>
    <xf numFmtId="0" fontId="2" fillId="9" borderId="3" xfId="0" applyFont="1" applyFill="1" applyBorder="1" applyAlignment="1" applyProtection="1">
      <alignment horizontal="center"/>
    </xf>
    <xf numFmtId="0" fontId="2" fillId="0" borderId="0" xfId="0" applyFont="1" applyFill="1" applyBorder="1" applyAlignment="1" applyProtection="1">
      <alignment horizontal="left"/>
    </xf>
    <xf numFmtId="44" fontId="35" fillId="10" borderId="0" xfId="3" applyFont="1" applyFill="1" applyBorder="1" applyProtection="1"/>
    <xf numFmtId="44" fontId="35" fillId="0" borderId="0" xfId="3" applyFont="1" applyFill="1" applyBorder="1" applyProtection="1"/>
    <xf numFmtId="44" fontId="27" fillId="8" borderId="29" xfId="3" applyFont="1" applyFill="1" applyBorder="1" applyAlignment="1" applyProtection="1"/>
    <xf numFmtId="0" fontId="4" fillId="0" borderId="0" xfId="0" applyFont="1" applyBorder="1" applyAlignment="1" applyProtection="1">
      <alignment horizontal="center" vertical="top"/>
    </xf>
    <xf numFmtId="0" fontId="15" fillId="0" borderId="0" xfId="0" applyFont="1" applyBorder="1" applyAlignment="1" applyProtection="1"/>
    <xf numFmtId="0" fontId="14" fillId="0" borderId="0" xfId="0" applyFont="1" applyBorder="1" applyAlignment="1" applyProtection="1">
      <alignment horizontal="center" vertical="center"/>
    </xf>
    <xf numFmtId="0" fontId="60" fillId="0" borderId="0" xfId="0" applyFont="1" applyProtection="1"/>
    <xf numFmtId="0" fontId="14" fillId="0" borderId="0" xfId="0" applyFont="1" applyAlignment="1" applyProtection="1">
      <alignment horizontal="center" vertical="center"/>
    </xf>
    <xf numFmtId="0" fontId="14" fillId="0" borderId="0" xfId="0" applyFont="1" applyProtection="1"/>
    <xf numFmtId="0" fontId="14" fillId="0" borderId="0" xfId="0" applyFont="1" applyAlignment="1" applyProtection="1">
      <alignment horizontal="right"/>
    </xf>
    <xf numFmtId="0" fontId="2" fillId="0" borderId="0" xfId="0" applyFont="1" applyAlignment="1" applyProtection="1">
      <alignment horizontal="center" vertical="center"/>
    </xf>
    <xf numFmtId="0" fontId="2" fillId="0" borderId="0" xfId="0" applyFont="1" applyProtection="1"/>
    <xf numFmtId="0" fontId="2" fillId="0" borderId="28" xfId="0" applyFont="1" applyBorder="1" applyAlignment="1" applyProtection="1">
      <alignment horizontal="center" vertical="top" wrapText="1"/>
    </xf>
    <xf numFmtId="44" fontId="27" fillId="8" borderId="7" xfId="3" applyFont="1" applyFill="1" applyBorder="1" applyAlignment="1" applyProtection="1"/>
    <xf numFmtId="44" fontId="2" fillId="0" borderId="0" xfId="3" applyFont="1" applyBorder="1" applyAlignment="1" applyProtection="1">
      <alignment vertical="top" wrapText="1"/>
    </xf>
    <xf numFmtId="0" fontId="26" fillId="0" borderId="0" xfId="0" applyFont="1" applyBorder="1" applyProtection="1"/>
    <xf numFmtId="44" fontId="2" fillId="0" borderId="2" xfId="3" applyFont="1" applyFill="1" applyBorder="1" applyAlignment="1" applyProtection="1"/>
    <xf numFmtId="44" fontId="35" fillId="7" borderId="2" xfId="3" applyFont="1" applyFill="1" applyBorder="1" applyAlignment="1" applyProtection="1"/>
    <xf numFmtId="0" fontId="2" fillId="9" borderId="3" xfId="0" applyFont="1" applyFill="1" applyBorder="1" applyAlignment="1" applyProtection="1"/>
    <xf numFmtId="44" fontId="27" fillId="8" borderId="12" xfId="3" applyFont="1" applyFill="1" applyBorder="1" applyAlignment="1" applyProtection="1"/>
    <xf numFmtId="0" fontId="14" fillId="0" borderId="21" xfId="0" applyFont="1" applyBorder="1" applyAlignment="1" applyProtection="1"/>
    <xf numFmtId="0" fontId="35" fillId="0" borderId="43" xfId="0" applyFont="1" applyBorder="1" applyAlignment="1" applyProtection="1"/>
    <xf numFmtId="0" fontId="14" fillId="0" borderId="0" xfId="0" applyFont="1" applyFill="1" applyBorder="1" applyAlignment="1" applyProtection="1">
      <alignment horizontal="center" vertical="center"/>
    </xf>
    <xf numFmtId="0" fontId="14" fillId="0" borderId="0" xfId="0" applyFont="1" applyFill="1" applyBorder="1" applyProtection="1"/>
    <xf numFmtId="0" fontId="14" fillId="0" borderId="0" xfId="0" applyFont="1" applyFill="1" applyBorder="1" applyAlignment="1" applyProtection="1">
      <alignment horizontal="right"/>
    </xf>
    <xf numFmtId="44" fontId="27" fillId="0" borderId="0" xfId="3" applyFont="1" applyFill="1" applyBorder="1" applyProtection="1"/>
    <xf numFmtId="0" fontId="60" fillId="0" borderId="0" xfId="0" applyFont="1" applyFill="1" applyBorder="1" applyProtection="1"/>
    <xf numFmtId="0" fontId="2" fillId="0" borderId="0" xfId="0" applyFont="1" applyFill="1" applyBorder="1" applyAlignment="1" applyProtection="1">
      <alignment horizontal="center" vertical="center"/>
    </xf>
    <xf numFmtId="44" fontId="2" fillId="0" borderId="0" xfId="3" applyFont="1" applyFill="1" applyBorder="1" applyAlignment="1" applyProtection="1">
      <alignment vertical="top" wrapText="1"/>
    </xf>
    <xf numFmtId="44" fontId="27" fillId="0" borderId="0" xfId="3" applyFont="1" applyFill="1" applyBorder="1" applyAlignment="1" applyProtection="1"/>
    <xf numFmtId="0" fontId="2" fillId="0" borderId="44"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3" fillId="0" borderId="0" xfId="0" applyFont="1" applyFill="1" applyBorder="1" applyAlignment="1" applyProtection="1">
      <alignment horizontal="center"/>
    </xf>
    <xf numFmtId="0" fontId="2" fillId="9" borderId="32" xfId="0" applyFont="1" applyFill="1" applyBorder="1" applyAlignment="1" applyProtection="1">
      <alignment horizontal="center"/>
    </xf>
    <xf numFmtId="0" fontId="2" fillId="9" borderId="45" xfId="0" applyFont="1" applyFill="1" applyBorder="1" applyAlignment="1" applyProtection="1">
      <alignment horizontal="center"/>
    </xf>
    <xf numFmtId="0" fontId="2" fillId="9" borderId="13" xfId="0" applyFont="1" applyFill="1" applyBorder="1" applyAlignment="1" applyProtection="1">
      <alignment horizontal="center" vertical="center"/>
    </xf>
    <xf numFmtId="0" fontId="2" fillId="9" borderId="30" xfId="0" applyFont="1" applyFill="1" applyBorder="1" applyAlignment="1" applyProtection="1">
      <alignment horizontal="center" vertical="center"/>
    </xf>
    <xf numFmtId="49" fontId="2" fillId="0" borderId="18" xfId="0" applyNumberFormat="1" applyFont="1" applyBorder="1" applyAlignment="1" applyProtection="1">
      <alignment horizontal="center"/>
    </xf>
    <xf numFmtId="0" fontId="2" fillId="0" borderId="2" xfId="0" applyFont="1" applyBorder="1" applyAlignment="1" applyProtection="1"/>
    <xf numFmtId="44" fontId="2" fillId="0" borderId="0" xfId="3" applyFont="1" applyFill="1" applyBorder="1" applyAlignment="1" applyProtection="1"/>
    <xf numFmtId="0" fontId="2" fillId="0" borderId="12" xfId="0" applyFont="1" applyBorder="1" applyAlignment="1" applyProtection="1"/>
    <xf numFmtId="0" fontId="53" fillId="0" borderId="3" xfId="0" applyFont="1" applyBorder="1" applyAlignment="1" applyProtection="1">
      <alignment horizontal="center"/>
    </xf>
    <xf numFmtId="0" fontId="2" fillId="0" borderId="13" xfId="0" applyFont="1" applyBorder="1" applyProtection="1"/>
    <xf numFmtId="0" fontId="2" fillId="0" borderId="30" xfId="0" applyFont="1" applyBorder="1" applyProtection="1"/>
    <xf numFmtId="44" fontId="15" fillId="0" borderId="0" xfId="3" applyFont="1" applyFill="1" applyBorder="1" applyAlignment="1" applyProtection="1">
      <alignment horizontal="center"/>
    </xf>
    <xf numFmtId="9" fontId="26" fillId="0" borderId="0" xfId="10" applyFont="1" applyBorder="1" applyProtection="1">
      <protection locked="0"/>
    </xf>
    <xf numFmtId="9" fontId="2" fillId="0" borderId="0" xfId="10" applyFont="1" applyBorder="1" applyAlignment="1" applyProtection="1">
      <protection locked="0"/>
    </xf>
    <xf numFmtId="9" fontId="2" fillId="0" borderId="0" xfId="10" applyFont="1" applyFill="1" applyBorder="1" applyAlignment="1" applyProtection="1">
      <protection locked="0"/>
    </xf>
    <xf numFmtId="9" fontId="53" fillId="0" borderId="0" xfId="10" applyFont="1" applyBorder="1" applyProtection="1">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top" wrapText="1"/>
      <protection locked="0"/>
    </xf>
    <xf numFmtId="44" fontId="27" fillId="0" borderId="0" xfId="3" applyFont="1" applyFill="1" applyBorder="1" applyAlignment="1" applyProtection="1">
      <protection locked="0"/>
    </xf>
    <xf numFmtId="0" fontId="60" fillId="0" borderId="0" xfId="0" applyFont="1" applyFill="1" applyBorder="1" applyProtection="1">
      <protection locked="0"/>
    </xf>
    <xf numFmtId="0" fontId="14" fillId="0" borderId="0" xfId="0" applyFont="1" applyFill="1" applyBorder="1" applyAlignment="1" applyProtection="1">
      <alignment horizontal="center" vertical="center"/>
      <protection locked="0"/>
    </xf>
    <xf numFmtId="0" fontId="14" fillId="0" borderId="0" xfId="0" applyFont="1" applyFill="1" applyBorder="1" applyProtection="1">
      <protection locked="0"/>
    </xf>
    <xf numFmtId="0" fontId="14" fillId="0" borderId="0" xfId="0" applyFont="1" applyFill="1" applyBorder="1" applyAlignment="1" applyProtection="1">
      <alignment horizontal="right"/>
      <protection locked="0"/>
    </xf>
    <xf numFmtId="44" fontId="27" fillId="0" borderId="0" xfId="3" applyFont="1" applyFill="1" applyBorder="1" applyProtection="1">
      <protection locked="0"/>
    </xf>
    <xf numFmtId="44" fontId="2" fillId="0" borderId="0" xfId="3" applyFont="1" applyFill="1" applyBorder="1" applyAlignment="1" applyProtection="1">
      <alignment vertical="top" wrapText="1"/>
      <protection locked="0"/>
    </xf>
    <xf numFmtId="0" fontId="2" fillId="0" borderId="0" xfId="0" applyFont="1" applyProtection="1">
      <protection locked="0"/>
    </xf>
    <xf numFmtId="0" fontId="2" fillId="0" borderId="0" xfId="0" applyFont="1" applyAlignment="1" applyProtection="1">
      <protection locked="0"/>
    </xf>
    <xf numFmtId="0" fontId="27" fillId="0" borderId="0" xfId="0" applyFont="1" applyBorder="1" applyAlignment="1" applyProtection="1">
      <alignment textRotation="180"/>
      <protection locked="0"/>
    </xf>
    <xf numFmtId="0" fontId="2" fillId="0" borderId="0" xfId="0" applyFont="1" applyAlignment="1" applyProtection="1">
      <alignment horizontal="center" vertical="center"/>
      <protection locked="0"/>
    </xf>
    <xf numFmtId="0" fontId="2" fillId="0" borderId="5" xfId="0" applyFont="1" applyBorder="1" applyAlignment="1" applyProtection="1">
      <alignment horizontal="center" vertical="top" wrapText="1"/>
      <protection locked="0"/>
    </xf>
    <xf numFmtId="44" fontId="2" fillId="0" borderId="0" xfId="3" applyFont="1" applyBorder="1" applyAlignment="1" applyProtection="1">
      <alignment vertical="top" wrapText="1"/>
      <protection locked="0"/>
    </xf>
    <xf numFmtId="0" fontId="2" fillId="0" borderId="0" xfId="0" applyFont="1" applyFill="1" applyBorder="1" applyAlignment="1" applyProtection="1">
      <alignment vertical="top" wrapText="1"/>
      <protection locked="0"/>
    </xf>
    <xf numFmtId="0" fontId="5" fillId="0" borderId="0" xfId="0" applyFont="1" applyBorder="1" applyAlignment="1" applyProtection="1">
      <alignment textRotation="180"/>
      <protection locked="0"/>
    </xf>
    <xf numFmtId="0" fontId="0" fillId="0" borderId="0" xfId="0" applyProtection="1"/>
    <xf numFmtId="0" fontId="26" fillId="0" borderId="0" xfId="0" applyFont="1" applyAlignment="1" applyProtection="1">
      <alignment horizontal="center" vertical="center" textRotation="180"/>
    </xf>
    <xf numFmtId="0" fontId="26" fillId="0" borderId="0" xfId="0" applyFont="1" applyAlignment="1" applyProtection="1">
      <alignment horizontal="center" textRotation="180"/>
    </xf>
    <xf numFmtId="0" fontId="2" fillId="0" borderId="0" xfId="0" applyFont="1" applyFill="1" applyBorder="1" applyAlignment="1" applyProtection="1">
      <alignment textRotation="180"/>
    </xf>
    <xf numFmtId="0" fontId="26" fillId="0" borderId="0" xfId="0" applyFont="1" applyFill="1" applyBorder="1" applyAlignment="1" applyProtection="1">
      <alignment horizontal="center"/>
    </xf>
    <xf numFmtId="0" fontId="0" fillId="0" borderId="0" xfId="0" applyBorder="1" applyProtection="1"/>
    <xf numFmtId="0" fontId="0" fillId="3" borderId="29" xfId="0" applyFill="1" applyBorder="1" applyAlignment="1" applyProtection="1">
      <alignment horizontal="center" wrapText="1"/>
    </xf>
    <xf numFmtId="0" fontId="0" fillId="3" borderId="30" xfId="0" applyFill="1" applyBorder="1" applyAlignment="1" applyProtection="1">
      <alignment horizontal="center" wrapText="1"/>
    </xf>
    <xf numFmtId="0" fontId="26" fillId="0" borderId="0" xfId="0" applyFont="1" applyFill="1" applyBorder="1" applyAlignment="1" applyProtection="1">
      <alignment horizontal="right"/>
    </xf>
    <xf numFmtId="0" fontId="26" fillId="0" borderId="0" xfId="0" applyFont="1" applyBorder="1" applyAlignment="1" applyProtection="1">
      <alignment horizontal="right"/>
    </xf>
    <xf numFmtId="0" fontId="2" fillId="0" borderId="46" xfId="0" applyFont="1" applyBorder="1" applyAlignment="1" applyProtection="1">
      <alignment horizontal="center"/>
    </xf>
    <xf numFmtId="0" fontId="5" fillId="0" borderId="21" xfId="0" applyFont="1" applyBorder="1" applyAlignment="1" applyProtection="1"/>
    <xf numFmtId="44" fontId="0" fillId="0" borderId="47" xfId="0" applyNumberFormat="1" applyBorder="1" applyAlignment="1" applyProtection="1"/>
    <xf numFmtId="0" fontId="15" fillId="0" borderId="47" xfId="0" applyFont="1" applyBorder="1" applyAlignment="1" applyProtection="1">
      <alignment horizontal="center" vertical="top"/>
    </xf>
    <xf numFmtId="44" fontId="0" fillId="0" borderId="48" xfId="0" applyNumberFormat="1" applyBorder="1" applyAlignment="1" applyProtection="1"/>
    <xf numFmtId="0" fontId="15" fillId="0" borderId="0" xfId="0" applyFont="1" applyAlignment="1" applyProtection="1"/>
    <xf numFmtId="0" fontId="2" fillId="0" borderId="0" xfId="0" applyFont="1" applyAlignment="1" applyProtection="1"/>
    <xf numFmtId="0" fontId="26" fillId="0" borderId="0" xfId="0" applyFont="1" applyBorder="1" applyAlignment="1" applyProtection="1">
      <alignment horizontal="center" vertical="center" textRotation="180"/>
    </xf>
    <xf numFmtId="0" fontId="27" fillId="0" borderId="0" xfId="0" applyFont="1" applyBorder="1" applyAlignment="1" applyProtection="1">
      <alignment horizontal="center" vertical="top" textRotation="180"/>
    </xf>
    <xf numFmtId="0" fontId="53" fillId="9" borderId="29" xfId="0" applyFont="1" applyFill="1" applyBorder="1" applyAlignment="1" applyProtection="1">
      <alignment horizontal="center" vertical="center" wrapText="1"/>
    </xf>
    <xf numFmtId="0" fontId="15" fillId="0" borderId="49" xfId="0" applyFont="1" applyBorder="1" applyAlignment="1" applyProtection="1">
      <alignment horizontal="center" vertical="top"/>
    </xf>
    <xf numFmtId="0" fontId="53" fillId="0" borderId="49" xfId="0" applyFont="1" applyBorder="1" applyAlignment="1" applyProtection="1">
      <alignment horizontal="center" vertical="top"/>
    </xf>
    <xf numFmtId="0" fontId="53" fillId="0" borderId="34" xfId="0" applyFont="1" applyBorder="1" applyAlignment="1" applyProtection="1">
      <alignment horizontal="center" vertical="top"/>
    </xf>
    <xf numFmtId="44" fontId="15" fillId="0" borderId="0" xfId="0" applyNumberFormat="1" applyFont="1" applyBorder="1" applyAlignment="1" applyProtection="1">
      <alignment horizontal="right"/>
    </xf>
    <xf numFmtId="0" fontId="15" fillId="0" borderId="0" xfId="0" applyFont="1" applyBorder="1" applyAlignment="1" applyProtection="1">
      <alignment horizontal="center" vertical="top" textRotation="180"/>
    </xf>
    <xf numFmtId="0" fontId="53" fillId="9" borderId="40" xfId="0" applyFont="1" applyFill="1" applyBorder="1" applyAlignment="1" applyProtection="1">
      <alignment horizontal="center" wrapText="1"/>
    </xf>
    <xf numFmtId="0" fontId="53" fillId="9" borderId="41" xfId="0" applyFont="1" applyFill="1" applyBorder="1" applyAlignment="1" applyProtection="1">
      <alignment horizontal="center" wrapText="1"/>
    </xf>
    <xf numFmtId="0" fontId="53" fillId="0" borderId="50" xfId="0" applyFont="1" applyBorder="1" applyAlignment="1" applyProtection="1"/>
    <xf numFmtId="0" fontId="53" fillId="0" borderId="51" xfId="0" applyFont="1" applyBorder="1" applyAlignment="1" applyProtection="1"/>
    <xf numFmtId="0" fontId="53" fillId="9" borderId="3" xfId="0" applyFont="1" applyFill="1" applyBorder="1" applyAlignment="1" applyProtection="1"/>
    <xf numFmtId="0" fontId="53" fillId="0" borderId="15" xfId="0" applyFont="1" applyFill="1" applyBorder="1" applyAlignment="1" applyProtection="1"/>
    <xf numFmtId="0" fontId="53" fillId="0" borderId="3" xfId="0" applyFont="1" applyBorder="1" applyAlignment="1" applyProtection="1"/>
    <xf numFmtId="0" fontId="53" fillId="0" borderId="15" xfId="0" applyFont="1" applyBorder="1" applyAlignment="1" applyProtection="1"/>
    <xf numFmtId="44" fontId="56" fillId="0" borderId="22" xfId="3" applyFont="1" applyFill="1" applyBorder="1" applyAlignment="1" applyProtection="1"/>
    <xf numFmtId="0" fontId="53" fillId="0" borderId="0" xfId="0" applyFont="1" applyFill="1" applyBorder="1" applyProtection="1"/>
    <xf numFmtId="44" fontId="27" fillId="8" borderId="22" xfId="3" applyFont="1" applyFill="1" applyBorder="1" applyAlignment="1" applyProtection="1"/>
    <xf numFmtId="0" fontId="53" fillId="0" borderId="0" xfId="0" applyFont="1" applyFill="1" applyBorder="1" applyAlignment="1" applyProtection="1"/>
    <xf numFmtId="44" fontId="51" fillId="0" borderId="0" xfId="3" applyFont="1" applyFill="1" applyBorder="1" applyAlignment="1" applyProtection="1"/>
    <xf numFmtId="0" fontId="53" fillId="0" borderId="21" xfId="0" applyFont="1" applyBorder="1" applyAlignment="1" applyProtection="1"/>
    <xf numFmtId="0" fontId="53" fillId="0" borderId="10" xfId="0" applyFont="1" applyBorder="1" applyAlignment="1" applyProtection="1"/>
    <xf numFmtId="0" fontId="15" fillId="0" borderId="52" xfId="0" applyFont="1" applyBorder="1" applyAlignment="1" applyProtection="1">
      <alignment horizontal="center" vertical="top"/>
    </xf>
    <xf numFmtId="0" fontId="15" fillId="0" borderId="34" xfId="0" applyFont="1" applyBorder="1" applyAlignment="1" applyProtection="1">
      <alignment horizontal="center" vertical="top"/>
    </xf>
    <xf numFmtId="44" fontId="27" fillId="8" borderId="26" xfId="3" applyFont="1" applyFill="1" applyBorder="1" applyAlignment="1" applyProtection="1"/>
    <xf numFmtId="44" fontId="54" fillId="7" borderId="7" xfId="3" applyFont="1" applyFill="1" applyBorder="1" applyAlignment="1" applyProtection="1"/>
    <xf numFmtId="44" fontId="54" fillId="7" borderId="26" xfId="3" applyFont="1" applyFill="1" applyBorder="1" applyAlignment="1" applyProtection="1"/>
    <xf numFmtId="10" fontId="51" fillId="6" borderId="20" xfId="10" applyNumberFormat="1" applyFont="1" applyFill="1" applyBorder="1" applyAlignment="1" applyProtection="1">
      <alignment horizontal="center"/>
    </xf>
    <xf numFmtId="10" fontId="51" fillId="6" borderId="26" xfId="10" applyNumberFormat="1" applyFont="1" applyFill="1" applyBorder="1" applyAlignment="1" applyProtection="1">
      <alignment horizontal="center"/>
    </xf>
    <xf numFmtId="10" fontId="51" fillId="2" borderId="0" xfId="10" applyNumberFormat="1" applyFont="1" applyFill="1" applyBorder="1" applyAlignment="1" applyProtection="1"/>
    <xf numFmtId="44" fontId="27" fillId="8" borderId="44" xfId="3" applyFont="1" applyFill="1" applyBorder="1" applyAlignment="1" applyProtection="1"/>
    <xf numFmtId="44" fontId="27" fillId="8" borderId="25" xfId="3" applyFont="1" applyFill="1" applyBorder="1" applyAlignment="1" applyProtection="1"/>
    <xf numFmtId="44" fontId="27" fillId="8" borderId="53" xfId="3" applyFont="1" applyFill="1" applyBorder="1" applyAlignment="1" applyProtection="1"/>
    <xf numFmtId="44" fontId="27" fillId="8" borderId="54" xfId="3" applyFont="1" applyFill="1" applyBorder="1" applyAlignment="1" applyProtection="1"/>
    <xf numFmtId="0" fontId="15" fillId="0" borderId="48" xfId="0" applyFont="1" applyBorder="1" applyAlignment="1" applyProtection="1">
      <alignment horizontal="center" vertical="top"/>
    </xf>
    <xf numFmtId="0" fontId="53" fillId="0" borderId="3" xfId="0" applyFont="1" applyBorder="1" applyProtection="1"/>
    <xf numFmtId="44" fontId="27" fillId="8" borderId="55" xfId="3" applyFont="1" applyFill="1" applyBorder="1" applyAlignment="1" applyProtection="1"/>
    <xf numFmtId="44" fontId="27" fillId="8" borderId="56" xfId="3" applyFont="1" applyFill="1" applyBorder="1" applyAlignment="1" applyProtection="1"/>
    <xf numFmtId="44" fontId="51" fillId="2" borderId="3" xfId="3" applyFont="1" applyFill="1" applyBorder="1" applyAlignment="1" applyProtection="1"/>
    <xf numFmtId="0" fontId="53" fillId="0" borderId="0" xfId="0" applyFont="1" applyBorder="1" applyAlignment="1" applyProtection="1">
      <alignment horizontal="center"/>
    </xf>
    <xf numFmtId="0" fontId="15" fillId="0" borderId="0" xfId="0" applyFont="1" applyBorder="1" applyAlignment="1" applyProtection="1">
      <alignment horizontal="center" vertical="top"/>
    </xf>
    <xf numFmtId="0" fontId="15" fillId="0" borderId="0" xfId="0" applyFont="1" applyBorder="1" applyAlignment="1" applyProtection="1">
      <alignment horizontal="center" vertical="top"/>
      <protection locked="0"/>
    </xf>
    <xf numFmtId="0" fontId="2" fillId="0" borderId="0" xfId="0" applyFont="1" applyBorder="1" applyAlignment="1" applyProtection="1">
      <alignment vertical="top" wrapText="1"/>
    </xf>
    <xf numFmtId="0" fontId="27" fillId="0" borderId="0" xfId="0" applyFont="1" applyBorder="1" applyAlignment="1" applyProtection="1">
      <alignment textRotation="180"/>
    </xf>
    <xf numFmtId="44" fontId="2" fillId="0" borderId="0" xfId="3" applyFont="1" applyBorder="1" applyAlignment="1" applyProtection="1"/>
    <xf numFmtId="0" fontId="2" fillId="0" borderId="18" xfId="0" applyFont="1" applyBorder="1" applyAlignment="1" applyProtection="1"/>
    <xf numFmtId="44" fontId="27" fillId="8" borderId="6" xfId="3" applyFont="1" applyFill="1" applyBorder="1" applyAlignment="1" applyProtection="1"/>
    <xf numFmtId="44" fontId="27" fillId="8" borderId="57" xfId="3" applyFont="1" applyFill="1" applyBorder="1" applyAlignment="1" applyProtection="1"/>
    <xf numFmtId="0" fontId="2" fillId="0" borderId="21" xfId="0" applyFont="1" applyBorder="1" applyAlignment="1" applyProtection="1">
      <alignment horizontal="center"/>
    </xf>
    <xf numFmtId="167" fontId="2" fillId="0" borderId="13" xfId="0" applyNumberFormat="1" applyFont="1" applyBorder="1" applyAlignment="1" applyProtection="1">
      <alignment horizontal="center"/>
    </xf>
    <xf numFmtId="0" fontId="2" fillId="0" borderId="10" xfId="0" applyFont="1" applyBorder="1" applyAlignment="1" applyProtection="1">
      <alignment horizontal="center"/>
    </xf>
    <xf numFmtId="44" fontId="2" fillId="0" borderId="29" xfId="3" applyFont="1" applyBorder="1" applyAlignment="1" applyProtection="1">
      <alignment horizontal="center"/>
    </xf>
    <xf numFmtId="10" fontId="2" fillId="0" borderId="13" xfId="10" applyNumberFormat="1" applyFont="1" applyBorder="1" applyAlignment="1" applyProtection="1">
      <alignment horizontal="center"/>
    </xf>
    <xf numFmtId="0" fontId="2" fillId="0" borderId="13" xfId="0" applyFont="1" applyBorder="1" applyAlignment="1" applyProtection="1">
      <alignment horizontal="center"/>
    </xf>
    <xf numFmtId="0" fontId="15" fillId="0" borderId="29" xfId="0" applyFont="1" applyBorder="1" applyAlignment="1" applyProtection="1">
      <alignment horizontal="center" vertical="top" wrapText="1"/>
    </xf>
    <xf numFmtId="0" fontId="15" fillId="0" borderId="30" xfId="0" applyFont="1" applyBorder="1" applyAlignment="1" applyProtection="1">
      <alignment horizontal="center" vertical="top" wrapText="1"/>
    </xf>
    <xf numFmtId="167" fontId="15" fillId="0" borderId="0" xfId="0" applyNumberFormat="1" applyFont="1" applyBorder="1" applyAlignment="1" applyProtection="1"/>
    <xf numFmtId="44" fontId="15" fillId="0" borderId="0" xfId="0" applyNumberFormat="1" applyFont="1" applyBorder="1" applyAlignment="1" applyProtection="1"/>
    <xf numFmtId="0" fontId="27" fillId="0" borderId="2" xfId="0" applyFont="1" applyFill="1" applyBorder="1" applyAlignment="1" applyProtection="1">
      <alignment vertical="top" textRotation="180"/>
    </xf>
    <xf numFmtId="44" fontId="15" fillId="0" borderId="0" xfId="0" applyNumberFormat="1" applyFont="1" applyFill="1" applyBorder="1" applyAlignment="1" applyProtection="1">
      <alignment horizontal="left"/>
    </xf>
    <xf numFmtId="167" fontId="2" fillId="0" borderId="0" xfId="0" applyNumberFormat="1" applyFont="1" applyBorder="1" applyProtection="1"/>
    <xf numFmtId="167" fontId="2" fillId="0" borderId="0" xfId="0" applyNumberFormat="1" applyFont="1" applyBorder="1" applyAlignment="1" applyProtection="1"/>
    <xf numFmtId="0" fontId="27" fillId="0" borderId="0" xfId="0" applyFont="1" applyFill="1" applyBorder="1" applyAlignment="1" applyProtection="1">
      <alignment horizontal="left"/>
      <protection locked="0"/>
    </xf>
    <xf numFmtId="0" fontId="27" fillId="0" borderId="0" xfId="0" applyFont="1" applyBorder="1" applyAlignment="1" applyProtection="1">
      <alignment vertical="top" textRotation="180"/>
    </xf>
    <xf numFmtId="0" fontId="27" fillId="0" borderId="0" xfId="0" applyFont="1" applyBorder="1" applyAlignment="1" applyProtection="1">
      <alignment vertical="top" textRotation="180"/>
      <protection locked="0"/>
    </xf>
    <xf numFmtId="0" fontId="61" fillId="0" borderId="46" xfId="0" applyFont="1" applyBorder="1" applyAlignment="1" applyProtection="1"/>
    <xf numFmtId="0" fontId="55" fillId="0" borderId="58" xfId="0" applyFont="1" applyBorder="1" applyAlignment="1" applyProtection="1"/>
    <xf numFmtId="43" fontId="56" fillId="6" borderId="7" xfId="1" applyFont="1" applyFill="1" applyBorder="1" applyAlignment="1" applyProtection="1"/>
    <xf numFmtId="44" fontId="56" fillId="6" borderId="7" xfId="3" applyFont="1" applyFill="1" applyBorder="1" applyAlignment="1" applyProtection="1"/>
    <xf numFmtId="44" fontId="56" fillId="6" borderId="26" xfId="3" applyFont="1" applyFill="1" applyBorder="1" applyAlignment="1" applyProtection="1"/>
    <xf numFmtId="43" fontId="54" fillId="0" borderId="13" xfId="1" applyFont="1" applyBorder="1" applyAlignment="1" applyProtection="1"/>
    <xf numFmtId="0" fontId="15" fillId="0" borderId="13" xfId="0" applyFont="1" applyBorder="1" applyAlignment="1" applyProtection="1">
      <alignment horizontal="center" vertical="top"/>
    </xf>
    <xf numFmtId="0" fontId="15" fillId="0" borderId="30" xfId="0" applyFont="1" applyBorder="1" applyAlignment="1" applyProtection="1">
      <alignment horizontal="center" vertical="top"/>
    </xf>
    <xf numFmtId="0" fontId="35" fillId="9" borderId="41" xfId="0" applyFont="1" applyFill="1" applyBorder="1" applyAlignment="1" applyProtection="1">
      <alignment horizontal="center" vertical="center" wrapText="1"/>
    </xf>
    <xf numFmtId="0" fontId="35" fillId="0" borderId="50" xfId="0" applyFont="1" applyBorder="1" applyAlignment="1" applyProtection="1"/>
    <xf numFmtId="0" fontId="35" fillId="0" borderId="38" xfId="0" applyFont="1" applyBorder="1" applyAlignment="1" applyProtection="1"/>
    <xf numFmtId="0" fontId="35" fillId="0" borderId="51" xfId="0" applyFont="1" applyBorder="1" applyAlignment="1" applyProtection="1"/>
    <xf numFmtId="44" fontId="35" fillId="7" borderId="22" xfId="3" applyFont="1" applyFill="1" applyBorder="1" applyAlignment="1" applyProtection="1"/>
    <xf numFmtId="0" fontId="29" fillId="0" borderId="3" xfId="0" applyFont="1" applyBorder="1" applyAlignment="1" applyProtection="1"/>
    <xf numFmtId="0" fontId="29" fillId="0" borderId="0" xfId="0" applyFont="1" applyBorder="1" applyAlignment="1" applyProtection="1"/>
    <xf numFmtId="0" fontId="35" fillId="0" borderId="15" xfId="0" applyFont="1" applyBorder="1" applyAlignment="1" applyProtection="1"/>
    <xf numFmtId="0" fontId="35" fillId="0" borderId="3" xfId="0" applyFont="1" applyBorder="1" applyAlignment="1" applyProtection="1"/>
    <xf numFmtId="44" fontId="35" fillId="0" borderId="22" xfId="3" applyFont="1" applyFill="1" applyBorder="1" applyAlignment="1" applyProtection="1"/>
    <xf numFmtId="44" fontId="2" fillId="6" borderId="22" xfId="3" applyFont="1" applyFill="1" applyBorder="1" applyAlignment="1" applyProtection="1"/>
    <xf numFmtId="0" fontId="2" fillId="0" borderId="10" xfId="0" applyFont="1" applyBorder="1" applyAlignment="1" applyProtection="1"/>
    <xf numFmtId="44" fontId="2" fillId="6" borderId="26" xfId="3" applyFont="1" applyFill="1" applyBorder="1" applyAlignment="1" applyProtection="1"/>
    <xf numFmtId="0" fontId="35" fillId="9" borderId="29" xfId="0" applyFont="1" applyFill="1" applyBorder="1" applyAlignment="1" applyProtection="1">
      <alignment horizontal="center" wrapText="1"/>
    </xf>
    <xf numFmtId="166" fontId="35" fillId="0" borderId="32" xfId="1" applyNumberFormat="1" applyFont="1" applyBorder="1" applyAlignment="1" applyProtection="1"/>
    <xf numFmtId="168" fontId="5" fillId="0" borderId="32" xfId="1" applyNumberFormat="1" applyFont="1" applyBorder="1" applyAlignment="1" applyProtection="1"/>
    <xf numFmtId="44" fontId="35" fillId="0" borderId="45" xfId="3" applyFont="1" applyBorder="1" applyAlignment="1" applyProtection="1"/>
    <xf numFmtId="166" fontId="35" fillId="0" borderId="2" xfId="1" applyNumberFormat="1" applyFont="1" applyBorder="1" applyAlignment="1" applyProtection="1"/>
    <xf numFmtId="166" fontId="35" fillId="6" borderId="24" xfId="1" applyNumberFormat="1" applyFont="1" applyFill="1" applyBorder="1" applyAlignment="1" applyProtection="1"/>
    <xf numFmtId="168" fontId="5" fillId="0" borderId="7" xfId="1" applyNumberFormat="1" applyFont="1" applyBorder="1" applyAlignment="1" applyProtection="1"/>
    <xf numFmtId="44" fontId="35" fillId="6" borderId="25" xfId="3" applyFont="1" applyFill="1" applyBorder="1" applyAlignment="1" applyProtection="1">
      <alignment horizontal="center"/>
    </xf>
    <xf numFmtId="0" fontId="29" fillId="0" borderId="59" xfId="0" applyFont="1" applyBorder="1" applyAlignment="1" applyProtection="1"/>
    <xf numFmtId="0" fontId="14" fillId="0" borderId="0" xfId="0" applyFont="1" applyBorder="1" applyAlignment="1" applyProtection="1">
      <alignment horizontal="right" vertical="top"/>
    </xf>
    <xf numFmtId="0" fontId="28" fillId="0" borderId="0" xfId="0" applyFont="1" applyAlignment="1" applyProtection="1">
      <alignment horizontal="right"/>
    </xf>
    <xf numFmtId="0" fontId="26" fillId="0" borderId="0" xfId="0" applyFont="1" applyAlignment="1" applyProtection="1">
      <alignment horizontal="center"/>
    </xf>
    <xf numFmtId="0" fontId="2" fillId="0" borderId="0" xfId="0" applyFont="1" applyAlignment="1" applyProtection="1">
      <alignment horizontal="right"/>
    </xf>
    <xf numFmtId="0" fontId="60" fillId="3" borderId="60" xfId="0" applyFont="1" applyFill="1" applyBorder="1" applyAlignment="1" applyProtection="1">
      <alignment horizontal="center" vertical="center" wrapText="1"/>
    </xf>
    <xf numFmtId="0" fontId="60" fillId="0" borderId="3" xfId="0" applyFont="1" applyBorder="1" applyAlignment="1" applyProtection="1"/>
    <xf numFmtId="0" fontId="60" fillId="0" borderId="0" xfId="0" applyFont="1" applyBorder="1" applyAlignment="1" applyProtection="1"/>
    <xf numFmtId="0" fontId="60" fillId="0" borderId="15" xfId="0" applyFont="1" applyBorder="1" applyAlignment="1" applyProtection="1"/>
    <xf numFmtId="44" fontId="60" fillId="0" borderId="22" xfId="3" applyFont="1" applyBorder="1" applyAlignment="1" applyProtection="1"/>
    <xf numFmtId="44" fontId="60" fillId="6" borderId="61" xfId="3" applyFont="1" applyFill="1" applyBorder="1" applyAlignment="1" applyProtection="1"/>
    <xf numFmtId="44" fontId="15" fillId="0" borderId="62" xfId="3" applyFont="1" applyBorder="1" applyAlignment="1" applyProtection="1">
      <alignment vertical="top"/>
    </xf>
    <xf numFmtId="0" fontId="29" fillId="0" borderId="15" xfId="0" applyFont="1" applyBorder="1" applyAlignment="1" applyProtection="1"/>
    <xf numFmtId="44" fontId="15" fillId="0" borderId="63" xfId="3" applyFont="1" applyBorder="1" applyAlignment="1" applyProtection="1">
      <alignment vertical="top"/>
    </xf>
    <xf numFmtId="0" fontId="27" fillId="0" borderId="2" xfId="0" applyFont="1" applyBorder="1" applyProtection="1"/>
    <xf numFmtId="0" fontId="2" fillId="9" borderId="29" xfId="0" applyFont="1" applyFill="1" applyBorder="1" applyAlignment="1" applyProtection="1">
      <alignment horizontal="center"/>
    </xf>
    <xf numFmtId="166" fontId="54" fillId="6" borderId="22" xfId="1" applyNumberFormat="1" applyFont="1" applyFill="1" applyBorder="1" applyAlignment="1" applyProtection="1"/>
    <xf numFmtId="166" fontId="54" fillId="6" borderId="55" xfId="1" applyNumberFormat="1" applyFont="1" applyFill="1" applyBorder="1" applyAlignment="1" applyProtection="1"/>
    <xf numFmtId="166" fontId="54" fillId="6" borderId="37" xfId="1" applyNumberFormat="1" applyFont="1" applyFill="1" applyBorder="1" applyAlignment="1" applyProtection="1"/>
    <xf numFmtId="0" fontId="53" fillId="0" borderId="21" xfId="0" applyFont="1" applyBorder="1" applyAlignment="1" applyProtection="1">
      <alignment horizontal="center"/>
    </xf>
    <xf numFmtId="166" fontId="54" fillId="0" borderId="64" xfId="1" applyNumberFormat="1" applyFont="1" applyBorder="1" applyAlignment="1" applyProtection="1"/>
    <xf numFmtId="166" fontId="54" fillId="0" borderId="64" xfId="1" applyNumberFormat="1" applyFont="1" applyBorder="1" applyAlignment="1" applyProtection="1">
      <alignment horizontal="center"/>
    </xf>
    <xf numFmtId="166" fontId="54" fillId="0" borderId="48" xfId="1" applyNumberFormat="1" applyFont="1" applyBorder="1" applyAlignment="1" applyProtection="1">
      <alignment horizontal="center"/>
    </xf>
    <xf numFmtId="0" fontId="2" fillId="0" borderId="15" xfId="0" applyFont="1" applyBorder="1" applyAlignment="1" applyProtection="1">
      <alignment horizontal="right"/>
    </xf>
    <xf numFmtId="0" fontId="2" fillId="9" borderId="65" xfId="0" applyFont="1" applyFill="1" applyBorder="1" applyAlignment="1" applyProtection="1">
      <alignment horizontal="center"/>
    </xf>
    <xf numFmtId="0" fontId="2" fillId="9" borderId="42" xfId="0" applyFont="1" applyFill="1" applyBorder="1" applyAlignment="1" applyProtection="1">
      <alignment horizontal="center"/>
    </xf>
    <xf numFmtId="0" fontId="2" fillId="9" borderId="41" xfId="0" applyFont="1" applyFill="1" applyBorder="1" applyAlignment="1" applyProtection="1">
      <alignment horizontal="center"/>
    </xf>
    <xf numFmtId="166" fontId="54" fillId="0" borderId="0" xfId="1" applyNumberFormat="1" applyFont="1" applyBorder="1" applyAlignment="1" applyProtection="1">
      <alignment horizontal="center"/>
    </xf>
    <xf numFmtId="44" fontId="53" fillId="0" borderId="0" xfId="0" applyNumberFormat="1" applyFont="1" applyFill="1" applyBorder="1" applyAlignment="1" applyProtection="1">
      <alignment horizontal="center"/>
    </xf>
    <xf numFmtId="0" fontId="2" fillId="9" borderId="39" xfId="0" applyFont="1" applyFill="1" applyBorder="1" applyAlignment="1" applyProtection="1">
      <alignment horizontal="center" vertical="center" wrapText="1"/>
    </xf>
    <xf numFmtId="44" fontId="2" fillId="9" borderId="66" xfId="3" applyFont="1" applyFill="1" applyBorder="1" applyAlignment="1" applyProtection="1">
      <alignment horizontal="center" vertical="center" wrapText="1"/>
    </xf>
    <xf numFmtId="0" fontId="2" fillId="9" borderId="27" xfId="0" applyFont="1" applyFill="1" applyBorder="1" applyAlignment="1" applyProtection="1">
      <alignment horizontal="center" vertical="center" wrapText="1"/>
    </xf>
    <xf numFmtId="44" fontId="2" fillId="0" borderId="2" xfId="3" applyFont="1" applyBorder="1" applyAlignment="1" applyProtection="1">
      <alignment horizontal="center"/>
    </xf>
    <xf numFmtId="0" fontId="2" fillId="0" borderId="22" xfId="0" applyFont="1" applyFill="1" applyBorder="1" applyAlignment="1" applyProtection="1"/>
    <xf numFmtId="0" fontId="2" fillId="0" borderId="2" xfId="0" applyFont="1" applyBorder="1" applyAlignment="1" applyProtection="1">
      <alignment horizontal="center"/>
    </xf>
    <xf numFmtId="44" fontId="2" fillId="6" borderId="22" xfId="0" applyNumberFormat="1" applyFont="1" applyFill="1" applyBorder="1" applyAlignment="1" applyProtection="1"/>
    <xf numFmtId="0" fontId="2" fillId="0" borderId="22" xfId="0" applyFont="1" applyFill="1" applyBorder="1" applyAlignment="1" applyProtection="1">
      <alignment horizontal="center"/>
    </xf>
    <xf numFmtId="0" fontId="2" fillId="0" borderId="15" xfId="0" applyFont="1" applyBorder="1" applyAlignment="1" applyProtection="1">
      <alignment horizontal="center" vertical="top"/>
    </xf>
    <xf numFmtId="44" fontId="2" fillId="6" borderId="22" xfId="0" applyNumberFormat="1" applyFont="1" applyFill="1" applyBorder="1" applyAlignment="1" applyProtection="1">
      <alignment vertical="top"/>
    </xf>
    <xf numFmtId="0" fontId="2" fillId="0" borderId="16" xfId="0" applyFont="1" applyBorder="1" applyAlignment="1" applyProtection="1">
      <alignment horizontal="center" wrapText="1"/>
    </xf>
    <xf numFmtId="44" fontId="2" fillId="6" borderId="67" xfId="0" applyNumberFormat="1" applyFont="1" applyFill="1" applyBorder="1" applyAlignment="1" applyProtection="1"/>
    <xf numFmtId="44" fontId="2" fillId="6" borderId="37" xfId="0" applyNumberFormat="1" applyFont="1" applyFill="1" applyBorder="1" applyAlignment="1" applyProtection="1"/>
    <xf numFmtId="0" fontId="2" fillId="0" borderId="29" xfId="0" applyFont="1" applyBorder="1" applyAlignment="1" applyProtection="1">
      <alignment horizontal="center"/>
    </xf>
    <xf numFmtId="0" fontId="2" fillId="0" borderId="29" xfId="0" applyFont="1" applyBorder="1" applyAlignment="1" applyProtection="1"/>
    <xf numFmtId="44" fontId="2" fillId="0" borderId="29" xfId="3" applyFont="1" applyBorder="1" applyAlignment="1" applyProtection="1"/>
    <xf numFmtId="0" fontId="15" fillId="0" borderId="30" xfId="0" applyFont="1" applyBorder="1" applyAlignment="1" applyProtection="1">
      <alignment horizontal="center"/>
    </xf>
    <xf numFmtId="0" fontId="2" fillId="0" borderId="0" xfId="0" applyFont="1" applyBorder="1" applyAlignment="1" applyProtection="1">
      <alignment vertical="top"/>
    </xf>
    <xf numFmtId="44" fontId="2" fillId="0" borderId="0" xfId="3" applyFont="1" applyBorder="1" applyProtection="1"/>
    <xf numFmtId="0" fontId="14" fillId="0" borderId="0" xfId="0" quotePrefix="1" applyFont="1" applyAlignment="1" applyProtection="1">
      <alignment horizontal="center" vertical="center"/>
    </xf>
    <xf numFmtId="0" fontId="55" fillId="9" borderId="13" xfId="0" applyFont="1" applyFill="1" applyBorder="1" applyAlignment="1" applyProtection="1">
      <alignment horizontal="center" vertical="center" wrapText="1"/>
    </xf>
    <xf numFmtId="10" fontId="56" fillId="0" borderId="3" xfId="10" applyNumberFormat="1" applyFont="1" applyBorder="1" applyAlignment="1" applyProtection="1"/>
    <xf numFmtId="44" fontId="56" fillId="0" borderId="12" xfId="3" applyFont="1" applyFill="1" applyBorder="1" applyAlignment="1" applyProtection="1"/>
    <xf numFmtId="44" fontId="56" fillId="7" borderId="12" xfId="3" applyFont="1" applyFill="1" applyBorder="1" applyAlignment="1" applyProtection="1"/>
    <xf numFmtId="44" fontId="55" fillId="6" borderId="22" xfId="0" applyNumberFormat="1" applyFont="1" applyFill="1" applyBorder="1" applyAlignment="1" applyProtection="1"/>
    <xf numFmtId="44" fontId="55" fillId="0" borderId="22" xfId="0" applyNumberFormat="1" applyFont="1" applyFill="1" applyBorder="1" applyAlignment="1" applyProtection="1"/>
    <xf numFmtId="10" fontId="56" fillId="0" borderId="0" xfId="10" applyNumberFormat="1" applyFont="1" applyBorder="1" applyAlignment="1" applyProtection="1"/>
    <xf numFmtId="10" fontId="56" fillId="0" borderId="3" xfId="10" applyNumberFormat="1" applyFont="1" applyBorder="1" applyAlignment="1" applyProtection="1">
      <alignment horizontal="left"/>
    </xf>
    <xf numFmtId="44" fontId="55" fillId="6" borderId="26" xfId="0" applyNumberFormat="1" applyFont="1" applyFill="1" applyBorder="1" applyAlignment="1" applyProtection="1"/>
    <xf numFmtId="0" fontId="2" fillId="0" borderId="33" xfId="0" applyFont="1" applyBorder="1" applyAlignment="1" applyProtection="1">
      <alignment horizontal="center"/>
    </xf>
    <xf numFmtId="10" fontId="56" fillId="0" borderId="21" xfId="10" applyNumberFormat="1" applyFont="1" applyBorder="1" applyAlignment="1" applyProtection="1"/>
    <xf numFmtId="0" fontId="62" fillId="0" borderId="13" xfId="0" applyFont="1" applyBorder="1" applyAlignment="1" applyProtection="1">
      <alignment horizontal="center"/>
    </xf>
    <xf numFmtId="0" fontId="55" fillId="0" borderId="13" xfId="0" applyFont="1" applyBorder="1" applyAlignment="1" applyProtection="1">
      <alignment horizontal="center"/>
    </xf>
    <xf numFmtId="0" fontId="62" fillId="0" borderId="30" xfId="0" applyFont="1" applyBorder="1" applyAlignment="1" applyProtection="1">
      <alignment horizontal="center"/>
    </xf>
    <xf numFmtId="0" fontId="26" fillId="0" borderId="0" xfId="0" applyFont="1" applyBorder="1" applyAlignment="1" applyProtection="1">
      <alignment horizontal="right" vertical="top"/>
    </xf>
    <xf numFmtId="0" fontId="53" fillId="9" borderId="65" xfId="0" applyFont="1" applyFill="1" applyBorder="1" applyAlignment="1" applyProtection="1">
      <alignment horizontal="center" vertical="center" wrapText="1"/>
    </xf>
    <xf numFmtId="0" fontId="53" fillId="9" borderId="42" xfId="0" applyFont="1" applyFill="1" applyBorder="1" applyAlignment="1" applyProtection="1">
      <alignment horizontal="center"/>
    </xf>
    <xf numFmtId="0" fontId="53" fillId="9" borderId="42" xfId="0" applyFont="1" applyFill="1" applyBorder="1" applyAlignment="1" applyProtection="1">
      <alignment horizontal="center" wrapText="1"/>
    </xf>
    <xf numFmtId="0" fontId="53" fillId="0" borderId="0" xfId="0" applyFont="1" applyBorder="1" applyAlignment="1" applyProtection="1">
      <alignment horizontal="right"/>
    </xf>
    <xf numFmtId="0" fontId="53" fillId="9" borderId="35" xfId="0" applyFont="1" applyFill="1" applyBorder="1" applyAlignment="1" applyProtection="1">
      <alignment horizontal="center"/>
    </xf>
    <xf numFmtId="0" fontId="53" fillId="9" borderId="32" xfId="0" applyFont="1" applyFill="1" applyBorder="1" applyAlignment="1" applyProtection="1">
      <alignment horizontal="center"/>
    </xf>
    <xf numFmtId="0" fontId="53" fillId="9" borderId="45" xfId="0" applyFont="1" applyFill="1" applyBorder="1" applyAlignment="1" applyProtection="1">
      <alignment horizontal="center"/>
    </xf>
    <xf numFmtId="0" fontId="27" fillId="0" borderId="0" xfId="0" applyFont="1" applyBorder="1" applyProtection="1"/>
    <xf numFmtId="0" fontId="53" fillId="9" borderId="33" xfId="0" applyFont="1" applyFill="1" applyBorder="1" applyAlignment="1" applyProtection="1">
      <alignment horizontal="left"/>
    </xf>
    <xf numFmtId="0" fontId="53" fillId="9" borderId="52" xfId="0" applyFont="1" applyFill="1" applyBorder="1" applyAlignment="1" applyProtection="1">
      <alignment horizontal="center"/>
    </xf>
    <xf numFmtId="0" fontId="53" fillId="9" borderId="34" xfId="0" applyFont="1" applyFill="1" applyBorder="1" applyAlignment="1" applyProtection="1">
      <alignment horizontal="center"/>
    </xf>
    <xf numFmtId="0" fontId="27" fillId="0" borderId="0" xfId="0" applyFont="1" applyFill="1" applyBorder="1" applyAlignment="1" applyProtection="1">
      <alignment vertical="top" textRotation="180"/>
    </xf>
    <xf numFmtId="0" fontId="55" fillId="0" borderId="18" xfId="0" applyFont="1" applyBorder="1" applyAlignment="1" applyProtection="1">
      <alignment vertical="top"/>
    </xf>
    <xf numFmtId="0" fontId="55" fillId="0" borderId="12" xfId="0" applyFont="1" applyBorder="1" applyAlignment="1" applyProtection="1">
      <alignment vertical="top" wrapText="1"/>
    </xf>
    <xf numFmtId="0" fontId="55" fillId="0" borderId="22" xfId="0" applyFont="1" applyBorder="1" applyAlignment="1" applyProtection="1">
      <alignment vertical="top" wrapText="1"/>
    </xf>
    <xf numFmtId="0" fontId="55" fillId="0" borderId="18" xfId="0" applyFont="1" applyBorder="1" applyAlignment="1" applyProtection="1">
      <alignment vertical="top" wrapText="1"/>
    </xf>
    <xf numFmtId="0" fontId="53" fillId="0" borderId="38" xfId="0" applyFont="1" applyBorder="1" applyAlignment="1" applyProtection="1"/>
    <xf numFmtId="0" fontId="53" fillId="9" borderId="42" xfId="0" applyFont="1" applyFill="1" applyBorder="1" applyAlignment="1" applyProtection="1">
      <alignment horizontal="center" vertical="center" wrapText="1"/>
    </xf>
    <xf numFmtId="0" fontId="53" fillId="9" borderId="41" xfId="0" applyFont="1" applyFill="1" applyBorder="1" applyAlignment="1" applyProtection="1">
      <alignment horizontal="center" vertical="center" wrapText="1"/>
    </xf>
    <xf numFmtId="0" fontId="55" fillId="0" borderId="12" xfId="0" applyFont="1" applyBorder="1" applyAlignment="1" applyProtection="1">
      <alignment horizontal="center" vertical="top"/>
    </xf>
    <xf numFmtId="166" fontId="56" fillId="6" borderId="44" xfId="1" applyNumberFormat="1" applyFont="1" applyFill="1" applyBorder="1" applyAlignment="1" applyProtection="1">
      <alignment vertical="top"/>
    </xf>
    <xf numFmtId="166" fontId="56" fillId="0" borderId="22" xfId="1" applyNumberFormat="1" applyFont="1" applyBorder="1" applyAlignment="1" applyProtection="1">
      <alignment horizontal="center" vertical="top"/>
    </xf>
    <xf numFmtId="0" fontId="55" fillId="0" borderId="13" xfId="0" applyFont="1" applyBorder="1" applyAlignment="1" applyProtection="1">
      <alignment horizontal="center" vertical="top"/>
    </xf>
    <xf numFmtId="166" fontId="55" fillId="6" borderId="52" xfId="0" applyNumberFormat="1" applyFont="1" applyFill="1" applyBorder="1" applyAlignment="1" applyProtection="1">
      <alignment vertical="top"/>
    </xf>
    <xf numFmtId="166" fontId="55" fillId="6" borderId="34" xfId="0" applyNumberFormat="1" applyFont="1" applyFill="1" applyBorder="1" applyAlignment="1" applyProtection="1">
      <alignment vertical="top"/>
    </xf>
    <xf numFmtId="0" fontId="63" fillId="9" borderId="42" xfId="0" applyFont="1" applyFill="1" applyBorder="1" applyAlignment="1" applyProtection="1">
      <alignment horizontal="center" wrapText="1"/>
    </xf>
    <xf numFmtId="0" fontId="63" fillId="9" borderId="41" xfId="0" applyFont="1" applyFill="1" applyBorder="1" applyAlignment="1" applyProtection="1">
      <alignment horizontal="center" wrapText="1"/>
    </xf>
    <xf numFmtId="0" fontId="55" fillId="0" borderId="0" xfId="0" applyFont="1" applyBorder="1" applyAlignment="1" applyProtection="1"/>
    <xf numFmtId="0" fontId="55" fillId="0" borderId="39" xfId="0" applyFont="1" applyBorder="1" applyAlignment="1" applyProtection="1"/>
    <xf numFmtId="0" fontId="55" fillId="0" borderId="3" xfId="0" applyFont="1" applyBorder="1" applyAlignment="1" applyProtection="1">
      <alignment horizontal="left"/>
    </xf>
    <xf numFmtId="0" fontId="55" fillId="0" borderId="21" xfId="0" applyFont="1" applyBorder="1" applyAlignment="1" applyProtection="1">
      <alignment horizontal="left"/>
    </xf>
    <xf numFmtId="0" fontId="55" fillId="0" borderId="18" xfId="0" applyFont="1" applyBorder="1" applyAlignment="1" applyProtection="1"/>
    <xf numFmtId="0" fontId="27" fillId="0" borderId="0" xfId="0" applyFont="1" applyFill="1" applyBorder="1" applyAlignment="1" applyProtection="1">
      <alignment vertical="top" textRotation="180"/>
      <protection locked="0"/>
    </xf>
    <xf numFmtId="166" fontId="56" fillId="0" borderId="32" xfId="1" applyNumberFormat="1" applyFont="1" applyFill="1" applyBorder="1" applyAlignment="1" applyProtection="1"/>
    <xf numFmtId="166" fontId="56" fillId="6" borderId="45" xfId="1" applyNumberFormat="1" applyFont="1" applyFill="1" applyBorder="1" applyAlignment="1" applyProtection="1"/>
    <xf numFmtId="166" fontId="56" fillId="0" borderId="12" xfId="1" applyNumberFormat="1" applyFont="1" applyFill="1" applyBorder="1" applyAlignment="1" applyProtection="1"/>
    <xf numFmtId="166" fontId="56" fillId="6" borderId="22" xfId="1" applyNumberFormat="1" applyFont="1" applyFill="1" applyBorder="1" applyAlignment="1" applyProtection="1"/>
    <xf numFmtId="0" fontId="55" fillId="0" borderId="33" xfId="0" applyFont="1" applyBorder="1" applyAlignment="1" applyProtection="1"/>
    <xf numFmtId="166" fontId="56" fillId="0" borderId="13" xfId="1" applyNumberFormat="1" applyFont="1" applyFill="1" applyBorder="1" applyAlignment="1" applyProtection="1"/>
    <xf numFmtId="166" fontId="56" fillId="6" borderId="52" xfId="1" applyNumberFormat="1" applyFont="1" applyFill="1" applyBorder="1" applyAlignment="1" applyProtection="1"/>
    <xf numFmtId="0" fontId="53" fillId="9" borderId="13" xfId="0" applyFont="1" applyFill="1" applyBorder="1" applyAlignment="1" applyProtection="1">
      <alignment horizontal="center" vertical="center" wrapText="1"/>
    </xf>
    <xf numFmtId="166" fontId="56" fillId="0" borderId="45" xfId="1" applyNumberFormat="1" applyFont="1" applyFill="1" applyBorder="1" applyAlignment="1" applyProtection="1"/>
    <xf numFmtId="166" fontId="56" fillId="6" borderId="12" xfId="1" applyNumberFormat="1" applyFont="1" applyFill="1" applyBorder="1" applyAlignment="1" applyProtection="1"/>
    <xf numFmtId="166" fontId="56" fillId="0" borderId="22" xfId="1" applyNumberFormat="1" applyFont="1" applyFill="1" applyBorder="1" applyAlignment="1" applyProtection="1"/>
    <xf numFmtId="166" fontId="56" fillId="6" borderId="44" xfId="1" applyNumberFormat="1" applyFont="1" applyFill="1" applyBorder="1" applyAlignment="1" applyProtection="1"/>
    <xf numFmtId="0" fontId="2" fillId="0" borderId="50" xfId="0" applyFont="1" applyBorder="1" applyAlignment="1" applyProtection="1"/>
    <xf numFmtId="0" fontId="2" fillId="0" borderId="51" xfId="0" applyFont="1" applyFill="1" applyBorder="1" applyAlignment="1" applyProtection="1">
      <alignment horizontal="center" vertical="center"/>
    </xf>
    <xf numFmtId="44" fontId="2" fillId="7" borderId="45" xfId="0" applyNumberFormat="1" applyFont="1" applyFill="1" applyBorder="1" applyAlignment="1" applyProtection="1"/>
    <xf numFmtId="44" fontId="2" fillId="7" borderId="22" xfId="0" applyNumberFormat="1" applyFont="1" applyFill="1" applyBorder="1" applyAlignment="1" applyProtection="1"/>
    <xf numFmtId="44" fontId="2" fillId="0" borderId="22" xfId="3" applyFont="1" applyFill="1" applyBorder="1" applyAlignment="1" applyProtection="1"/>
    <xf numFmtId="44" fontId="2" fillId="6" borderId="23" xfId="3" applyFont="1" applyFill="1" applyBorder="1" applyAlignment="1" applyProtection="1"/>
    <xf numFmtId="44" fontId="2" fillId="6" borderId="30" xfId="3" applyFont="1" applyFill="1" applyBorder="1" applyAlignment="1" applyProtection="1"/>
    <xf numFmtId="0" fontId="60" fillId="0" borderId="0" xfId="0" applyFont="1" applyFill="1" applyProtection="1"/>
    <xf numFmtId="0" fontId="35" fillId="0" borderId="3" xfId="0" applyFont="1" applyFill="1" applyBorder="1" applyAlignment="1" applyProtection="1"/>
    <xf numFmtId="0" fontId="35" fillId="0" borderId="0" xfId="0" applyFont="1" applyFill="1" applyBorder="1" applyAlignment="1" applyProtection="1"/>
    <xf numFmtId="0" fontId="35" fillId="0" borderId="15" xfId="0" applyFont="1" applyFill="1" applyBorder="1" applyAlignment="1" applyProtection="1"/>
    <xf numFmtId="49" fontId="14" fillId="0" borderId="0" xfId="0" applyNumberFormat="1" applyFont="1" applyAlignment="1" applyProtection="1">
      <alignment horizontal="center" vertical="center"/>
    </xf>
    <xf numFmtId="0" fontId="60" fillId="0" borderId="0" xfId="0" applyFont="1" applyFill="1" applyProtection="1">
      <protection locked="0"/>
    </xf>
    <xf numFmtId="0" fontId="14" fillId="0" borderId="0" xfId="0" quotePrefix="1" applyFont="1" applyFill="1" applyBorder="1" applyAlignment="1" applyProtection="1">
      <alignment horizontal="center" vertical="center"/>
      <protection locked="0"/>
    </xf>
    <xf numFmtId="0" fontId="27" fillId="9" borderId="13" xfId="0" applyFont="1" applyFill="1" applyBorder="1" applyAlignment="1" applyProtection="1">
      <alignment horizontal="center" wrapText="1"/>
    </xf>
    <xf numFmtId="0" fontId="2" fillId="0" borderId="12" xfId="0" applyFont="1" applyBorder="1" applyAlignment="1" applyProtection="1">
      <alignment horizontal="center" vertical="top"/>
    </xf>
    <xf numFmtId="44" fontId="2" fillId="6" borderId="67" xfId="3" applyFont="1" applyFill="1" applyBorder="1" applyAlignment="1" applyProtection="1"/>
    <xf numFmtId="44" fontId="2" fillId="0" borderId="0" xfId="0" applyNumberFormat="1" applyFont="1" applyFill="1" applyBorder="1" applyAlignment="1" applyProtection="1">
      <alignment horizontal="center"/>
    </xf>
    <xf numFmtId="0" fontId="55" fillId="0" borderId="3" xfId="0" applyFont="1" applyFill="1" applyBorder="1" applyAlignment="1" applyProtection="1">
      <alignment horizontal="center"/>
    </xf>
    <xf numFmtId="0" fontId="55" fillId="0" borderId="12" xfId="0" applyFont="1" applyFill="1" applyBorder="1" applyAlignment="1" applyProtection="1">
      <alignment horizontal="center"/>
    </xf>
    <xf numFmtId="0" fontId="55" fillId="0" borderId="22" xfId="0" applyFont="1" applyFill="1" applyBorder="1" applyAlignment="1" applyProtection="1"/>
    <xf numFmtId="10" fontId="55" fillId="0" borderId="3" xfId="0" applyNumberFormat="1" applyFont="1" applyFill="1" applyBorder="1" applyAlignment="1" applyProtection="1">
      <alignment horizontal="center"/>
    </xf>
    <xf numFmtId="44" fontId="56" fillId="0" borderId="0" xfId="3" applyFont="1" applyFill="1" applyBorder="1" applyAlignment="1" applyProtection="1">
      <alignment horizontal="center"/>
    </xf>
    <xf numFmtId="44" fontId="55" fillId="7" borderId="12" xfId="0" applyNumberFormat="1" applyFont="1" applyFill="1" applyBorder="1" applyProtection="1"/>
    <xf numFmtId="44" fontId="55" fillId="0" borderId="12" xfId="0" applyNumberFormat="1" applyFont="1" applyFill="1" applyBorder="1" applyAlignment="1" applyProtection="1">
      <alignment horizontal="center"/>
    </xf>
    <xf numFmtId="44" fontId="56" fillId="0" borderId="12" xfId="3" applyFont="1" applyFill="1" applyBorder="1" applyAlignment="1" applyProtection="1">
      <alignment horizontal="center"/>
    </xf>
    <xf numFmtId="44" fontId="55" fillId="0" borderId="12" xfId="0" applyNumberFormat="1" applyFont="1" applyFill="1" applyBorder="1" applyProtection="1"/>
    <xf numFmtId="0" fontId="55" fillId="0" borderId="3" xfId="0" applyFont="1" applyBorder="1" applyAlignment="1" applyProtection="1">
      <alignment horizontal="center"/>
    </xf>
    <xf numFmtId="44" fontId="55" fillId="6" borderId="12" xfId="0" applyNumberFormat="1" applyFont="1" applyFill="1" applyBorder="1" applyAlignment="1" applyProtection="1">
      <alignment horizontal="center"/>
    </xf>
    <xf numFmtId="44" fontId="55" fillId="6" borderId="7" xfId="0" applyNumberFormat="1" applyFont="1" applyFill="1" applyBorder="1" applyAlignment="1" applyProtection="1">
      <alignment horizontal="center"/>
    </xf>
    <xf numFmtId="0" fontId="2" fillId="0" borderId="43" xfId="0" applyFont="1" applyBorder="1" applyAlignment="1" applyProtection="1">
      <alignment horizontal="center"/>
    </xf>
    <xf numFmtId="0" fontId="55" fillId="0" borderId="21" xfId="0" applyFont="1" applyBorder="1" applyAlignment="1" applyProtection="1">
      <alignment horizontal="center"/>
    </xf>
    <xf numFmtId="0" fontId="64" fillId="0" borderId="49" xfId="0" applyFont="1" applyBorder="1" applyAlignment="1" applyProtection="1">
      <alignment horizontal="left"/>
    </xf>
    <xf numFmtId="0" fontId="55" fillId="0" borderId="68" xfId="0" applyFont="1" applyBorder="1" applyAlignment="1" applyProtection="1">
      <alignment horizontal="center"/>
    </xf>
    <xf numFmtId="0" fontId="55" fillId="0" borderId="69" xfId="0" applyFont="1" applyBorder="1" applyAlignment="1" applyProtection="1">
      <alignment horizontal="center"/>
    </xf>
    <xf numFmtId="0" fontId="55" fillId="0" borderId="52" xfId="0" applyFont="1" applyBorder="1" applyAlignment="1" applyProtection="1">
      <alignment horizontal="center"/>
    </xf>
    <xf numFmtId="0" fontId="64" fillId="0" borderId="34" xfId="0" applyFont="1" applyBorder="1" applyAlignment="1" applyProtection="1">
      <alignment horizontal="center"/>
    </xf>
    <xf numFmtId="0" fontId="53" fillId="0" borderId="0" xfId="0" applyFont="1" applyBorder="1" applyAlignment="1" applyProtection="1">
      <alignment horizontal="left"/>
    </xf>
    <xf numFmtId="0" fontId="37" fillId="0" borderId="0" xfId="0" applyFont="1" applyBorder="1" applyProtection="1"/>
    <xf numFmtId="0" fontId="23" fillId="0" borderId="0" xfId="0" applyFont="1" applyBorder="1" applyAlignment="1" applyProtection="1"/>
    <xf numFmtId="0" fontId="2" fillId="0" borderId="2" xfId="0" applyFont="1" applyBorder="1" applyAlignment="1" applyProtection="1">
      <alignment vertical="top" wrapText="1"/>
    </xf>
    <xf numFmtId="0" fontId="14" fillId="0" borderId="0" xfId="0" applyFont="1" applyBorder="1" applyAlignment="1" applyProtection="1">
      <alignment horizontal="center" vertical="top"/>
    </xf>
    <xf numFmtId="0" fontId="14" fillId="0" borderId="0" xfId="0" applyFont="1" applyFill="1" applyBorder="1" applyAlignment="1" applyProtection="1">
      <alignment horizontal="center"/>
    </xf>
    <xf numFmtId="0" fontId="23" fillId="0" borderId="0" xfId="0" applyFont="1" applyFill="1" applyBorder="1" applyAlignment="1" applyProtection="1"/>
    <xf numFmtId="0" fontId="37" fillId="0" borderId="0" xfId="0" applyFont="1" applyFill="1" applyBorder="1" applyProtection="1"/>
    <xf numFmtId="0" fontId="2" fillId="5" borderId="0" xfId="9" applyFont="1" applyFill="1" applyBorder="1" applyAlignment="1" applyProtection="1">
      <alignment horizontal="left"/>
    </xf>
    <xf numFmtId="0" fontId="2" fillId="5" borderId="0" xfId="9" applyFont="1" applyFill="1" applyBorder="1" applyAlignment="1" applyProtection="1">
      <alignment horizontal="justify" wrapText="1"/>
    </xf>
    <xf numFmtId="0" fontId="13" fillId="5" borderId="0" xfId="9" applyFont="1" applyFill="1" applyBorder="1" applyProtection="1"/>
    <xf numFmtId="0" fontId="13" fillId="0" borderId="0" xfId="0" applyFont="1" applyBorder="1" applyProtection="1"/>
    <xf numFmtId="0" fontId="13" fillId="5" borderId="0" xfId="9" applyFont="1" applyFill="1" applyBorder="1" applyAlignment="1" applyProtection="1">
      <alignment horizontal="right"/>
    </xf>
    <xf numFmtId="0" fontId="7" fillId="5" borderId="5" xfId="9" applyFont="1" applyFill="1" applyBorder="1" applyAlignment="1" applyProtection="1"/>
    <xf numFmtId="0" fontId="7" fillId="5" borderId="4" xfId="0" applyFont="1" applyFill="1" applyBorder="1" applyAlignment="1" applyProtection="1">
      <alignment horizontal="left"/>
    </xf>
    <xf numFmtId="0" fontId="2" fillId="5" borderId="43" xfId="9" applyFont="1" applyFill="1" applyBorder="1" applyProtection="1"/>
    <xf numFmtId="0" fontId="2" fillId="5" borderId="43" xfId="9" applyFont="1" applyFill="1" applyBorder="1" applyAlignment="1" applyProtection="1">
      <alignment horizontal="right"/>
    </xf>
    <xf numFmtId="0" fontId="14" fillId="5" borderId="43" xfId="9" applyFont="1" applyFill="1" applyBorder="1" applyAlignment="1" applyProtection="1">
      <alignment horizontal="right"/>
    </xf>
    <xf numFmtId="0" fontId="14" fillId="5" borderId="43" xfId="0" applyNumberFormat="1" applyFont="1" applyFill="1" applyBorder="1" applyAlignment="1" applyProtection="1">
      <alignment horizontal="left"/>
    </xf>
    <xf numFmtId="0" fontId="2" fillId="5" borderId="3" xfId="9" applyFont="1" applyFill="1" applyBorder="1" applyProtection="1"/>
    <xf numFmtId="0" fontId="5" fillId="5" borderId="0" xfId="9" applyFont="1" applyFill="1" applyBorder="1" applyAlignment="1" applyProtection="1">
      <alignment horizontal="center"/>
    </xf>
    <xf numFmtId="0" fontId="2" fillId="5" borderId="0" xfId="9" applyFont="1" applyFill="1" applyBorder="1" applyAlignment="1" applyProtection="1">
      <alignment vertical="top"/>
    </xf>
    <xf numFmtId="0" fontId="2" fillId="5" borderId="3" xfId="9" applyFont="1" applyFill="1" applyBorder="1" applyAlignment="1" applyProtection="1">
      <alignment vertical="top"/>
    </xf>
    <xf numFmtId="0" fontId="2" fillId="5" borderId="17" xfId="9" applyFont="1" applyFill="1" applyBorder="1" applyAlignment="1" applyProtection="1">
      <alignment vertical="top" wrapText="1"/>
    </xf>
    <xf numFmtId="0" fontId="10" fillId="5" borderId="0" xfId="9" applyFont="1" applyFill="1" applyBorder="1" applyAlignment="1" applyProtection="1"/>
    <xf numFmtId="0" fontId="10" fillId="5" borderId="3" xfId="9" applyFont="1" applyFill="1" applyBorder="1" applyAlignment="1" applyProtection="1"/>
    <xf numFmtId="0" fontId="30" fillId="5" borderId="0" xfId="9" applyFont="1" applyFill="1" applyBorder="1" applyAlignment="1" applyProtection="1"/>
    <xf numFmtId="0" fontId="2" fillId="5" borderId="5" xfId="9" applyFont="1" applyFill="1" applyBorder="1" applyAlignment="1" applyProtection="1">
      <alignment horizontal="left" wrapText="1"/>
    </xf>
    <xf numFmtId="0" fontId="2" fillId="5" borderId="5" xfId="0" applyFont="1" applyFill="1" applyBorder="1" applyAlignment="1" applyProtection="1"/>
    <xf numFmtId="0" fontId="2" fillId="5" borderId="3" xfId="9" applyFont="1" applyFill="1" applyBorder="1" applyAlignment="1" applyProtection="1"/>
    <xf numFmtId="0" fontId="2" fillId="5" borderId="3" xfId="9" applyFont="1" applyFill="1" applyBorder="1" applyAlignment="1" applyProtection="1">
      <alignment vertical="center" wrapText="1"/>
    </xf>
    <xf numFmtId="0" fontId="2" fillId="5" borderId="0" xfId="9" applyNumberFormat="1" applyFont="1" applyFill="1" applyBorder="1" applyAlignment="1" applyProtection="1">
      <alignment horizontal="left" vertical="center" wrapText="1"/>
    </xf>
    <xf numFmtId="0" fontId="2" fillId="5" borderId="17" xfId="9" applyFont="1" applyFill="1" applyBorder="1" applyAlignment="1" applyProtection="1">
      <alignment vertical="center" wrapText="1"/>
    </xf>
    <xf numFmtId="49" fontId="2" fillId="5" borderId="0" xfId="9" applyNumberFormat="1" applyFont="1" applyFill="1" applyBorder="1" applyAlignment="1" applyProtection="1">
      <alignment wrapText="1"/>
    </xf>
    <xf numFmtId="0" fontId="27" fillId="5" borderId="0" xfId="9" applyFont="1" applyFill="1" applyBorder="1" applyAlignment="1" applyProtection="1"/>
    <xf numFmtId="0" fontId="27" fillId="5" borderId="5" xfId="9" applyFont="1" applyFill="1" applyBorder="1" applyAlignment="1" applyProtection="1">
      <alignment horizontal="center"/>
    </xf>
    <xf numFmtId="0" fontId="2" fillId="5" borderId="21" xfId="9" applyFont="1" applyFill="1" applyBorder="1" applyProtection="1"/>
    <xf numFmtId="0" fontId="2" fillId="5" borderId="9" xfId="9" applyFont="1" applyFill="1" applyBorder="1" applyProtection="1"/>
    <xf numFmtId="0" fontId="14" fillId="5" borderId="0" xfId="9" applyFont="1" applyFill="1" applyBorder="1" applyProtection="1"/>
    <xf numFmtId="0" fontId="2" fillId="0" borderId="0" xfId="0" applyFont="1" applyAlignment="1" applyProtection="1">
      <alignment horizontal="center"/>
    </xf>
    <xf numFmtId="167" fontId="2" fillId="0" borderId="12" xfId="0" applyNumberFormat="1" applyFont="1" applyBorder="1" applyAlignment="1" applyProtection="1"/>
    <xf numFmtId="167" fontId="2" fillId="0" borderId="2" xfId="0" applyNumberFormat="1" applyFont="1" applyBorder="1" applyAlignment="1" applyProtection="1">
      <alignment horizontal="center"/>
    </xf>
    <xf numFmtId="10" fontId="2" fillId="0" borderId="12" xfId="10" applyNumberFormat="1" applyFont="1" applyFill="1" applyBorder="1" applyAlignment="1" applyProtection="1">
      <alignment horizontal="center"/>
    </xf>
    <xf numFmtId="0" fontId="35" fillId="0" borderId="22" xfId="0" applyFont="1" applyFill="1" applyBorder="1" applyAlignment="1" applyProtection="1">
      <alignment horizontal="center"/>
    </xf>
    <xf numFmtId="0" fontId="53" fillId="0" borderId="12"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44" fontId="15" fillId="0" borderId="12" xfId="0" applyNumberFormat="1" applyFont="1" applyBorder="1" applyAlignment="1" applyProtection="1">
      <alignment horizontal="center" vertical="center"/>
      <protection locked="0"/>
    </xf>
    <xf numFmtId="0" fontId="2" fillId="9" borderId="40" xfId="0" applyFont="1" applyFill="1" applyBorder="1" applyAlignment="1" applyProtection="1">
      <alignment horizontal="center" wrapText="1"/>
    </xf>
    <xf numFmtId="0" fontId="53" fillId="0" borderId="3" xfId="0" applyFont="1" applyBorder="1" applyAlignment="1" applyProtection="1">
      <alignment horizontal="center"/>
    </xf>
    <xf numFmtId="0" fontId="53" fillId="0" borderId="21" xfId="0" applyFont="1" applyBorder="1" applyAlignment="1" applyProtection="1">
      <alignment horizontal="center"/>
    </xf>
    <xf numFmtId="0" fontId="2" fillId="9" borderId="66" xfId="0" applyFont="1" applyFill="1" applyBorder="1" applyAlignment="1" applyProtection="1">
      <alignment horizontal="center"/>
    </xf>
    <xf numFmtId="0" fontId="2" fillId="9" borderId="30" xfId="0" applyFont="1" applyFill="1" applyBorder="1" applyAlignment="1" applyProtection="1">
      <alignment horizontal="center" vertical="center" wrapText="1"/>
    </xf>
    <xf numFmtId="0" fontId="2" fillId="9" borderId="66" xfId="0" applyFont="1" applyFill="1" applyBorder="1" applyAlignment="1" applyProtection="1">
      <alignment horizontal="center" vertical="center" wrapText="1"/>
    </xf>
    <xf numFmtId="0" fontId="53" fillId="9" borderId="30" xfId="0" applyFont="1" applyFill="1" applyBorder="1" applyAlignment="1" applyProtection="1">
      <alignment horizontal="center" vertical="center" wrapText="1"/>
    </xf>
    <xf numFmtId="0" fontId="2" fillId="9" borderId="29" xfId="0" applyFont="1" applyFill="1" applyBorder="1" applyAlignment="1" applyProtection="1">
      <alignment horizontal="center" vertical="center" wrapText="1"/>
    </xf>
    <xf numFmtId="0" fontId="5" fillId="5" borderId="0" xfId="0" applyFont="1" applyFill="1" applyBorder="1" applyAlignment="1" applyProtection="1">
      <alignment horizontal="center"/>
      <protection locked="0"/>
    </xf>
    <xf numFmtId="0" fontId="8" fillId="5" borderId="0" xfId="0" applyFont="1" applyFill="1" applyBorder="1" applyAlignment="1" applyProtection="1">
      <protection locked="0"/>
    </xf>
    <xf numFmtId="0" fontId="9" fillId="5" borderId="0" xfId="0" applyFont="1" applyFill="1" applyBorder="1" applyAlignment="1" applyProtection="1">
      <alignment horizontal="left" vertical="top" wrapText="1" indent="1"/>
      <protection locked="0"/>
    </xf>
    <xf numFmtId="44" fontId="2" fillId="9" borderId="7" xfId="3" applyFont="1" applyFill="1" applyBorder="1" applyAlignment="1" applyProtection="1">
      <alignment horizontal="center" vertical="center"/>
      <protection locked="0"/>
    </xf>
    <xf numFmtId="0" fontId="60" fillId="0" borderId="0" xfId="0" applyFont="1" applyAlignment="1" applyProtection="1">
      <alignment horizontal="center"/>
    </xf>
    <xf numFmtId="0" fontId="27" fillId="7" borderId="0" xfId="0" applyFont="1" applyFill="1" applyBorder="1" applyAlignment="1" applyProtection="1">
      <alignment horizontal="center"/>
      <protection locked="0"/>
    </xf>
    <xf numFmtId="0" fontId="27" fillId="8" borderId="0" xfId="0" applyFont="1" applyFill="1" applyBorder="1" applyAlignment="1" applyProtection="1">
      <alignment horizontal="center"/>
      <protection locked="0"/>
    </xf>
    <xf numFmtId="0" fontId="60" fillId="0" borderId="0" xfId="0" applyFont="1" applyAlignment="1" applyProtection="1">
      <alignment horizontal="center"/>
      <protection locked="0"/>
    </xf>
    <xf numFmtId="0" fontId="2" fillId="0" borderId="0" xfId="0" applyFont="1" applyAlignment="1" applyProtection="1">
      <alignment horizontal="center"/>
      <protection locked="0"/>
    </xf>
    <xf numFmtId="0" fontId="2" fillId="0" borderId="0" xfId="0" applyFont="1" applyFill="1" applyBorder="1" applyAlignment="1" applyProtection="1">
      <alignment horizontal="center"/>
      <protection locked="0"/>
    </xf>
    <xf numFmtId="0" fontId="60" fillId="0" borderId="0" xfId="0" applyFont="1" applyFill="1" applyBorder="1" applyAlignment="1" applyProtection="1">
      <alignment horizontal="center"/>
      <protection locked="0"/>
    </xf>
    <xf numFmtId="0" fontId="27" fillId="7" borderId="0" xfId="0" applyFont="1" applyFill="1" applyBorder="1" applyAlignment="1" applyProtection="1">
      <alignment horizontal="center"/>
    </xf>
    <xf numFmtId="0" fontId="27" fillId="8" borderId="0" xfId="0" applyFont="1" applyFill="1" applyBorder="1" applyAlignment="1" applyProtection="1">
      <alignment horizontal="center"/>
    </xf>
    <xf numFmtId="166" fontId="35" fillId="0" borderId="70" xfId="1" applyNumberFormat="1" applyFont="1" applyBorder="1" applyAlignment="1" applyProtection="1"/>
    <xf numFmtId="44" fontId="35" fillId="0" borderId="22" xfId="3" applyFont="1" applyBorder="1" applyAlignment="1" applyProtection="1"/>
    <xf numFmtId="0" fontId="53" fillId="9" borderId="71" xfId="0" applyFont="1" applyFill="1" applyBorder="1" applyAlignment="1" applyProtection="1">
      <alignment horizontal="center" vertical="center" wrapText="1"/>
    </xf>
    <xf numFmtId="0" fontId="2" fillId="0" borderId="45" xfId="0" applyFont="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44" fontId="27" fillId="8" borderId="52" xfId="3" applyFont="1" applyFill="1" applyBorder="1" applyAlignment="1" applyProtection="1"/>
    <xf numFmtId="0" fontId="35" fillId="0" borderId="30" xfId="0" applyFont="1" applyBorder="1" applyAlignment="1" applyProtection="1">
      <protection locked="0"/>
    </xf>
    <xf numFmtId="0" fontId="53" fillId="0" borderId="22"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44" fontId="15" fillId="0" borderId="22" xfId="0" applyNumberFormat="1" applyFont="1" applyBorder="1" applyAlignment="1" applyProtection="1">
      <alignment horizontal="center" vertical="center"/>
      <protection locked="0"/>
    </xf>
    <xf numFmtId="0" fontId="53" fillId="0" borderId="29" xfId="0" applyFont="1" applyBorder="1" applyAlignment="1" applyProtection="1">
      <alignment horizontal="center"/>
    </xf>
    <xf numFmtId="44" fontId="15" fillId="0" borderId="29" xfId="3" applyFont="1" applyBorder="1" applyAlignment="1" applyProtection="1">
      <alignment horizontal="center"/>
    </xf>
    <xf numFmtId="44" fontId="15" fillId="0" borderId="43" xfId="3" applyFont="1" applyBorder="1" applyAlignment="1" applyProtection="1">
      <alignment horizontal="center"/>
    </xf>
    <xf numFmtId="0" fontId="2" fillId="9" borderId="52" xfId="0" applyFont="1" applyFill="1" applyBorder="1" applyAlignment="1" applyProtection="1">
      <alignment horizontal="center" vertical="center" wrapText="1"/>
    </xf>
    <xf numFmtId="0" fontId="2" fillId="9" borderId="68" xfId="0" applyFont="1" applyFill="1" applyBorder="1" applyAlignment="1" applyProtection="1">
      <alignment horizontal="center" vertical="center" wrapText="1"/>
    </xf>
    <xf numFmtId="0" fontId="65" fillId="9" borderId="13" xfId="0" applyFont="1" applyFill="1" applyBorder="1" applyAlignment="1" applyProtection="1">
      <alignment horizontal="center" vertical="center" wrapText="1"/>
    </xf>
    <xf numFmtId="0" fontId="65" fillId="9" borderId="29" xfId="0" applyFont="1" applyFill="1" applyBorder="1" applyAlignment="1" applyProtection="1">
      <alignment horizontal="center" vertical="center" wrapText="1"/>
    </xf>
    <xf numFmtId="0" fontId="65" fillId="9" borderId="30" xfId="0" applyFont="1" applyFill="1" applyBorder="1" applyAlignment="1" applyProtection="1">
      <alignment horizontal="center" vertical="center" wrapText="1"/>
    </xf>
    <xf numFmtId="0" fontId="35" fillId="9" borderId="41" xfId="0" applyFont="1" applyFill="1" applyBorder="1" applyAlignment="1" applyProtection="1">
      <alignment horizontal="center" wrapText="1"/>
    </xf>
    <xf numFmtId="44" fontId="35" fillId="0" borderId="45" xfId="3" applyFont="1" applyFill="1" applyBorder="1" applyAlignment="1" applyProtection="1"/>
    <xf numFmtId="44" fontId="35" fillId="6" borderId="37" xfId="3" applyFont="1" applyFill="1" applyBorder="1" applyAlignment="1" applyProtection="1"/>
    <xf numFmtId="44" fontId="15" fillId="0" borderId="62" xfId="3" applyFont="1" applyBorder="1" applyAlignment="1" applyProtection="1">
      <alignment horizontal="center" vertical="top"/>
    </xf>
    <xf numFmtId="44" fontId="35" fillId="0" borderId="23" xfId="3" applyFont="1" applyFill="1" applyBorder="1" applyAlignment="1" applyProtection="1">
      <protection locked="0"/>
    </xf>
    <xf numFmtId="44" fontId="15" fillId="0" borderId="48" xfId="3" applyFont="1" applyBorder="1" applyAlignment="1" applyProtection="1">
      <alignment horizontal="center" vertical="top"/>
    </xf>
    <xf numFmtId="0" fontId="27" fillId="9" borderId="72" xfId="0" applyFont="1" applyFill="1" applyBorder="1" applyAlignment="1" applyProtection="1">
      <alignment horizontal="center" wrapText="1"/>
    </xf>
    <xf numFmtId="0" fontId="27" fillId="9" borderId="52" xfId="0" applyFont="1" applyFill="1" applyBorder="1" applyAlignment="1" applyProtection="1">
      <alignment horizontal="center" wrapText="1"/>
    </xf>
    <xf numFmtId="44" fontId="55" fillId="6" borderId="26" xfId="0" applyNumberFormat="1" applyFont="1" applyFill="1" applyBorder="1" applyAlignment="1" applyProtection="1">
      <alignment horizontal="center"/>
    </xf>
    <xf numFmtId="0" fontId="2" fillId="9" borderId="19" xfId="0" applyFont="1" applyFill="1" applyBorder="1" applyAlignment="1" applyProtection="1">
      <alignment horizontal="center" wrapText="1"/>
    </xf>
    <xf numFmtId="0" fontId="2" fillId="9" borderId="66" xfId="0" applyFont="1" applyFill="1" applyBorder="1" applyAlignment="1" applyProtection="1">
      <alignment horizontal="center" wrapText="1"/>
    </xf>
    <xf numFmtId="0" fontId="2" fillId="9" borderId="27" xfId="0" applyFont="1" applyFill="1" applyBorder="1" applyAlignment="1" applyProtection="1">
      <alignment horizontal="center" wrapText="1"/>
    </xf>
    <xf numFmtId="0" fontId="2" fillId="9" borderId="19" xfId="0" applyFont="1" applyFill="1" applyBorder="1" applyAlignment="1" applyProtection="1">
      <alignment horizontal="center"/>
    </xf>
    <xf numFmtId="0" fontId="2" fillId="9" borderId="27" xfId="0" applyFont="1" applyFill="1" applyBorder="1" applyAlignment="1" applyProtection="1">
      <alignment horizontal="center"/>
    </xf>
    <xf numFmtId="0" fontId="15" fillId="0" borderId="0" xfId="0" applyFont="1" applyBorder="1" applyAlignment="1" applyProtection="1">
      <alignment horizontal="left"/>
    </xf>
    <xf numFmtId="168" fontId="5" fillId="0" borderId="12" xfId="1" applyNumberFormat="1" applyFont="1" applyBorder="1" applyAlignment="1" applyProtection="1">
      <alignment horizontal="center"/>
    </xf>
    <xf numFmtId="168" fontId="5" fillId="0" borderId="2" xfId="1" applyNumberFormat="1" applyFont="1" applyBorder="1" applyAlignment="1" applyProtection="1">
      <alignment horizontal="center"/>
    </xf>
    <xf numFmtId="0" fontId="38" fillId="0" borderId="0" xfId="0" applyFont="1" applyBorder="1" applyAlignment="1" applyProtection="1">
      <alignment horizontal="center"/>
    </xf>
    <xf numFmtId="0" fontId="39" fillId="0" borderId="0" xfId="0" applyFont="1" applyBorder="1" applyProtection="1"/>
    <xf numFmtId="0" fontId="40" fillId="0" borderId="0" xfId="0" applyFont="1" applyBorder="1" applyAlignment="1" applyProtection="1"/>
    <xf numFmtId="0" fontId="40" fillId="0" borderId="0" xfId="0" applyFont="1" applyBorder="1" applyAlignment="1" applyProtection="1">
      <alignment horizontal="right"/>
    </xf>
    <xf numFmtId="0" fontId="40" fillId="0" borderId="4" xfId="0" applyFont="1" applyBorder="1" applyAlignment="1" applyProtection="1">
      <alignment horizontal="left"/>
    </xf>
    <xf numFmtId="0" fontId="39" fillId="9" borderId="49" xfId="0" applyFont="1" applyFill="1" applyBorder="1" applyAlignment="1" applyProtection="1">
      <alignment horizontal="center" vertical="center" wrapText="1"/>
    </xf>
    <xf numFmtId="166" fontId="39" fillId="0" borderId="2" xfId="1" applyNumberFormat="1" applyFont="1" applyFill="1" applyBorder="1" applyAlignment="1" applyProtection="1"/>
    <xf numFmtId="44" fontId="39" fillId="0" borderId="22" xfId="3" applyFont="1" applyFill="1" applyBorder="1" applyAlignment="1" applyProtection="1"/>
    <xf numFmtId="0" fontId="39" fillId="0" borderId="3" xfId="0" applyFont="1" applyBorder="1" applyAlignment="1" applyProtection="1"/>
    <xf numFmtId="0" fontId="39" fillId="0" borderId="0" xfId="0" applyFont="1" applyBorder="1" applyAlignment="1" applyProtection="1"/>
    <xf numFmtId="166" fontId="39" fillId="0" borderId="2" xfId="1" applyNumberFormat="1" applyFont="1" applyFill="1" applyBorder="1" applyAlignment="1" applyProtection="1">
      <protection locked="0"/>
    </xf>
    <xf numFmtId="44" fontId="39" fillId="0" borderId="22" xfId="3" applyFont="1" applyFill="1" applyBorder="1" applyAlignment="1" applyProtection="1">
      <protection locked="0"/>
    </xf>
    <xf numFmtId="0" fontId="39" fillId="0" borderId="15" xfId="0" applyFont="1" applyBorder="1" applyAlignment="1" applyProtection="1"/>
    <xf numFmtId="166" fontId="39" fillId="6" borderId="24" xfId="1" applyNumberFormat="1" applyFont="1" applyFill="1" applyBorder="1" applyAlignment="1" applyProtection="1"/>
    <xf numFmtId="44" fontId="39" fillId="6" borderId="25" xfId="3" applyFont="1" applyFill="1" applyBorder="1" applyAlignment="1" applyProtection="1"/>
    <xf numFmtId="166" fontId="39" fillId="0" borderId="70" xfId="1" applyNumberFormat="1" applyFont="1" applyFill="1" applyBorder="1" applyAlignment="1" applyProtection="1"/>
    <xf numFmtId="166" fontId="39" fillId="0" borderId="14" xfId="1" applyNumberFormat="1" applyFont="1" applyFill="1" applyBorder="1" applyAlignment="1" applyProtection="1">
      <protection locked="0"/>
    </xf>
    <xf numFmtId="166" fontId="39" fillId="6" borderId="55" xfId="1" applyNumberFormat="1" applyFont="1" applyFill="1" applyBorder="1" applyAlignment="1" applyProtection="1"/>
    <xf numFmtId="0" fontId="39" fillId="0" borderId="59" xfId="0" applyFont="1" applyBorder="1" applyAlignment="1" applyProtection="1">
      <alignment horizontal="center"/>
    </xf>
    <xf numFmtId="0" fontId="39" fillId="0" borderId="0" xfId="0" applyFont="1" applyBorder="1" applyAlignment="1" applyProtection="1">
      <alignment horizontal="center"/>
    </xf>
    <xf numFmtId="0" fontId="44" fillId="0" borderId="3" xfId="0" applyFont="1" applyBorder="1" applyAlignment="1" applyProtection="1"/>
    <xf numFmtId="0" fontId="39" fillId="0" borderId="21" xfId="0" applyFont="1" applyBorder="1" applyAlignment="1" applyProtection="1">
      <alignment horizontal="center"/>
    </xf>
    <xf numFmtId="0" fontId="39" fillId="0" borderId="43" xfId="0" applyFont="1" applyBorder="1" applyAlignment="1" applyProtection="1">
      <alignment horizontal="center"/>
    </xf>
    <xf numFmtId="0" fontId="39" fillId="0" borderId="43" xfId="0" applyFont="1" applyBorder="1" applyAlignment="1" applyProtection="1"/>
    <xf numFmtId="0" fontId="43" fillId="0" borderId="48" xfId="0" applyFont="1" applyBorder="1" applyAlignment="1" applyProtection="1">
      <alignment horizontal="center" vertical="top"/>
    </xf>
    <xf numFmtId="0" fontId="45" fillId="0" borderId="0" xfId="0" applyFont="1" applyBorder="1" applyAlignment="1" applyProtection="1">
      <alignment horizontal="right" vertical="top"/>
    </xf>
    <xf numFmtId="0" fontId="39" fillId="0" borderId="39" xfId="0" applyFont="1" applyBorder="1" applyAlignment="1" applyProtection="1"/>
    <xf numFmtId="0" fontId="46" fillId="7" borderId="0" xfId="0" applyFont="1" applyFill="1" applyBorder="1" applyProtection="1">
      <protection locked="0"/>
    </xf>
    <xf numFmtId="0" fontId="46" fillId="0" borderId="0" xfId="0" applyFont="1" applyFill="1" applyBorder="1" applyProtection="1">
      <protection locked="0"/>
    </xf>
    <xf numFmtId="0" fontId="39" fillId="0" borderId="0" xfId="0" applyFont="1" applyBorder="1" applyProtection="1">
      <protection locked="0"/>
    </xf>
    <xf numFmtId="0" fontId="46" fillId="8" borderId="0" xfId="0" applyFont="1" applyFill="1" applyBorder="1" applyAlignment="1" applyProtection="1">
      <protection locked="0"/>
    </xf>
    <xf numFmtId="0" fontId="46" fillId="0" borderId="0" xfId="0" applyFont="1" applyFill="1" applyBorder="1" applyAlignment="1" applyProtection="1">
      <protection locked="0"/>
    </xf>
    <xf numFmtId="0" fontId="43" fillId="0" borderId="0" xfId="0" applyFont="1" applyBorder="1" applyAlignment="1" applyProtection="1">
      <alignment horizontal="right"/>
      <protection locked="0"/>
    </xf>
    <xf numFmtId="0" fontId="38" fillId="0" borderId="0" xfId="0" applyFont="1" applyBorder="1" applyAlignment="1" applyProtection="1">
      <alignment horizontal="center"/>
      <protection locked="0"/>
    </xf>
    <xf numFmtId="0" fontId="40" fillId="0" borderId="0" xfId="0" applyFont="1" applyBorder="1" applyProtection="1"/>
    <xf numFmtId="166" fontId="39" fillId="0" borderId="2" xfId="1" applyNumberFormat="1" applyFont="1" applyFill="1" applyBorder="1" applyAlignment="1" applyProtection="1">
      <alignment horizontal="center"/>
    </xf>
    <xf numFmtId="166" fontId="39" fillId="0" borderId="2" xfId="1" applyNumberFormat="1" applyFont="1" applyBorder="1" applyAlignment="1" applyProtection="1">
      <alignment horizontal="center"/>
    </xf>
    <xf numFmtId="44" fontId="2" fillId="6" borderId="26" xfId="3" applyFont="1" applyFill="1" applyBorder="1" applyAlignment="1" applyProtection="1">
      <alignment wrapText="1"/>
    </xf>
    <xf numFmtId="0" fontId="26" fillId="0" borderId="0" xfId="0" applyFont="1" applyBorder="1" applyAlignment="1" applyProtection="1">
      <alignment horizontal="center" vertical="top" wrapText="1"/>
    </xf>
    <xf numFmtId="0" fontId="2" fillId="0" borderId="6" xfId="0" applyFont="1" applyBorder="1" applyAlignment="1" applyProtection="1">
      <alignment horizontal="center"/>
      <protection locked="0"/>
    </xf>
    <xf numFmtId="0" fontId="2" fillId="0" borderId="52" xfId="0" applyFont="1" applyBorder="1" applyAlignment="1" applyProtection="1">
      <alignment horizontal="center"/>
      <protection locked="0"/>
    </xf>
    <xf numFmtId="0" fontId="2" fillId="0" borderId="69" xfId="0" applyFont="1" applyBorder="1" applyAlignment="1" applyProtection="1">
      <alignment horizontal="center"/>
      <protection locked="0"/>
    </xf>
    <xf numFmtId="0" fontId="48" fillId="0" borderId="0" xfId="0" applyFont="1" applyAlignment="1" applyProtection="1">
      <alignment horizontal="right"/>
    </xf>
    <xf numFmtId="0" fontId="2" fillId="9" borderId="7" xfId="0" applyFont="1" applyFill="1" applyBorder="1" applyAlignment="1" applyProtection="1">
      <alignment horizontal="center" vertical="center"/>
      <protection locked="0"/>
    </xf>
    <xf numFmtId="44" fontId="2" fillId="9" borderId="7" xfId="3" applyFont="1" applyFill="1" applyBorder="1" applyAlignment="1" applyProtection="1">
      <alignment vertical="center"/>
      <protection locked="0"/>
    </xf>
    <xf numFmtId="0" fontId="2" fillId="9" borderId="7" xfId="0" applyFont="1" applyFill="1" applyBorder="1" applyAlignment="1" applyProtection="1">
      <alignment vertical="center"/>
      <protection locked="0"/>
    </xf>
    <xf numFmtId="43" fontId="2" fillId="9" borderId="7" xfId="1" applyFont="1" applyFill="1" applyBorder="1" applyAlignment="1" applyProtection="1">
      <alignment vertical="center"/>
      <protection locked="0"/>
    </xf>
    <xf numFmtId="44" fontId="2" fillId="0" borderId="7" xfId="3" applyFont="1" applyBorder="1" applyAlignment="1" applyProtection="1">
      <alignment horizontal="right" wrapText="1"/>
      <protection locked="0"/>
    </xf>
    <xf numFmtId="44" fontId="27" fillId="8" borderId="7" xfId="3" applyFont="1" applyFill="1" applyBorder="1" applyAlignment="1" applyProtection="1">
      <alignment horizontal="right"/>
    </xf>
    <xf numFmtId="44" fontId="27" fillId="7" borderId="7" xfId="3" applyFont="1" applyFill="1" applyBorder="1" applyAlignment="1" applyProtection="1">
      <alignment horizontal="right"/>
    </xf>
    <xf numFmtId="0" fontId="2" fillId="0" borderId="0" xfId="0" applyFont="1" applyBorder="1" applyAlignment="1" applyProtection="1">
      <alignment horizontal="center" vertical="center"/>
    </xf>
    <xf numFmtId="44" fontId="27" fillId="8" borderId="20" xfId="3" applyFont="1" applyFill="1" applyBorder="1" applyAlignment="1" applyProtection="1">
      <alignment horizontal="right"/>
    </xf>
    <xf numFmtId="44" fontId="2" fillId="0" borderId="20" xfId="3" applyFont="1" applyBorder="1" applyAlignment="1" applyProtection="1">
      <alignment horizontal="right" wrapText="1"/>
      <protection locked="0"/>
    </xf>
    <xf numFmtId="0" fontId="2" fillId="0" borderId="0" xfId="0" applyFont="1" applyBorder="1" applyAlignment="1" applyProtection="1">
      <alignment horizontal="center" vertical="center"/>
      <protection locked="0"/>
    </xf>
    <xf numFmtId="0" fontId="60" fillId="0" borderId="44" xfId="0" applyFont="1" applyBorder="1" applyAlignment="1" applyProtection="1">
      <alignment horizontal="center" vertical="center"/>
      <protection locked="0"/>
    </xf>
    <xf numFmtId="0" fontId="60" fillId="0" borderId="12" xfId="0" applyFont="1" applyBorder="1" applyAlignment="1" applyProtection="1">
      <alignment horizontal="center" vertical="center"/>
      <protection locked="0"/>
    </xf>
    <xf numFmtId="0" fontId="60" fillId="0" borderId="16" xfId="0" applyFont="1" applyBorder="1" applyAlignment="1" applyProtection="1">
      <alignment horizontal="center" vertical="center"/>
      <protection locked="0"/>
    </xf>
    <xf numFmtId="0" fontId="2" fillId="0" borderId="0" xfId="0" applyFont="1" applyFill="1" applyAlignment="1" applyProtection="1">
      <alignment horizontal="center" vertical="center"/>
    </xf>
    <xf numFmtId="0" fontId="2" fillId="0" borderId="26" xfId="0" applyFont="1" applyBorder="1" applyAlignment="1" applyProtection="1">
      <alignment horizontal="center"/>
      <protection locked="0"/>
    </xf>
    <xf numFmtId="0" fontId="2" fillId="0" borderId="34" xfId="0" applyFont="1" applyBorder="1" applyAlignment="1" applyProtection="1">
      <alignment horizontal="center"/>
      <protection locked="0"/>
    </xf>
    <xf numFmtId="0" fontId="2" fillId="0" borderId="73" xfId="0" applyFont="1" applyBorder="1" applyAlignment="1" applyProtection="1">
      <alignment horizontal="left"/>
    </xf>
    <xf numFmtId="0" fontId="2" fillId="0" borderId="57" xfId="0" applyFont="1" applyBorder="1" applyAlignment="1" applyProtection="1">
      <alignment horizontal="center"/>
      <protection locked="0"/>
    </xf>
    <xf numFmtId="0" fontId="2" fillId="0" borderId="74" xfId="0" applyFont="1" applyBorder="1" applyAlignment="1" applyProtection="1">
      <alignment horizontal="center"/>
      <protection locked="0"/>
    </xf>
    <xf numFmtId="0" fontId="35" fillId="0" borderId="0" xfId="0" applyFont="1" applyBorder="1"/>
    <xf numFmtId="0" fontId="4" fillId="5" borderId="0" xfId="6" applyFont="1" applyFill="1" applyBorder="1" applyAlignment="1">
      <alignment horizontal="right"/>
    </xf>
    <xf numFmtId="0" fontId="5" fillId="5" borderId="0" xfId="0" applyFont="1" applyFill="1" applyBorder="1" applyAlignment="1">
      <alignment horizontal="center"/>
    </xf>
    <xf numFmtId="0" fontId="53" fillId="0" borderId="0" xfId="0" applyFont="1" applyBorder="1" applyAlignment="1" applyProtection="1">
      <alignment horizontal="center"/>
    </xf>
    <xf numFmtId="0" fontId="2" fillId="0" borderId="20"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53" fillId="0" borderId="38" xfId="0" applyFont="1" applyBorder="1" applyAlignment="1" applyProtection="1"/>
    <xf numFmtId="0" fontId="53" fillId="0" borderId="0" xfId="0" applyFont="1" applyBorder="1" applyAlignment="1" applyProtection="1"/>
    <xf numFmtId="0" fontId="55" fillId="0" borderId="15" xfId="0" applyFont="1" applyBorder="1" applyAlignment="1" applyProtection="1">
      <protection locked="0"/>
    </xf>
    <xf numFmtId="0" fontId="55" fillId="0" borderId="10" xfId="0" applyFont="1" applyBorder="1" applyAlignment="1" applyProtection="1">
      <protection locked="0"/>
    </xf>
    <xf numFmtId="14" fontId="2" fillId="0" borderId="90" xfId="0" applyNumberFormat="1" applyFont="1" applyBorder="1" applyAlignment="1" applyProtection="1">
      <protection locked="0"/>
    </xf>
    <xf numFmtId="0" fontId="2" fillId="0" borderId="0" xfId="5"/>
    <xf numFmtId="0" fontId="14" fillId="0" borderId="0" xfId="5" applyFont="1" applyBorder="1" applyAlignment="1">
      <alignment horizontal="center"/>
    </xf>
    <xf numFmtId="0" fontId="6" fillId="0" borderId="0" xfId="5" applyFont="1" applyFill="1" applyBorder="1"/>
    <xf numFmtId="0" fontId="6" fillId="3" borderId="12" xfId="5" applyFont="1" applyFill="1" applyBorder="1" applyAlignment="1">
      <alignment horizontal="center"/>
    </xf>
    <xf numFmtId="0" fontId="6" fillId="3" borderId="32" xfId="5" applyFont="1" applyFill="1" applyBorder="1" applyAlignment="1">
      <alignment horizontal="center"/>
    </xf>
    <xf numFmtId="0" fontId="6" fillId="3" borderId="45" xfId="5" applyFont="1" applyFill="1" applyBorder="1" applyAlignment="1">
      <alignment horizontal="center"/>
    </xf>
    <xf numFmtId="0" fontId="6" fillId="3" borderId="22" xfId="5" applyFont="1" applyFill="1" applyBorder="1" applyAlignment="1">
      <alignment horizontal="center"/>
    </xf>
    <xf numFmtId="0" fontId="14" fillId="0" borderId="0" xfId="5" applyFont="1" applyAlignment="1">
      <alignment horizontal="center"/>
    </xf>
    <xf numFmtId="0" fontId="6" fillId="0" borderId="75" xfId="5" applyFont="1" applyBorder="1" applyAlignment="1" applyProtection="1">
      <protection locked="0"/>
    </xf>
    <xf numFmtId="0" fontId="6" fillId="0" borderId="76" xfId="5" applyFont="1" applyBorder="1" applyAlignment="1" applyProtection="1">
      <alignment horizontal="center"/>
      <protection locked="0"/>
    </xf>
    <xf numFmtId="0" fontId="6" fillId="0" borderId="76" xfId="5" applyFont="1" applyBorder="1" applyAlignment="1" applyProtection="1">
      <protection locked="0"/>
    </xf>
    <xf numFmtId="0" fontId="6" fillId="0" borderId="77" xfId="5" applyFont="1" applyBorder="1" applyAlignment="1" applyProtection="1">
      <protection locked="0"/>
    </xf>
    <xf numFmtId="169" fontId="2" fillId="0" borderId="75" xfId="5" applyNumberFormat="1" applyBorder="1" applyAlignment="1">
      <alignment horizontal="center"/>
    </xf>
    <xf numFmtId="0" fontId="2" fillId="0" borderId="75" xfId="5" applyBorder="1" applyAlignment="1">
      <alignment horizontal="center"/>
    </xf>
    <xf numFmtId="169" fontId="2" fillId="0" borderId="76" xfId="5" applyNumberFormat="1" applyBorder="1" applyAlignment="1">
      <alignment horizontal="center"/>
    </xf>
    <xf numFmtId="0" fontId="2" fillId="0" borderId="76" xfId="5" applyBorder="1" applyAlignment="1">
      <alignment horizontal="center"/>
    </xf>
    <xf numFmtId="169" fontId="2" fillId="0" borderId="76" xfId="5" applyNumberFormat="1" applyFill="1" applyBorder="1" applyAlignment="1">
      <alignment horizontal="center"/>
    </xf>
    <xf numFmtId="0" fontId="2" fillId="0" borderId="76" xfId="5" applyFill="1" applyBorder="1" applyAlignment="1">
      <alignment horizontal="center"/>
    </xf>
    <xf numFmtId="0" fontId="55" fillId="0" borderId="78" xfId="0" applyFont="1" applyBorder="1" applyAlignment="1" applyProtection="1">
      <protection locked="0"/>
    </xf>
    <xf numFmtId="0" fontId="55" fillId="0" borderId="51" xfId="0" applyFont="1" applyBorder="1" applyAlignment="1" applyProtection="1">
      <protection locked="0"/>
    </xf>
    <xf numFmtId="0" fontId="55" fillId="0" borderId="2" xfId="0" applyFont="1" applyBorder="1" applyAlignment="1" applyProtection="1">
      <protection locked="0"/>
    </xf>
    <xf numFmtId="0" fontId="55" fillId="0" borderId="29" xfId="0" applyFont="1" applyBorder="1" applyAlignment="1" applyProtection="1">
      <protection locked="0"/>
    </xf>
    <xf numFmtId="0" fontId="52" fillId="0" borderId="0" xfId="0" applyFont="1"/>
    <xf numFmtId="3" fontId="55" fillId="0" borderId="12" xfId="0" applyNumberFormat="1" applyFont="1" applyBorder="1" applyAlignment="1" applyProtection="1">
      <alignment vertical="top" wrapText="1"/>
      <protection locked="0"/>
    </xf>
    <xf numFmtId="0" fontId="55" fillId="0" borderId="44" xfId="0" applyFont="1" applyBorder="1" applyAlignment="1" applyProtection="1">
      <protection locked="0"/>
    </xf>
    <xf numFmtId="0" fontId="55" fillId="0" borderId="16" xfId="0" applyFont="1" applyBorder="1" applyAlignment="1" applyProtection="1">
      <protection locked="0"/>
    </xf>
    <xf numFmtId="49" fontId="55" fillId="0" borderId="12" xfId="0" applyNumberFormat="1" applyFont="1" applyBorder="1" applyAlignment="1" applyProtection="1">
      <alignment horizontal="left" vertical="top"/>
      <protection locked="0"/>
    </xf>
    <xf numFmtId="0" fontId="55" fillId="0" borderId="12" xfId="0" applyFont="1" applyBorder="1" applyAlignment="1" applyProtection="1">
      <alignment horizontal="left" vertical="top"/>
      <protection locked="0"/>
    </xf>
    <xf numFmtId="0" fontId="53" fillId="9" borderId="30" xfId="0" applyFont="1" applyFill="1" applyBorder="1" applyAlignment="1" applyProtection="1">
      <alignment horizontal="center" vertical="center" wrapText="1"/>
    </xf>
    <xf numFmtId="44" fontId="2" fillId="0" borderId="0" xfId="0" applyNumberFormat="1" applyFont="1" applyBorder="1" applyAlignment="1" applyProtection="1">
      <alignment vertical="top"/>
      <protection locked="0"/>
    </xf>
    <xf numFmtId="44" fontId="53" fillId="0" borderId="0" xfId="0" applyNumberFormat="1" applyFont="1" applyBorder="1" applyAlignment="1" applyProtection="1">
      <alignment horizontal="center"/>
      <protection locked="0"/>
    </xf>
    <xf numFmtId="44" fontId="2" fillId="0" borderId="0" xfId="0" applyNumberFormat="1" applyFont="1" applyBorder="1" applyProtection="1">
      <protection locked="0"/>
    </xf>
    <xf numFmtId="0" fontId="27" fillId="0" borderId="0" xfId="0" applyFont="1" applyBorder="1" applyAlignment="1" applyProtection="1">
      <alignment horizontal="center" textRotation="180"/>
    </xf>
    <xf numFmtId="0" fontId="53" fillId="0" borderId="0" xfId="0" applyFont="1" applyBorder="1" applyAlignment="1" applyProtection="1"/>
    <xf numFmtId="0" fontId="55" fillId="0" borderId="3" xfId="0" applyFont="1" applyBorder="1" applyAlignment="1" applyProtection="1">
      <protection locked="0"/>
    </xf>
    <xf numFmtId="0" fontId="55" fillId="0" borderId="0" xfId="0" applyFont="1" applyBorder="1" applyAlignment="1" applyProtection="1">
      <protection locked="0"/>
    </xf>
    <xf numFmtId="0" fontId="55" fillId="0" borderId="15" xfId="0" applyFont="1" applyBorder="1" applyAlignment="1" applyProtection="1">
      <protection locked="0"/>
    </xf>
    <xf numFmtId="44" fontId="2" fillId="0" borderId="0" xfId="0" applyNumberFormat="1" applyFont="1" applyBorder="1" applyAlignment="1" applyProtection="1">
      <protection locked="0"/>
    </xf>
    <xf numFmtId="0" fontId="1" fillId="0" borderId="0" xfId="0" applyNumberFormat="1" applyFont="1" applyFill="1" applyBorder="1" applyAlignment="1" applyProtection="1"/>
    <xf numFmtId="0" fontId="0" fillId="0" borderId="0" xfId="0"/>
    <xf numFmtId="0" fontId="50" fillId="0" borderId="0" xfId="0" applyNumberFormat="1" applyFont="1" applyFill="1" applyBorder="1" applyAlignment="1" applyProtection="1"/>
    <xf numFmtId="0" fontId="50" fillId="0" borderId="0" xfId="0" quotePrefix="1" applyNumberFormat="1" applyFont="1" applyFill="1" applyBorder="1" applyAlignment="1" applyProtection="1"/>
    <xf numFmtId="170" fontId="1" fillId="0" borderId="0" xfId="0" applyNumberFormat="1" applyFont="1" applyFill="1" applyBorder="1" applyAlignment="1" applyProtection="1"/>
    <xf numFmtId="170" fontId="51" fillId="0" borderId="0" xfId="3" applyNumberFormat="1" applyFont="1"/>
    <xf numFmtId="170" fontId="0" fillId="0" borderId="0" xfId="0" applyNumberFormat="1"/>
    <xf numFmtId="0" fontId="50" fillId="0" borderId="0" xfId="0" applyNumberFormat="1" applyFont="1" applyFill="1" applyBorder="1" applyAlignment="1" applyProtection="1">
      <alignment horizontal="right"/>
    </xf>
    <xf numFmtId="170" fontId="52" fillId="0" borderId="0" xfId="0" applyNumberFormat="1" applyFont="1"/>
    <xf numFmtId="7" fontId="51" fillId="0" borderId="0" xfId="3" applyNumberFormat="1" applyFont="1"/>
    <xf numFmtId="0" fontId="53" fillId="9" borderId="0" xfId="0" applyFont="1" applyFill="1" applyBorder="1" applyAlignment="1" applyProtection="1">
      <alignment horizontal="center" vertical="center" wrapText="1"/>
    </xf>
    <xf numFmtId="0" fontId="2" fillId="0" borderId="0" xfId="0" applyFont="1" applyBorder="1" applyAlignment="1" applyProtection="1">
      <alignment horizontal="left" vertical="top" wrapText="1"/>
    </xf>
    <xf numFmtId="44" fontId="2" fillId="0" borderId="22" xfId="3" applyFont="1" applyFill="1" applyBorder="1" applyAlignment="1" applyProtection="1">
      <alignment vertical="top"/>
    </xf>
    <xf numFmtId="44" fontId="2" fillId="0" borderId="2" xfId="3" applyFont="1" applyFill="1" applyBorder="1" applyAlignment="1" applyProtection="1">
      <alignment horizontal="center"/>
      <protection locked="0"/>
    </xf>
    <xf numFmtId="44" fontId="2" fillId="0" borderId="2" xfId="3" applyFont="1" applyFill="1" applyBorder="1" applyAlignment="1" applyProtection="1">
      <alignment horizontal="center"/>
    </xf>
    <xf numFmtId="44" fontId="2" fillId="0" borderId="2" xfId="3" applyFont="1" applyFill="1" applyBorder="1" applyAlignment="1" applyProtection="1">
      <alignment horizontal="center" vertical="top"/>
      <protection locked="0"/>
    </xf>
    <xf numFmtId="43" fontId="0" fillId="0" borderId="0" xfId="1" applyFont="1" applyProtection="1">
      <protection locked="0"/>
    </xf>
    <xf numFmtId="43" fontId="56" fillId="0" borderId="12" xfId="1" applyFont="1" applyFill="1" applyBorder="1" applyAlignment="1" applyProtection="1">
      <protection locked="0"/>
    </xf>
    <xf numFmtId="43" fontId="56" fillId="0" borderId="12" xfId="1" applyFont="1" applyFill="1" applyBorder="1" applyAlignment="1" applyProtection="1"/>
    <xf numFmtId="166" fontId="55" fillId="0" borderId="50" xfId="1" applyNumberFormat="1" applyFont="1" applyBorder="1"/>
    <xf numFmtId="0" fontId="55" fillId="0" borderId="0" xfId="0" applyFont="1" applyBorder="1"/>
    <xf numFmtId="0" fontId="0" fillId="0" borderId="0" xfId="0"/>
    <xf numFmtId="0" fontId="0" fillId="0" borderId="0" xfId="0" applyAlignment="1">
      <alignment horizontal="center"/>
    </xf>
    <xf numFmtId="0" fontId="52" fillId="11" borderId="0" xfId="0" applyFont="1" applyFill="1" applyAlignment="1">
      <alignment horizontal="center"/>
    </xf>
    <xf numFmtId="0" fontId="52" fillId="0" borderId="0" xfId="0" applyFont="1" applyAlignment="1">
      <alignment horizontal="right"/>
    </xf>
    <xf numFmtId="0" fontId="0" fillId="6" borderId="0" xfId="0" applyFill="1"/>
    <xf numFmtId="42" fontId="0" fillId="0" borderId="0" xfId="0" applyNumberFormat="1"/>
    <xf numFmtId="42" fontId="0" fillId="0" borderId="91" xfId="0" applyNumberFormat="1" applyBorder="1"/>
    <xf numFmtId="49" fontId="52" fillId="11" borderId="0" xfId="0" applyNumberFormat="1" applyFont="1" applyFill="1" applyAlignment="1">
      <alignment horizontal="center"/>
    </xf>
    <xf numFmtId="0" fontId="70" fillId="0" borderId="0" xfId="0" applyFont="1" applyAlignment="1">
      <alignment horizontal="left"/>
    </xf>
    <xf numFmtId="42" fontId="0" fillId="6" borderId="0" xfId="0" applyNumberFormat="1" applyFill="1"/>
    <xf numFmtId="42" fontId="52" fillId="6" borderId="91" xfId="0" applyNumberFormat="1" applyFont="1" applyFill="1" applyBorder="1"/>
    <xf numFmtId="0" fontId="71" fillId="0" borderId="0" xfId="0" applyFont="1" applyAlignment="1">
      <alignment horizontal="center"/>
    </xf>
    <xf numFmtId="3" fontId="0" fillId="0" borderId="0" xfId="0" applyNumberFormat="1"/>
    <xf numFmtId="0" fontId="52" fillId="12" borderId="0" xfId="0" applyFont="1" applyFill="1" applyAlignment="1">
      <alignment horizontal="center"/>
    </xf>
    <xf numFmtId="0" fontId="55" fillId="0" borderId="17" xfId="0" applyFont="1" applyBorder="1"/>
    <xf numFmtId="43" fontId="55" fillId="0" borderId="0" xfId="1" applyFont="1" applyBorder="1"/>
    <xf numFmtId="166" fontId="55" fillId="0" borderId="38" xfId="1" applyNumberFormat="1" applyFont="1" applyBorder="1"/>
    <xf numFmtId="166" fontId="55" fillId="0" borderId="84" xfId="1" applyNumberFormat="1" applyFont="1" applyBorder="1"/>
    <xf numFmtId="171" fontId="61" fillId="0" borderId="0" xfId="0" applyNumberFormat="1" applyFont="1" applyBorder="1" applyAlignment="1">
      <alignment horizontal="left"/>
    </xf>
    <xf numFmtId="0" fontId="55" fillId="0" borderId="38" xfId="0" applyFont="1" applyBorder="1"/>
    <xf numFmtId="0" fontId="55" fillId="0" borderId="84" xfId="0" applyFont="1" applyBorder="1"/>
    <xf numFmtId="166" fontId="55" fillId="0" borderId="0" xfId="1" applyNumberFormat="1" applyFont="1" applyBorder="1"/>
    <xf numFmtId="166" fontId="55" fillId="0" borderId="3" xfId="1" applyNumberFormat="1" applyFont="1" applyBorder="1"/>
    <xf numFmtId="0" fontId="0" fillId="0" borderId="0" xfId="0"/>
    <xf numFmtId="0" fontId="0" fillId="0" borderId="0" xfId="0" applyAlignment="1">
      <alignment horizontal="center"/>
    </xf>
    <xf numFmtId="0" fontId="52" fillId="11" borderId="0" xfId="0" applyFont="1" applyFill="1" applyAlignment="1">
      <alignment horizontal="center"/>
    </xf>
    <xf numFmtId="0" fontId="52" fillId="0" borderId="0" xfId="0" applyFont="1" applyAlignment="1">
      <alignment horizontal="right"/>
    </xf>
    <xf numFmtId="0" fontId="0" fillId="6" borderId="0" xfId="0" applyFill="1"/>
    <xf numFmtId="42" fontId="52" fillId="11" borderId="0" xfId="0" applyNumberFormat="1" applyFont="1" applyFill="1" applyAlignment="1">
      <alignment horizontal="center"/>
    </xf>
    <xf numFmtId="42" fontId="0" fillId="0" borderId="0" xfId="0" applyNumberFormat="1"/>
    <xf numFmtId="42" fontId="0" fillId="0" borderId="91" xfId="0" applyNumberFormat="1" applyBorder="1"/>
    <xf numFmtId="49" fontId="52" fillId="11" borderId="0" xfId="0" applyNumberFormat="1" applyFont="1" applyFill="1" applyAlignment="1">
      <alignment horizontal="center"/>
    </xf>
    <xf numFmtId="0" fontId="70" fillId="0" borderId="0" xfId="0" applyFont="1" applyAlignment="1">
      <alignment horizontal="left"/>
    </xf>
    <xf numFmtId="10" fontId="52" fillId="11" borderId="0" xfId="0" applyNumberFormat="1" applyFont="1" applyFill="1" applyAlignment="1">
      <alignment horizontal="center"/>
    </xf>
    <xf numFmtId="10" fontId="0" fillId="0" borderId="0" xfId="0" applyNumberFormat="1" applyAlignment="1">
      <alignment horizontal="center"/>
    </xf>
    <xf numFmtId="42" fontId="0" fillId="6" borderId="0" xfId="0" applyNumberFormat="1" applyFill="1"/>
    <xf numFmtId="42" fontId="52" fillId="6" borderId="91" xfId="0" applyNumberFormat="1" applyFont="1" applyFill="1" applyBorder="1"/>
    <xf numFmtId="0" fontId="70" fillId="0" borderId="0" xfId="0" applyFont="1" applyAlignment="1">
      <alignment horizontal="left" vertical="top"/>
    </xf>
    <xf numFmtId="0" fontId="71" fillId="0" borderId="0" xfId="0" applyFont="1" applyAlignment="1">
      <alignment horizontal="center"/>
    </xf>
    <xf numFmtId="3" fontId="0" fillId="0" borderId="0" xfId="0" applyNumberFormat="1"/>
    <xf numFmtId="0" fontId="52" fillId="12" borderId="0" xfId="0" applyFont="1" applyFill="1" applyAlignment="1">
      <alignment horizontal="center"/>
    </xf>
    <xf numFmtId="10" fontId="55" fillId="0" borderId="0" xfId="10" applyNumberFormat="1" applyFont="1" applyBorder="1"/>
    <xf numFmtId="0" fontId="0" fillId="0" borderId="0" xfId="0"/>
    <xf numFmtId="0" fontId="0" fillId="0" borderId="0" xfId="0" applyAlignment="1">
      <alignment horizontal="center"/>
    </xf>
    <xf numFmtId="0" fontId="52" fillId="11" borderId="0" xfId="0" applyFont="1" applyFill="1" applyAlignment="1">
      <alignment horizontal="center"/>
    </xf>
    <xf numFmtId="42" fontId="0" fillId="0" borderId="0" xfId="0" applyNumberFormat="1"/>
    <xf numFmtId="42" fontId="0" fillId="0" borderId="91" xfId="0" applyNumberFormat="1" applyBorder="1"/>
    <xf numFmtId="49" fontId="52" fillId="11" borderId="0" xfId="0" applyNumberFormat="1" applyFont="1" applyFill="1" applyAlignment="1">
      <alignment horizontal="center"/>
    </xf>
    <xf numFmtId="0" fontId="70" fillId="0" borderId="0" xfId="0" applyFont="1" applyAlignment="1">
      <alignment horizontal="left"/>
    </xf>
    <xf numFmtId="42" fontId="0" fillId="6" borderId="0" xfId="0" applyNumberFormat="1" applyFill="1"/>
    <xf numFmtId="42" fontId="52" fillId="6" borderId="91" xfId="0" applyNumberFormat="1" applyFont="1" applyFill="1" applyBorder="1"/>
    <xf numFmtId="0" fontId="2" fillId="0" borderId="0" xfId="16" applyFont="1" applyBorder="1" applyAlignment="1"/>
    <xf numFmtId="0" fontId="2" fillId="0" borderId="0" xfId="16" applyFont="1" applyBorder="1" applyAlignment="1">
      <alignment horizontal="center"/>
    </xf>
    <xf numFmtId="0" fontId="2" fillId="0" borderId="0" xfId="16" applyFont="1" applyBorder="1" applyAlignment="1">
      <alignment horizontal="left"/>
    </xf>
    <xf numFmtId="0" fontId="29" fillId="0" borderId="0" xfId="16" applyFont="1" applyBorder="1" applyAlignment="1" applyProtection="1">
      <alignment horizontal="center"/>
    </xf>
    <xf numFmtId="0" fontId="2" fillId="0" borderId="0" xfId="16" applyFont="1" applyBorder="1" applyAlignment="1">
      <alignment horizontal="right"/>
    </xf>
    <xf numFmtId="3" fontId="0" fillId="0" borderId="0" xfId="0" applyNumberFormat="1"/>
    <xf numFmtId="0" fontId="52" fillId="12" borderId="0" xfId="0" applyFont="1" applyFill="1" applyAlignment="1">
      <alignment horizontal="center"/>
    </xf>
    <xf numFmtId="0" fontId="0" fillId="0" borderId="0" xfId="0"/>
    <xf numFmtId="44" fontId="0" fillId="0" borderId="0" xfId="0" applyNumberFormat="1"/>
    <xf numFmtId="0" fontId="0" fillId="0" borderId="0" xfId="0" applyAlignment="1">
      <alignment horizontal="center"/>
    </xf>
    <xf numFmtId="0" fontId="52" fillId="11" borderId="0" xfId="0" applyFont="1" applyFill="1" applyAlignment="1">
      <alignment horizontal="center"/>
    </xf>
    <xf numFmtId="42" fontId="52" fillId="11" borderId="0" xfId="0" applyNumberFormat="1" applyFont="1" applyFill="1" applyAlignment="1">
      <alignment horizontal="center"/>
    </xf>
    <xf numFmtId="42" fontId="0" fillId="0" borderId="0" xfId="0" applyNumberFormat="1"/>
    <xf numFmtId="42" fontId="0" fillId="0" borderId="91" xfId="0" applyNumberFormat="1" applyBorder="1"/>
    <xf numFmtId="49" fontId="52" fillId="11" borderId="0" xfId="0" applyNumberFormat="1" applyFont="1" applyFill="1" applyAlignment="1">
      <alignment horizontal="center"/>
    </xf>
    <xf numFmtId="0" fontId="70" fillId="0" borderId="0" xfId="0" applyFont="1" applyAlignment="1">
      <alignment horizontal="left"/>
    </xf>
    <xf numFmtId="10" fontId="52" fillId="11" borderId="0" xfId="0" applyNumberFormat="1" applyFont="1" applyFill="1" applyAlignment="1">
      <alignment horizontal="center"/>
    </xf>
    <xf numFmtId="10" fontId="0" fillId="0" borderId="0" xfId="0" applyNumberFormat="1" applyAlignment="1">
      <alignment horizontal="center"/>
    </xf>
    <xf numFmtId="42" fontId="0" fillId="6" borderId="0" xfId="0" applyNumberFormat="1" applyFill="1"/>
    <xf numFmtId="42" fontId="52" fillId="6" borderId="91" xfId="0" applyNumberFormat="1" applyFont="1" applyFill="1" applyBorder="1"/>
    <xf numFmtId="0" fontId="2" fillId="0" borderId="0" xfId="16" applyFont="1" applyBorder="1" applyAlignment="1"/>
    <xf numFmtId="0" fontId="2" fillId="0" borderId="0" xfId="16" applyFont="1" applyBorder="1" applyAlignment="1">
      <alignment horizontal="center"/>
    </xf>
    <xf numFmtId="0" fontId="2" fillId="0" borderId="0" xfId="16" applyFont="1" applyBorder="1" applyAlignment="1">
      <alignment horizontal="left"/>
    </xf>
    <xf numFmtId="0" fontId="29" fillId="0" borderId="0" xfId="16" applyFont="1" applyBorder="1" applyAlignment="1" applyProtection="1">
      <alignment horizontal="center"/>
    </xf>
    <xf numFmtId="0" fontId="2" fillId="0" borderId="0" xfId="16" applyFont="1" applyBorder="1" applyAlignment="1">
      <alignment horizontal="right"/>
    </xf>
    <xf numFmtId="0" fontId="52" fillId="12" borderId="0" xfId="0" applyNumberFormat="1" applyFont="1" applyFill="1" applyAlignment="1"/>
    <xf numFmtId="0" fontId="52" fillId="12" borderId="0" xfId="0" applyNumberFormat="1" applyFont="1" applyFill="1" applyAlignment="1">
      <alignment horizontal="center"/>
    </xf>
    <xf numFmtId="166" fontId="55" fillId="0" borderId="17" xfId="1" applyNumberFormat="1" applyFont="1" applyBorder="1"/>
    <xf numFmtId="171" fontId="61" fillId="0" borderId="0" xfId="0" applyNumberFormat="1" applyFont="1" applyBorder="1" applyAlignment="1">
      <alignment horizontal="center"/>
    </xf>
    <xf numFmtId="166" fontId="61" fillId="0" borderId="3" xfId="1" applyNumberFormat="1" applyFont="1" applyBorder="1"/>
    <xf numFmtId="166" fontId="61" fillId="0" borderId="0" xfId="1" applyNumberFormat="1" applyFont="1" applyBorder="1"/>
    <xf numFmtId="0" fontId="61" fillId="0" borderId="17" xfId="0" applyFont="1" applyBorder="1"/>
    <xf numFmtId="166" fontId="61" fillId="0" borderId="17" xfId="1" applyNumberFormat="1" applyFont="1" applyBorder="1"/>
    <xf numFmtId="0" fontId="61" fillId="0" borderId="0" xfId="0" applyFont="1" applyBorder="1"/>
    <xf numFmtId="10" fontId="61" fillId="0" borderId="0" xfId="10" applyNumberFormat="1" applyFont="1" applyBorder="1" applyAlignment="1">
      <alignment horizontal="center"/>
    </xf>
    <xf numFmtId="43" fontId="61" fillId="0" borderId="0" xfId="1" applyFont="1" applyBorder="1" applyAlignment="1"/>
    <xf numFmtId="0" fontId="61" fillId="0" borderId="0" xfId="0" applyFont="1" applyBorder="1" applyAlignment="1"/>
    <xf numFmtId="171" fontId="61" fillId="0" borderId="43" xfId="1" applyNumberFormat="1" applyFont="1" applyBorder="1" applyAlignment="1">
      <alignment horizontal="center"/>
    </xf>
    <xf numFmtId="0" fontId="55" fillId="0" borderId="43" xfId="0" applyFont="1" applyBorder="1"/>
    <xf numFmtId="10" fontId="61" fillId="0" borderId="43" xfId="10" applyNumberFormat="1" applyFont="1" applyBorder="1" applyAlignment="1">
      <alignment horizontal="center"/>
    </xf>
    <xf numFmtId="15" fontId="61" fillId="0" borderId="21" xfId="0" quotePrefix="1" applyNumberFormat="1" applyFont="1" applyBorder="1"/>
    <xf numFmtId="15" fontId="61" fillId="0" borderId="9" xfId="0" quotePrefix="1" applyNumberFormat="1" applyFont="1" applyBorder="1"/>
    <xf numFmtId="166" fontId="61" fillId="0" borderId="21" xfId="1" applyNumberFormat="1" applyFont="1" applyBorder="1"/>
    <xf numFmtId="166" fontId="61" fillId="0" borderId="43" xfId="1" applyNumberFormat="1" applyFont="1" applyBorder="1"/>
    <xf numFmtId="43" fontId="61" fillId="0" borderId="9" xfId="1" applyFont="1" applyBorder="1"/>
    <xf numFmtId="0" fontId="61" fillId="0" borderId="43" xfId="0" applyFont="1" applyBorder="1"/>
    <xf numFmtId="166" fontId="61" fillId="0" borderId="9" xfId="1" applyNumberFormat="1" applyFont="1" applyBorder="1"/>
    <xf numFmtId="0" fontId="61" fillId="0" borderId="43" xfId="1" applyNumberFormat="1" applyFont="1" applyBorder="1" applyAlignment="1">
      <alignment horizontal="center"/>
    </xf>
    <xf numFmtId="0" fontId="55" fillId="0" borderId="43" xfId="0" applyFont="1" applyBorder="1" applyAlignment="1"/>
    <xf numFmtId="0" fontId="61" fillId="0" borderId="3" xfId="0" applyFont="1" applyBorder="1"/>
    <xf numFmtId="171" fontId="61" fillId="0" borderId="0" xfId="1" applyNumberFormat="1" applyFont="1" applyBorder="1" applyAlignment="1">
      <alignment horizontal="center"/>
    </xf>
    <xf numFmtId="0" fontId="72" fillId="0" borderId="0" xfId="0" applyFont="1" applyBorder="1" applyAlignment="1">
      <alignment horizontal="center"/>
    </xf>
    <xf numFmtId="10" fontId="72" fillId="0" borderId="0" xfId="10" applyNumberFormat="1" applyFont="1" applyBorder="1" applyAlignment="1">
      <alignment horizontal="center"/>
    </xf>
    <xf numFmtId="166" fontId="55" fillId="0" borderId="17" xfId="0" applyNumberFormat="1" applyFont="1" applyBorder="1"/>
    <xf numFmtId="171" fontId="61" fillId="0" borderId="28" xfId="1" applyNumberFormat="1" applyFont="1" applyBorder="1" applyAlignment="1">
      <alignment horizontal="center"/>
    </xf>
    <xf numFmtId="0" fontId="72" fillId="0" borderId="28" xfId="0" applyFont="1" applyBorder="1" applyAlignment="1">
      <alignment horizontal="center"/>
    </xf>
    <xf numFmtId="10" fontId="72" fillId="0" borderId="28" xfId="10" applyNumberFormat="1" applyFont="1" applyBorder="1" applyAlignment="1">
      <alignment horizontal="center"/>
    </xf>
    <xf numFmtId="166" fontId="55" fillId="0" borderId="73" xfId="1" applyNumberFormat="1" applyFont="1" applyBorder="1"/>
    <xf numFmtId="166" fontId="55" fillId="0" borderId="28" xfId="1" applyNumberFormat="1" applyFont="1" applyBorder="1"/>
    <xf numFmtId="166" fontId="55" fillId="0" borderId="57" xfId="0" applyNumberFormat="1" applyFont="1" applyBorder="1"/>
    <xf numFmtId="166" fontId="55" fillId="0" borderId="57" xfId="1" applyNumberFormat="1" applyFont="1" applyBorder="1"/>
    <xf numFmtId="0" fontId="55" fillId="0" borderId="28" xfId="0" applyFont="1" applyBorder="1"/>
    <xf numFmtId="0" fontId="55" fillId="0" borderId="57" xfId="0" applyFont="1" applyBorder="1"/>
    <xf numFmtId="43" fontId="55" fillId="0" borderId="28" xfId="1" applyFont="1" applyBorder="1"/>
    <xf numFmtId="172" fontId="55" fillId="0" borderId="0" xfId="1" applyNumberFormat="1" applyFont="1" applyBorder="1"/>
    <xf numFmtId="41" fontId="55" fillId="0" borderId="0" xfId="1" applyNumberFormat="1" applyFont="1" applyFill="1" applyBorder="1"/>
    <xf numFmtId="3" fontId="55" fillId="0" borderId="0" xfId="0" applyNumberFormat="1" applyFont="1" applyBorder="1"/>
    <xf numFmtId="172" fontId="55" fillId="0" borderId="28" xfId="1" applyNumberFormat="1" applyFont="1" applyBorder="1"/>
    <xf numFmtId="41" fontId="55" fillId="0" borderId="28" xfId="1" applyNumberFormat="1" applyFont="1" applyBorder="1"/>
    <xf numFmtId="3" fontId="55" fillId="0" borderId="28" xfId="1" applyNumberFormat="1" applyFont="1" applyBorder="1"/>
    <xf numFmtId="41" fontId="55" fillId="0" borderId="0" xfId="1" applyNumberFormat="1" applyFont="1" applyBorder="1"/>
    <xf numFmtId="172" fontId="55" fillId="0" borderId="0" xfId="1" quotePrefix="1" applyNumberFormat="1" applyFont="1" applyBorder="1"/>
    <xf numFmtId="0" fontId="55" fillId="0" borderId="0" xfId="0" quotePrefix="1" applyFont="1" applyBorder="1"/>
    <xf numFmtId="14" fontId="55" fillId="0" borderId="0" xfId="0" applyNumberFormat="1" applyFont="1" applyBorder="1"/>
    <xf numFmtId="0" fontId="72" fillId="0" borderId="0" xfId="0" applyFont="1" applyBorder="1"/>
    <xf numFmtId="166" fontId="55" fillId="0" borderId="3" xfId="1" applyNumberFormat="1" applyFont="1" applyFill="1" applyBorder="1"/>
    <xf numFmtId="172" fontId="55" fillId="0" borderId="0" xfId="1" quotePrefix="1" applyNumberFormat="1" applyFont="1" applyFill="1" applyBorder="1"/>
    <xf numFmtId="14" fontId="55" fillId="0" borderId="0" xfId="0" quotePrefix="1" applyNumberFormat="1" applyFont="1" applyBorder="1"/>
    <xf numFmtId="10" fontId="72" fillId="0" borderId="0" xfId="10" applyNumberFormat="1" applyFont="1" applyBorder="1"/>
    <xf numFmtId="166" fontId="55" fillId="0" borderId="17" xfId="1" quotePrefix="1" applyNumberFormat="1" applyFont="1" applyBorder="1"/>
    <xf numFmtId="3" fontId="55" fillId="13" borderId="0" xfId="0" applyNumberFormat="1" applyFont="1" applyFill="1" applyBorder="1"/>
    <xf numFmtId="0" fontId="55" fillId="0" borderId="3" xfId="0" applyFont="1" applyBorder="1"/>
    <xf numFmtId="171" fontId="61" fillId="0" borderId="28" xfId="0" applyNumberFormat="1" applyFont="1" applyBorder="1" applyAlignment="1">
      <alignment horizontal="center"/>
    </xf>
    <xf numFmtId="171" fontId="61" fillId="14" borderId="0" xfId="0" applyNumberFormat="1" applyFont="1" applyFill="1" applyBorder="1" applyAlignment="1">
      <alignment horizontal="center"/>
    </xf>
    <xf numFmtId="0" fontId="55" fillId="14" borderId="0" xfId="0" applyFont="1" applyFill="1" applyBorder="1"/>
    <xf numFmtId="10" fontId="55" fillId="14" borderId="0" xfId="10" applyNumberFormat="1" applyFont="1" applyFill="1" applyBorder="1"/>
    <xf numFmtId="166" fontId="55" fillId="14" borderId="3" xfId="1" applyNumberFormat="1" applyFont="1" applyFill="1" applyBorder="1"/>
    <xf numFmtId="166" fontId="55" fillId="14" borderId="0" xfId="1" applyNumberFormat="1" applyFont="1" applyFill="1" applyBorder="1"/>
    <xf numFmtId="0" fontId="55" fillId="14" borderId="17" xfId="0" applyFont="1" applyFill="1" applyBorder="1"/>
    <xf numFmtId="166" fontId="55" fillId="14" borderId="17" xfId="1" applyNumberFormat="1" applyFont="1" applyFill="1" applyBorder="1"/>
    <xf numFmtId="43" fontId="55" fillId="14" borderId="0" xfId="1" applyFont="1" applyFill="1" applyBorder="1"/>
    <xf numFmtId="166" fontId="61" fillId="0" borderId="0" xfId="1" applyNumberFormat="1" applyFont="1" applyBorder="1" applyAlignment="1">
      <alignment horizontal="left"/>
    </xf>
    <xf numFmtId="0" fontId="61" fillId="0" borderId="0" xfId="0" applyFont="1" applyBorder="1" applyAlignment="1">
      <alignment horizontal="left"/>
    </xf>
    <xf numFmtId="166" fontId="61" fillId="0" borderId="43" xfId="1" applyNumberFormat="1" applyFont="1" applyBorder="1" applyAlignment="1">
      <alignment horizontal="left"/>
    </xf>
    <xf numFmtId="43" fontId="55" fillId="0" borderId="43" xfId="1" applyFont="1" applyBorder="1"/>
    <xf numFmtId="0" fontId="55" fillId="0" borderId="73" xfId="0" applyFont="1" applyBorder="1"/>
    <xf numFmtId="37" fontId="55" fillId="0" borderId="0" xfId="1" applyNumberFormat="1" applyFont="1" applyBorder="1"/>
    <xf numFmtId="166" fontId="55" fillId="0" borderId="0" xfId="0" applyNumberFormat="1" applyFont="1" applyBorder="1"/>
    <xf numFmtId="37" fontId="55" fillId="0" borderId="28" xfId="1" applyNumberFormat="1" applyFont="1" applyBorder="1"/>
    <xf numFmtId="166" fontId="55" fillId="13" borderId="0" xfId="0" applyNumberFormat="1" applyFont="1" applyFill="1" applyBorder="1"/>
    <xf numFmtId="166" fontId="55" fillId="0" borderId="0" xfId="1" applyNumberFormat="1" applyFont="1" applyFill="1" applyBorder="1"/>
    <xf numFmtId="166" fontId="55" fillId="0" borderId="0" xfId="1" quotePrefix="1" applyNumberFormat="1" applyFont="1" applyBorder="1"/>
    <xf numFmtId="166" fontId="55" fillId="0" borderId="3" xfId="1" quotePrefix="1" applyNumberFormat="1" applyFont="1" applyBorder="1"/>
    <xf numFmtId="166" fontId="55" fillId="0" borderId="0" xfId="1" quotePrefix="1" applyNumberFormat="1" applyFont="1" applyFill="1" applyBorder="1"/>
    <xf numFmtId="166" fontId="55" fillId="0" borderId="28" xfId="0" applyNumberFormat="1" applyFont="1" applyBorder="1"/>
    <xf numFmtId="166" fontId="55" fillId="0" borderId="73" xfId="0" applyNumberFormat="1" applyFont="1" applyBorder="1"/>
    <xf numFmtId="0" fontId="0" fillId="0" borderId="0" xfId="0"/>
    <xf numFmtId="0" fontId="26" fillId="0" borderId="0" xfId="0" applyFont="1" applyBorder="1" applyAlignment="1" applyProtection="1">
      <alignment horizontal="center"/>
    </xf>
    <xf numFmtId="0" fontId="53" fillId="0" borderId="92" xfId="0" applyFont="1" applyBorder="1" applyAlignment="1" applyProtection="1"/>
    <xf numFmtId="0" fontId="53" fillId="0" borderId="93" xfId="0" applyFont="1" applyBorder="1" applyAlignment="1" applyProtection="1"/>
    <xf numFmtId="0" fontId="53" fillId="0" borderId="94" xfId="0" applyFont="1" applyBorder="1" applyAlignment="1" applyProtection="1"/>
    <xf numFmtId="0" fontId="0" fillId="0" borderId="18" xfId="0" applyBorder="1" applyAlignment="1">
      <alignment horizontal="center"/>
    </xf>
    <xf numFmtId="0" fontId="0" fillId="0" borderId="22" xfId="0" applyBorder="1" applyAlignment="1">
      <alignment horizontal="center"/>
    </xf>
    <xf numFmtId="44" fontId="53" fillId="0" borderId="87" xfId="0" applyNumberFormat="1" applyFont="1" applyBorder="1" applyAlignment="1" applyProtection="1">
      <alignment vertical="center"/>
    </xf>
    <xf numFmtId="44" fontId="0" fillId="0" borderId="27" xfId="0" applyNumberFormat="1" applyBorder="1" applyAlignment="1">
      <alignment vertical="center"/>
    </xf>
    <xf numFmtId="44" fontId="53" fillId="0" borderId="88" xfId="0" applyNumberFormat="1" applyFont="1" applyBorder="1" applyAlignment="1" applyProtection="1">
      <alignment vertical="center"/>
    </xf>
    <xf numFmtId="44" fontId="0" fillId="0" borderId="26" xfId="0" applyNumberFormat="1" applyBorder="1" applyAlignment="1">
      <alignment vertical="center"/>
    </xf>
    <xf numFmtId="10" fontId="53" fillId="0" borderId="88" xfId="0" applyNumberFormat="1" applyFont="1" applyBorder="1" applyAlignment="1" applyProtection="1">
      <alignment horizontal="right" vertical="center"/>
    </xf>
    <xf numFmtId="44" fontId="53" fillId="0" borderId="72" xfId="0" applyNumberFormat="1" applyFont="1" applyBorder="1" applyAlignment="1" applyProtection="1">
      <alignment vertical="center"/>
    </xf>
    <xf numFmtId="44" fontId="0" fillId="0" borderId="34" xfId="0" applyNumberFormat="1" applyBorder="1" applyAlignment="1">
      <alignment vertical="center"/>
    </xf>
    <xf numFmtId="0" fontId="0" fillId="0" borderId="38" xfId="0" applyBorder="1"/>
    <xf numFmtId="10" fontId="53" fillId="0" borderId="57" xfId="0" applyNumberFormat="1" applyFont="1" applyBorder="1" applyAlignment="1" applyProtection="1">
      <alignment horizontal="right" vertical="center"/>
    </xf>
    <xf numFmtId="0" fontId="73" fillId="0" borderId="84" xfId="0" applyFont="1" applyFill="1" applyBorder="1" applyAlignment="1" applyProtection="1">
      <alignment horizontal="right" vertical="center"/>
    </xf>
    <xf numFmtId="44" fontId="53" fillId="6" borderId="87" xfId="0" applyNumberFormat="1" applyFont="1" applyFill="1" applyBorder="1" applyAlignment="1" applyProtection="1">
      <alignment vertical="center"/>
    </xf>
    <xf numFmtId="44" fontId="0" fillId="6" borderId="27" xfId="0" applyNumberFormat="1" applyFill="1" applyBorder="1" applyAlignment="1">
      <alignment vertical="center"/>
    </xf>
    <xf numFmtId="44" fontId="54" fillId="0" borderId="14" xfId="3" applyNumberFormat="1" applyFont="1" applyFill="1" applyBorder="1" applyAlignment="1" applyProtection="1">
      <alignment horizontal="center"/>
      <protection locked="0"/>
    </xf>
    <xf numFmtId="44" fontId="54" fillId="0" borderId="23" xfId="3" applyNumberFormat="1" applyFont="1" applyFill="1" applyBorder="1" applyAlignment="1" applyProtection="1">
      <protection locked="0"/>
    </xf>
    <xf numFmtId="44" fontId="56" fillId="0" borderId="24" xfId="3" applyNumberFormat="1" applyFont="1" applyBorder="1" applyAlignment="1" applyProtection="1">
      <protection locked="0"/>
    </xf>
    <xf numFmtId="44" fontId="56" fillId="0" borderId="25" xfId="3" applyNumberFormat="1" applyFont="1" applyBorder="1" applyAlignment="1" applyProtection="1">
      <protection locked="0"/>
    </xf>
    <xf numFmtId="0" fontId="2" fillId="0" borderId="0" xfId="0" applyFont="1" applyBorder="1" applyAlignment="1" applyProtection="1"/>
    <xf numFmtId="0" fontId="2" fillId="0" borderId="3" xfId="0" applyFont="1" applyBorder="1" applyAlignment="1" applyProtection="1"/>
    <xf numFmtId="0" fontId="2" fillId="0" borderId="15" xfId="0" applyFont="1" applyBorder="1" applyAlignment="1" applyProtection="1"/>
    <xf numFmtId="14" fontId="2" fillId="0" borderId="4" xfId="0" applyNumberFormat="1" applyFont="1" applyBorder="1" applyAlignment="1" applyProtection="1">
      <protection locked="0"/>
    </xf>
    <xf numFmtId="0" fontId="0" fillId="16" borderId="85" xfId="0" applyFill="1" applyBorder="1" applyAlignment="1">
      <alignment horizontal="center" wrapText="1"/>
    </xf>
    <xf numFmtId="0" fontId="0" fillId="16" borderId="19" xfId="0" applyFill="1" applyBorder="1" applyAlignment="1">
      <alignment horizontal="center" wrapText="1"/>
    </xf>
    <xf numFmtId="0" fontId="0" fillId="16" borderId="27" xfId="0" applyFill="1" applyBorder="1" applyAlignment="1">
      <alignment horizontal="center" wrapText="1"/>
    </xf>
    <xf numFmtId="44" fontId="0" fillId="0" borderId="61" xfId="0" applyNumberFormat="1" applyBorder="1"/>
    <xf numFmtId="10" fontId="0" fillId="0" borderId="0" xfId="0" applyNumberFormat="1"/>
    <xf numFmtId="44" fontId="0" fillId="0" borderId="17" xfId="0" applyNumberFormat="1" applyBorder="1"/>
    <xf numFmtId="10" fontId="60" fillId="0" borderId="0" xfId="0" applyNumberFormat="1" applyFont="1"/>
    <xf numFmtId="10" fontId="75" fillId="0" borderId="0" xfId="0" applyNumberFormat="1" applyFont="1"/>
    <xf numFmtId="44" fontId="0" fillId="0" borderId="0" xfId="0" applyNumberFormat="1" applyFill="1"/>
    <xf numFmtId="10" fontId="76" fillId="0" borderId="0" xfId="0" applyNumberFormat="1" applyFont="1"/>
    <xf numFmtId="0" fontId="2" fillId="0" borderId="16" xfId="0" applyFont="1" applyBorder="1" applyAlignment="1" applyProtection="1">
      <alignment horizontal="center" vertical="center" wrapText="1"/>
    </xf>
    <xf numFmtId="0" fontId="2" fillId="0" borderId="23"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22" xfId="0" applyFont="1" applyBorder="1" applyAlignment="1" applyProtection="1">
      <alignment horizontal="center" vertical="center"/>
    </xf>
    <xf numFmtId="44" fontId="0" fillId="0" borderId="5" xfId="0" applyNumberFormat="1" applyBorder="1"/>
    <xf numFmtId="0" fontId="2" fillId="0" borderId="13" xfId="0" applyFont="1" applyBorder="1" applyAlignment="1" applyProtection="1">
      <alignment horizontal="center" vertical="center"/>
    </xf>
    <xf numFmtId="0" fontId="2" fillId="0" borderId="30" xfId="0" applyFont="1" applyBorder="1" applyAlignment="1" applyProtection="1">
      <alignment horizontal="center" vertical="center"/>
    </xf>
    <xf numFmtId="0" fontId="0" fillId="0" borderId="21" xfId="0" applyBorder="1"/>
    <xf numFmtId="0" fontId="0" fillId="0" borderId="43" xfId="0" applyBorder="1"/>
    <xf numFmtId="0" fontId="0" fillId="0" borderId="9" xfId="0" applyBorder="1"/>
    <xf numFmtId="0" fontId="27" fillId="0" borderId="7" xfId="0" applyFont="1" applyFill="1" applyBorder="1" applyAlignment="1" applyProtection="1">
      <alignment horizontal="center" vertical="center" wrapText="1"/>
    </xf>
    <xf numFmtId="0" fontId="27" fillId="0" borderId="26" xfId="0" applyFont="1" applyFill="1" applyBorder="1" applyAlignment="1" applyProtection="1">
      <alignment horizontal="center" vertical="center" wrapText="1"/>
    </xf>
    <xf numFmtId="0" fontId="2" fillId="0" borderId="15" xfId="0" applyFont="1" applyBorder="1" applyAlignment="1" applyProtection="1">
      <alignment horizontal="center" vertical="center"/>
    </xf>
    <xf numFmtId="0" fontId="29" fillId="0" borderId="22" xfId="0" applyFont="1" applyBorder="1" applyAlignment="1" applyProtection="1">
      <alignment horizontal="center" vertical="center"/>
    </xf>
    <xf numFmtId="0" fontId="2" fillId="0" borderId="15" xfId="0" applyFont="1" applyBorder="1" applyAlignment="1" applyProtection="1">
      <alignment vertical="center"/>
    </xf>
    <xf numFmtId="0" fontId="2" fillId="0" borderId="22" xfId="0" applyFont="1" applyBorder="1" applyAlignment="1" applyProtection="1">
      <alignment vertical="center"/>
    </xf>
    <xf numFmtId="44" fontId="0" fillId="0" borderId="46" xfId="0" applyNumberFormat="1" applyBorder="1"/>
    <xf numFmtId="0" fontId="2" fillId="0" borderId="10" xfId="0" applyFont="1" applyBorder="1" applyAlignment="1" applyProtection="1">
      <alignment vertical="center"/>
    </xf>
    <xf numFmtId="0" fontId="52" fillId="0" borderId="0" xfId="0" applyFont="1" applyAlignment="1">
      <alignment horizontal="center" wrapText="1"/>
    </xf>
    <xf numFmtId="0" fontId="7" fillId="0" borderId="0" xfId="0" applyFont="1" applyBorder="1" applyAlignment="1" applyProtection="1">
      <alignment horizontal="center"/>
    </xf>
    <xf numFmtId="0" fontId="7" fillId="0" borderId="0" xfId="0" applyFont="1" applyBorder="1" applyAlignment="1" applyProtection="1">
      <alignment horizontal="center"/>
      <protection locked="0"/>
    </xf>
    <xf numFmtId="0" fontId="4" fillId="5" borderId="0" xfId="6" applyFont="1" applyFill="1" applyBorder="1" applyAlignment="1" applyProtection="1">
      <alignment horizontal="center" vertical="top" wrapText="1"/>
    </xf>
    <xf numFmtId="0" fontId="6" fillId="0" borderId="0" xfId="0" applyFont="1" applyFill="1" applyBorder="1" applyAlignment="1" applyProtection="1">
      <alignment horizontal="center"/>
    </xf>
    <xf numFmtId="0" fontId="6" fillId="0" borderId="0" xfId="0" applyFont="1" applyBorder="1" applyAlignment="1" applyProtection="1">
      <alignment horizontal="center"/>
    </xf>
    <xf numFmtId="0" fontId="9" fillId="5" borderId="20" xfId="0" applyFont="1" applyFill="1" applyBorder="1" applyAlignment="1" applyProtection="1">
      <alignment horizontal="center" vertical="top" wrapText="1"/>
      <protection locked="0"/>
    </xf>
    <xf numFmtId="0" fontId="9" fillId="5" borderId="6" xfId="0" applyFont="1" applyFill="1" applyBorder="1" applyAlignment="1" applyProtection="1">
      <alignment horizontal="center" vertical="top" wrapText="1"/>
      <protection locked="0"/>
    </xf>
    <xf numFmtId="0" fontId="15" fillId="0" borderId="5" xfId="0" applyFont="1" applyBorder="1" applyAlignment="1" applyProtection="1">
      <alignment horizontal="center"/>
    </xf>
    <xf numFmtId="0" fontId="4" fillId="5" borderId="0" xfId="6" applyFont="1" applyFill="1" applyBorder="1" applyAlignment="1">
      <alignment horizontal="right"/>
    </xf>
    <xf numFmtId="0" fontId="4" fillId="0" borderId="0" xfId="0" applyFont="1" applyBorder="1" applyAlignment="1">
      <alignment horizontal="left" vertical="top" wrapText="1"/>
    </xf>
    <xf numFmtId="0" fontId="5" fillId="5" borderId="0" xfId="0" applyFont="1" applyFill="1" applyBorder="1" applyAlignment="1">
      <alignment horizontal="center"/>
    </xf>
    <xf numFmtId="0" fontId="9" fillId="5" borderId="0" xfId="0" applyFont="1" applyFill="1" applyBorder="1" applyAlignment="1">
      <alignment horizontal="left" vertical="top" wrapText="1" indent="1"/>
    </xf>
    <xf numFmtId="0" fontId="7" fillId="0" borderId="0" xfId="8" applyFont="1" applyBorder="1" applyAlignment="1">
      <alignment horizontal="left" vertical="top"/>
    </xf>
    <xf numFmtId="0" fontId="5" fillId="0" borderId="0" xfId="8" applyFont="1" applyBorder="1" applyAlignment="1">
      <alignment horizontal="left" vertical="top" wrapText="1" indent="2"/>
    </xf>
    <xf numFmtId="0" fontId="5" fillId="0" borderId="0" xfId="8" applyFont="1" applyBorder="1" applyAlignment="1">
      <alignment horizontal="justify" wrapText="1"/>
    </xf>
    <xf numFmtId="0" fontId="5" fillId="0" borderId="0" xfId="8" applyFont="1" applyBorder="1" applyAlignment="1">
      <alignment horizontal="left" wrapText="1" indent="2"/>
    </xf>
    <xf numFmtId="0" fontId="5" fillId="0" borderId="0" xfId="8" applyFont="1" applyBorder="1" applyAlignment="1">
      <alignment horizontal="left" wrapText="1"/>
    </xf>
    <xf numFmtId="0" fontId="2" fillId="0" borderId="0" xfId="8" quotePrefix="1" applyFont="1" applyBorder="1" applyAlignment="1">
      <alignment horizontal="center" wrapText="1"/>
    </xf>
    <xf numFmtId="0" fontId="4" fillId="0" borderId="0" xfId="8" applyFont="1" applyBorder="1" applyAlignment="1">
      <alignment horizontal="center" wrapText="1"/>
    </xf>
    <xf numFmtId="0" fontId="5" fillId="0" borderId="0" xfId="8" applyFont="1" applyBorder="1" applyAlignment="1">
      <alignment horizontal="left" vertical="top" wrapText="1"/>
    </xf>
    <xf numFmtId="0" fontId="12" fillId="0" borderId="0" xfId="8" applyFont="1" applyBorder="1" applyAlignment="1">
      <alignment horizontal="left" vertical="top"/>
    </xf>
    <xf numFmtId="0" fontId="8" fillId="0" borderId="0" xfId="8" applyFont="1" applyBorder="1" applyAlignment="1">
      <alignment horizontal="center" wrapText="1"/>
    </xf>
    <xf numFmtId="0" fontId="5" fillId="0" borderId="0" xfId="8" applyFont="1" applyBorder="1" applyAlignment="1">
      <alignment horizontal="justify" vertical="top" wrapText="1"/>
    </xf>
    <xf numFmtId="0" fontId="12" fillId="0" borderId="0" xfId="8" applyFont="1" applyBorder="1" applyAlignment="1">
      <alignment horizontal="left"/>
    </xf>
    <xf numFmtId="0" fontId="4" fillId="0" borderId="0" xfId="8" applyFont="1" applyBorder="1" applyAlignment="1">
      <alignment horizontal="left" vertical="top" wrapText="1" indent="2"/>
    </xf>
    <xf numFmtId="0" fontId="6" fillId="0" borderId="0" xfId="8" applyFont="1" applyBorder="1" applyAlignment="1">
      <alignment horizontal="center" vertical="top" wrapText="1"/>
    </xf>
    <xf numFmtId="0" fontId="5" fillId="0" borderId="0" xfId="8" applyFont="1" applyBorder="1" applyAlignment="1">
      <alignment horizontal="justify"/>
    </xf>
    <xf numFmtId="0" fontId="5" fillId="0" borderId="0" xfId="8" applyFont="1" applyBorder="1" applyAlignment="1">
      <alignment horizontal="left"/>
    </xf>
    <xf numFmtId="0" fontId="4" fillId="0" borderId="0" xfId="8" applyFont="1" applyBorder="1" applyAlignment="1">
      <alignment horizontal="left" vertical="top" wrapText="1"/>
    </xf>
    <xf numFmtId="0" fontId="4" fillId="0" borderId="0" xfId="8" applyFont="1" applyBorder="1" applyAlignment="1">
      <alignment horizontal="left" wrapText="1"/>
    </xf>
    <xf numFmtId="0" fontId="12" fillId="0" borderId="0" xfId="0" applyFont="1" applyBorder="1" applyAlignment="1">
      <alignment horizontal="left"/>
    </xf>
    <xf numFmtId="0" fontId="15" fillId="0" borderId="0" xfId="0" applyFont="1" applyFill="1" applyBorder="1" applyAlignment="1">
      <alignment horizontal="left" wrapText="1"/>
    </xf>
    <xf numFmtId="0" fontId="2" fillId="0" borderId="0" xfId="8" quotePrefix="1" applyFont="1" applyFill="1" applyBorder="1" applyAlignment="1">
      <alignment horizontal="center" wrapText="1"/>
    </xf>
    <xf numFmtId="0" fontId="4" fillId="0" borderId="0" xfId="0" applyFont="1" applyBorder="1" applyAlignment="1">
      <alignment horizontal="left"/>
    </xf>
    <xf numFmtId="0" fontId="5" fillId="0" borderId="0" xfId="8" applyFont="1" applyFill="1" applyBorder="1" applyAlignment="1">
      <alignment horizontal="justify" wrapText="1"/>
    </xf>
    <xf numFmtId="0" fontId="15" fillId="0" borderId="0" xfId="8" applyFont="1" applyFill="1" applyBorder="1" applyAlignment="1">
      <alignment horizontal="left" wrapText="1"/>
    </xf>
    <xf numFmtId="0" fontId="9" fillId="0" borderId="0" xfId="8" applyFont="1" applyBorder="1" applyAlignment="1">
      <alignment horizontal="center" vertical="top"/>
    </xf>
    <xf numFmtId="0" fontId="5" fillId="0" borderId="0" xfId="0" applyFont="1" applyBorder="1" applyAlignment="1">
      <alignment horizontal="left" wrapText="1" indent="3"/>
    </xf>
    <xf numFmtId="0" fontId="14" fillId="9" borderId="0" xfId="0" applyFont="1" applyFill="1" applyBorder="1" applyAlignment="1">
      <alignment horizontal="left" wrapText="1"/>
    </xf>
    <xf numFmtId="0" fontId="2" fillId="0" borderId="0" xfId="0" applyFont="1" applyBorder="1" applyAlignment="1">
      <alignment horizontal="left" wrapText="1"/>
    </xf>
    <xf numFmtId="0" fontId="68" fillId="0" borderId="0" xfId="0" applyFont="1" applyAlignment="1">
      <alignment horizontal="center"/>
    </xf>
    <xf numFmtId="0" fontId="0" fillId="0" borderId="0" xfId="0" applyAlignment="1">
      <alignment horizontal="center"/>
    </xf>
    <xf numFmtId="42" fontId="68" fillId="0" borderId="0" xfId="0" applyNumberFormat="1" applyFont="1" applyAlignment="1">
      <alignment horizontal="center"/>
    </xf>
    <xf numFmtId="10" fontId="68" fillId="0" borderId="0" xfId="0" applyNumberFormat="1" applyFont="1" applyAlignment="1">
      <alignment horizontal="center"/>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xf>
    <xf numFmtId="0" fontId="14" fillId="0" borderId="0" xfId="0" applyFont="1" applyBorder="1" applyAlignment="1" applyProtection="1">
      <alignment horizontal="left" vertical="top" wrapText="1"/>
    </xf>
    <xf numFmtId="164" fontId="2" fillId="0" borderId="4" xfId="0" applyNumberFormat="1" applyFont="1" applyBorder="1" applyAlignment="1" applyProtection="1">
      <alignment horizontal="center"/>
      <protection locked="0"/>
    </xf>
    <xf numFmtId="0" fontId="2" fillId="0" borderId="5" xfId="0" applyFont="1" applyBorder="1" applyAlignment="1" applyProtection="1">
      <alignment horizontal="center" vertical="top"/>
    </xf>
    <xf numFmtId="0" fontId="2" fillId="0" borderId="0" xfId="0" applyFont="1" applyBorder="1" applyAlignment="1">
      <alignment horizontal="right"/>
    </xf>
    <xf numFmtId="0" fontId="5" fillId="0" borderId="4" xfId="0" applyFont="1" applyFill="1" applyBorder="1" applyAlignment="1" applyProtection="1">
      <alignment horizontal="center"/>
    </xf>
    <xf numFmtId="0" fontId="2" fillId="0" borderId="4" xfId="0" applyFont="1" applyFill="1" applyBorder="1" applyAlignment="1" applyProtection="1">
      <alignment horizontal="center"/>
      <protection locked="0"/>
    </xf>
    <xf numFmtId="0" fontId="2" fillId="0" borderId="5" xfId="0" applyFont="1" applyBorder="1" applyAlignment="1" applyProtection="1">
      <alignment horizontal="center" vertical="top" wrapText="1"/>
    </xf>
    <xf numFmtId="0" fontId="14" fillId="0" borderId="0" xfId="0" applyFont="1" applyBorder="1" applyAlignment="1" applyProtection="1">
      <alignment horizontal="left" wrapText="1"/>
    </xf>
    <xf numFmtId="0" fontId="7" fillId="5" borderId="20" xfId="0" applyFont="1" applyFill="1" applyBorder="1" applyAlignment="1" applyProtection="1">
      <alignment horizontal="center" vertical="top" wrapText="1"/>
      <protection locked="0"/>
    </xf>
    <xf numFmtId="0" fontId="7" fillId="5" borderId="28" xfId="0" applyFont="1" applyFill="1" applyBorder="1" applyAlignment="1" applyProtection="1">
      <alignment horizontal="center" vertical="top" wrapText="1"/>
      <protection locked="0"/>
    </xf>
    <xf numFmtId="0" fontId="7" fillId="5" borderId="6" xfId="0" applyFont="1" applyFill="1" applyBorder="1" applyAlignment="1" applyProtection="1">
      <alignment horizontal="center" vertical="top" wrapText="1"/>
      <protection locked="0"/>
    </xf>
    <xf numFmtId="0" fontId="2" fillId="9" borderId="71" xfId="0" applyFont="1" applyFill="1" applyBorder="1" applyAlignment="1" applyProtection="1">
      <alignment horizontal="center" wrapText="1"/>
    </xf>
    <xf numFmtId="0" fontId="2" fillId="9" borderId="79" xfId="0" applyFont="1" applyFill="1" applyBorder="1" applyAlignment="1" applyProtection="1">
      <alignment horizontal="center" wrapText="1"/>
    </xf>
    <xf numFmtId="0" fontId="2" fillId="9" borderId="80" xfId="0" applyFont="1" applyFill="1" applyBorder="1" applyAlignment="1" applyProtection="1">
      <alignment horizontal="center" wrapText="1"/>
    </xf>
    <xf numFmtId="0" fontId="14" fillId="5" borderId="43" xfId="0" applyFont="1" applyFill="1" applyBorder="1" applyAlignment="1" applyProtection="1">
      <alignment horizontal="center"/>
    </xf>
    <xf numFmtId="0" fontId="2" fillId="0" borderId="39"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81"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2" fillId="0" borderId="0" xfId="0" applyFont="1" applyBorder="1" applyAlignment="1" applyProtection="1">
      <alignment horizontal="left" wrapText="1"/>
    </xf>
    <xf numFmtId="0" fontId="2" fillId="0" borderId="4" xfId="0" applyFont="1" applyFill="1" applyBorder="1" applyAlignment="1" applyProtection="1">
      <alignment horizontal="center"/>
    </xf>
    <xf numFmtId="0" fontId="2" fillId="0" borderId="21" xfId="0" applyFont="1" applyBorder="1" applyAlignment="1" applyProtection="1">
      <alignment horizontal="left"/>
      <protection locked="0"/>
    </xf>
    <xf numFmtId="0" fontId="2" fillId="0" borderId="43"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0" xfId="0" applyFont="1" applyBorder="1" applyAlignment="1" applyProtection="1"/>
    <xf numFmtId="0" fontId="23" fillId="0" borderId="0" xfId="0" applyFont="1" applyBorder="1" applyAlignment="1" applyProtection="1">
      <alignment horizontal="center"/>
    </xf>
    <xf numFmtId="0" fontId="2" fillId="0" borderId="0" xfId="0" applyFont="1" applyBorder="1" applyAlignment="1" applyProtection="1">
      <alignment wrapText="1"/>
    </xf>
    <xf numFmtId="0" fontId="2" fillId="0" borderId="3" xfId="0" applyFont="1" applyBorder="1" applyAlignment="1" applyProtection="1">
      <alignment horizontal="left"/>
      <protection locked="0"/>
    </xf>
    <xf numFmtId="0" fontId="2" fillId="0" borderId="0" xfId="0" applyFont="1" applyBorder="1" applyAlignment="1" applyProtection="1">
      <alignment horizontal="left"/>
      <protection locked="0"/>
    </xf>
    <xf numFmtId="166" fontId="2" fillId="0" borderId="14" xfId="1" applyNumberFormat="1" applyFont="1" applyBorder="1" applyAlignment="1" applyProtection="1">
      <alignment horizontal="center" vertical="center"/>
      <protection locked="0"/>
    </xf>
    <xf numFmtId="166" fontId="2" fillId="0" borderId="11" xfId="1" applyNumberFormat="1" applyFont="1" applyBorder="1" applyAlignment="1" applyProtection="1">
      <alignment horizontal="center" vertical="center"/>
      <protection locked="0"/>
    </xf>
    <xf numFmtId="0" fontId="2" fillId="9" borderId="40" xfId="0" applyFont="1" applyFill="1" applyBorder="1" applyAlignment="1" applyProtection="1">
      <alignment horizontal="center" wrapText="1"/>
    </xf>
    <xf numFmtId="0" fontId="2" fillId="9" borderId="80" xfId="0" applyFont="1" applyFill="1" applyBorder="1" applyAlignment="1" applyProtection="1">
      <alignment horizontal="center"/>
    </xf>
    <xf numFmtId="166" fontId="2" fillId="0" borderId="29" xfId="1" applyNumberFormat="1" applyFont="1" applyBorder="1" applyAlignment="1" applyProtection="1">
      <alignment horizontal="center" vertical="center"/>
      <protection locked="0"/>
    </xf>
    <xf numFmtId="166" fontId="2" fillId="0" borderId="10" xfId="1" applyNumberFormat="1" applyFont="1" applyBorder="1" applyAlignment="1" applyProtection="1">
      <alignment horizontal="center" vertical="center"/>
      <protection locked="0"/>
    </xf>
    <xf numFmtId="0" fontId="2" fillId="0" borderId="38" xfId="0" applyFont="1" applyBorder="1" applyAlignment="1" applyProtection="1"/>
    <xf numFmtId="0" fontId="55" fillId="0" borderId="4" xfId="0" applyFont="1" applyBorder="1" applyAlignment="1" applyProtection="1">
      <protection locked="0"/>
    </xf>
    <xf numFmtId="8" fontId="55" fillId="0" borderId="4" xfId="0" applyNumberFormat="1" applyFont="1" applyBorder="1" applyAlignment="1" applyProtection="1">
      <protection locked="0"/>
    </xf>
    <xf numFmtId="0" fontId="2" fillId="0" borderId="0" xfId="0" applyFont="1" applyBorder="1" applyAlignment="1" applyProtection="1">
      <alignment horizontal="right"/>
    </xf>
    <xf numFmtId="0" fontId="2" fillId="0" borderId="0" xfId="0" applyFont="1" applyBorder="1" applyAlignment="1" applyProtection="1">
      <alignment horizontal="left"/>
    </xf>
    <xf numFmtId="0" fontId="53" fillId="0" borderId="0" xfId="0" applyFont="1" applyBorder="1" applyAlignment="1" applyProtection="1">
      <alignment horizontal="left"/>
    </xf>
    <xf numFmtId="0" fontId="2" fillId="0" borderId="0" xfId="0" applyFont="1" applyFill="1" applyBorder="1" applyAlignment="1" applyProtection="1">
      <alignment horizontal="center"/>
    </xf>
    <xf numFmtId="0" fontId="53" fillId="0" borderId="0" xfId="0" applyFont="1" applyBorder="1" applyAlignment="1" applyProtection="1">
      <alignment horizontal="center"/>
    </xf>
    <xf numFmtId="0" fontId="53" fillId="0" borderId="4" xfId="0" applyFont="1" applyBorder="1" applyAlignment="1" applyProtection="1">
      <alignment horizontal="center"/>
    </xf>
    <xf numFmtId="0" fontId="55" fillId="0" borderId="0" xfId="0" applyFont="1" applyBorder="1" applyAlignment="1" applyProtection="1">
      <alignment horizontal="left" wrapText="1"/>
    </xf>
    <xf numFmtId="0" fontId="9" fillId="5" borderId="28" xfId="0" applyFont="1" applyFill="1" applyBorder="1" applyAlignment="1" applyProtection="1">
      <alignment horizontal="center" vertical="top" wrapText="1"/>
      <protection locked="0"/>
    </xf>
    <xf numFmtId="0" fontId="14" fillId="0" borderId="21" xfId="0" applyFont="1" applyBorder="1" applyAlignment="1" applyProtection="1">
      <alignment horizontal="left" indent="2"/>
    </xf>
    <xf numFmtId="0" fontId="14" fillId="0" borderId="43" xfId="0" applyFont="1" applyBorder="1" applyAlignment="1" applyProtection="1">
      <alignment horizontal="left" indent="2"/>
    </xf>
    <xf numFmtId="0" fontId="23" fillId="0" borderId="0" xfId="0" applyFont="1" applyBorder="1" applyAlignment="1" applyProtection="1">
      <alignment horizontal="center" wrapText="1"/>
    </xf>
    <xf numFmtId="0" fontId="14" fillId="0" borderId="0" xfId="0" applyFont="1" applyBorder="1" applyAlignment="1" applyProtection="1"/>
    <xf numFmtId="0" fontId="2" fillId="0" borderId="0" xfId="0" applyFont="1" applyFill="1" applyBorder="1" applyAlignment="1" applyProtection="1">
      <alignment horizontal="left"/>
    </xf>
    <xf numFmtId="0" fontId="2" fillId="0" borderId="15" xfId="0" applyFont="1" applyFill="1" applyBorder="1" applyAlignment="1" applyProtection="1">
      <alignment horizontal="left"/>
    </xf>
    <xf numFmtId="0" fontId="2" fillId="0" borderId="15" xfId="0" applyFont="1" applyBorder="1" applyAlignment="1" applyProtection="1">
      <alignment horizontal="left"/>
    </xf>
    <xf numFmtId="0" fontId="2" fillId="0" borderId="38" xfId="0" applyFont="1" applyBorder="1" applyAlignment="1" applyProtection="1">
      <alignment horizontal="left" vertical="top" wrapText="1"/>
    </xf>
    <xf numFmtId="0" fontId="2" fillId="0" borderId="3"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15" xfId="0" applyFont="1" applyBorder="1" applyAlignment="1" applyProtection="1">
      <alignment horizontal="left" vertical="top" wrapText="1"/>
    </xf>
    <xf numFmtId="0" fontId="2" fillId="0" borderId="4" xfId="0" applyFont="1" applyBorder="1" applyAlignment="1" applyProtection="1">
      <alignment horizontal="center"/>
    </xf>
    <xf numFmtId="0" fontId="2" fillId="0" borderId="20"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20" xfId="0" applyFont="1" applyBorder="1" applyAlignment="1" applyProtection="1">
      <alignment horizontal="center" vertical="top" wrapText="1"/>
    </xf>
    <xf numFmtId="0" fontId="2" fillId="0" borderId="28" xfId="0" applyFont="1" applyBorder="1" applyAlignment="1" applyProtection="1">
      <alignment horizontal="center" vertical="top" wrapText="1"/>
    </xf>
    <xf numFmtId="0" fontId="2" fillId="0" borderId="6" xfId="0" applyFont="1" applyBorder="1" applyAlignment="1" applyProtection="1">
      <alignment horizontal="center" vertical="top" wrapText="1"/>
    </xf>
    <xf numFmtId="0" fontId="4" fillId="5" borderId="20" xfId="0" applyFont="1" applyFill="1" applyBorder="1" applyAlignment="1" applyProtection="1">
      <alignment horizontal="center" vertical="top" wrapText="1"/>
      <protection locked="0"/>
    </xf>
    <xf numFmtId="0" fontId="4" fillId="5" borderId="6" xfId="0" applyFont="1" applyFill="1" applyBorder="1" applyAlignment="1" applyProtection="1">
      <alignment horizontal="center" vertical="top" wrapText="1"/>
      <protection locked="0"/>
    </xf>
    <xf numFmtId="0" fontId="2" fillId="9" borderId="79" xfId="0" applyFont="1" applyFill="1" applyBorder="1" applyAlignment="1" applyProtection="1">
      <alignment horizontal="center"/>
    </xf>
    <xf numFmtId="0" fontId="2" fillId="0" borderId="20" xfId="0" applyFont="1" applyBorder="1" applyAlignment="1" applyProtection="1">
      <alignment horizontal="left" wrapText="1"/>
      <protection locked="0"/>
    </xf>
    <xf numFmtId="0" fontId="2" fillId="0" borderId="28"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horizontal="center" vertical="top" wrapText="1"/>
      <protection locked="0"/>
    </xf>
    <xf numFmtId="0" fontId="2" fillId="0" borderId="0" xfId="0" applyFont="1" applyFill="1" applyBorder="1" applyAlignment="1" applyProtection="1">
      <alignment horizontal="left" vertical="top" wrapText="1"/>
      <protection locked="0"/>
    </xf>
    <xf numFmtId="9" fontId="2" fillId="0" borderId="38" xfId="10" applyFont="1" applyBorder="1" applyAlignment="1" applyProtection="1">
      <protection locked="0"/>
    </xf>
    <xf numFmtId="0" fontId="9" fillId="5" borderId="71" xfId="0" applyFont="1" applyFill="1" applyBorder="1" applyAlignment="1" applyProtection="1">
      <alignment horizontal="center" vertical="top" wrapText="1"/>
      <protection locked="0"/>
    </xf>
    <xf numFmtId="0" fontId="9" fillId="5" borderId="82" xfId="0" applyFont="1" applyFill="1" applyBorder="1" applyAlignment="1" applyProtection="1">
      <alignment horizontal="center" vertical="top" wrapText="1"/>
      <protection locked="0"/>
    </xf>
    <xf numFmtId="0" fontId="32" fillId="0" borderId="0" xfId="0" applyFont="1" applyBorder="1" applyAlignment="1" applyProtection="1">
      <alignment horizontal="center"/>
      <protection locked="0"/>
    </xf>
    <xf numFmtId="0" fontId="2" fillId="0" borderId="43" xfId="0" applyFont="1" applyBorder="1" applyAlignment="1" applyProtection="1"/>
    <xf numFmtId="0" fontId="2" fillId="9" borderId="38" xfId="0" applyFont="1" applyFill="1" applyBorder="1" applyAlignment="1" applyProtection="1">
      <alignment horizontal="center"/>
    </xf>
    <xf numFmtId="0" fontId="2" fillId="9" borderId="35" xfId="0" applyFont="1" applyFill="1" applyBorder="1" applyAlignment="1" applyProtection="1">
      <alignment horizontal="center" vertical="center" wrapText="1"/>
    </xf>
    <xf numFmtId="0" fontId="2" fillId="9" borderId="33" xfId="0" applyFont="1" applyFill="1" applyBorder="1" applyAlignment="1" applyProtection="1">
      <alignment horizontal="center" vertical="center" wrapText="1"/>
    </xf>
    <xf numFmtId="0" fontId="2" fillId="9" borderId="32" xfId="0" applyFont="1" applyFill="1" applyBorder="1" applyAlignment="1" applyProtection="1">
      <alignment horizontal="center" vertical="center" wrapText="1"/>
    </xf>
    <xf numFmtId="0" fontId="0" fillId="0" borderId="13" xfId="0" applyBorder="1" applyAlignment="1">
      <alignment horizontal="center" vertical="center" wrapText="1"/>
    </xf>
    <xf numFmtId="0" fontId="2" fillId="0" borderId="0" xfId="0" applyFont="1" applyAlignment="1" applyProtection="1">
      <alignment horizontal="center" textRotation="180"/>
    </xf>
    <xf numFmtId="0" fontId="15" fillId="0" borderId="5" xfId="0" applyFont="1" applyBorder="1" applyAlignment="1" applyProtection="1">
      <alignment horizontal="center"/>
      <protection locked="0"/>
    </xf>
    <xf numFmtId="0" fontId="2" fillId="0" borderId="2" xfId="0" applyFont="1" applyBorder="1" applyAlignment="1" applyProtection="1">
      <alignment horizontal="center" vertical="top" textRotation="180"/>
    </xf>
    <xf numFmtId="0" fontId="0" fillId="0" borderId="0" xfId="0" applyBorder="1" applyAlignment="1" applyProtection="1"/>
    <xf numFmtId="0" fontId="2" fillId="0" borderId="0" xfId="0" applyFont="1" applyAlignment="1" applyProtection="1">
      <alignment horizontal="center"/>
    </xf>
    <xf numFmtId="0" fontId="9" fillId="4" borderId="20" xfId="0" applyFont="1" applyFill="1" applyBorder="1" applyAlignment="1" applyProtection="1">
      <alignment horizontal="center" vertical="top" wrapText="1"/>
      <protection locked="0"/>
    </xf>
    <xf numFmtId="0" fontId="9" fillId="4" borderId="6" xfId="0" applyFont="1" applyFill="1" applyBorder="1" applyAlignment="1" applyProtection="1">
      <alignment horizontal="center" vertical="top" wrapText="1"/>
      <protection locked="0"/>
    </xf>
    <xf numFmtId="0" fontId="2" fillId="0" borderId="2" xfId="0" applyFont="1" applyFill="1" applyBorder="1" applyAlignment="1" applyProtection="1">
      <alignment horizontal="center" vertical="center" textRotation="180"/>
    </xf>
    <xf numFmtId="0" fontId="23" fillId="0" borderId="0" xfId="0" applyFont="1" applyAlignment="1" applyProtection="1">
      <alignment horizontal="center"/>
    </xf>
    <xf numFmtId="0" fontId="27" fillId="0" borderId="0" xfId="0" applyFont="1" applyAlignment="1" applyProtection="1">
      <alignment horizontal="center" vertical="top" textRotation="180"/>
    </xf>
    <xf numFmtId="0" fontId="27" fillId="0" borderId="0" xfId="0" applyFont="1" applyBorder="1" applyAlignment="1" applyProtection="1">
      <alignment horizontal="center" textRotation="180"/>
    </xf>
    <xf numFmtId="0" fontId="0" fillId="0" borderId="0" xfId="0" applyBorder="1" applyAlignment="1" applyProtection="1">
      <alignment horizontal="left" wrapText="1"/>
    </xf>
    <xf numFmtId="0" fontId="0" fillId="3" borderId="66" xfId="0" applyFill="1" applyBorder="1" applyAlignment="1" applyProtection="1">
      <alignment horizontal="center"/>
    </xf>
    <xf numFmtId="0" fontId="0" fillId="3" borderId="39" xfId="0" applyFill="1" applyBorder="1" applyAlignment="1" applyProtection="1">
      <alignment horizontal="center"/>
    </xf>
    <xf numFmtId="0" fontId="0" fillId="3" borderId="83" xfId="0" applyFill="1" applyBorder="1" applyAlignment="1" applyProtection="1">
      <alignment horizontal="center"/>
    </xf>
    <xf numFmtId="0" fontId="0" fillId="3" borderId="35" xfId="0" applyFill="1" applyBorder="1" applyAlignment="1" applyProtection="1">
      <alignment horizontal="center" vertical="center" wrapText="1"/>
    </xf>
    <xf numFmtId="0" fontId="0" fillId="3" borderId="33" xfId="0" applyFill="1" applyBorder="1" applyAlignment="1" applyProtection="1">
      <alignment horizontal="center" vertical="center" wrapText="1"/>
    </xf>
    <xf numFmtId="0" fontId="2" fillId="0" borderId="0" xfId="0" applyFont="1" applyBorder="1" applyAlignment="1" applyProtection="1">
      <alignment horizontal="center" textRotation="180"/>
    </xf>
    <xf numFmtId="0" fontId="27" fillId="0" borderId="0" xfId="0" applyFont="1" applyBorder="1" applyAlignment="1" applyProtection="1">
      <alignment horizontal="center" vertical="top" textRotation="180"/>
    </xf>
    <xf numFmtId="0" fontId="53" fillId="0" borderId="0" xfId="0" applyFont="1" applyBorder="1" applyAlignment="1" applyProtection="1">
      <alignment wrapText="1"/>
    </xf>
    <xf numFmtId="0" fontId="53" fillId="9" borderId="66" xfId="0" applyFont="1" applyFill="1" applyBorder="1" applyAlignment="1" applyProtection="1">
      <alignment horizontal="center"/>
    </xf>
    <xf numFmtId="0" fontId="53" fillId="9" borderId="39" xfId="0" applyFont="1" applyFill="1" applyBorder="1" applyAlignment="1" applyProtection="1">
      <alignment horizontal="center"/>
    </xf>
    <xf numFmtId="0" fontId="53" fillId="9" borderId="83" xfId="0" applyFont="1" applyFill="1" applyBorder="1" applyAlignment="1" applyProtection="1">
      <alignment horizontal="center"/>
    </xf>
    <xf numFmtId="0" fontId="27" fillId="0" borderId="2" xfId="0" applyFont="1" applyBorder="1" applyAlignment="1" applyProtection="1">
      <alignment horizontal="center" vertical="top" textRotation="180"/>
    </xf>
    <xf numFmtId="0" fontId="53" fillId="0" borderId="38" xfId="0" applyFont="1" applyBorder="1" applyAlignment="1" applyProtection="1"/>
    <xf numFmtId="0" fontId="27" fillId="0" borderId="2" xfId="0" applyFont="1" applyFill="1" applyBorder="1" applyAlignment="1" applyProtection="1">
      <alignment horizontal="center" vertical="center" textRotation="180"/>
    </xf>
    <xf numFmtId="0" fontId="2" fillId="9" borderId="20" xfId="0" applyFont="1" applyFill="1" applyBorder="1" applyAlignment="1" applyProtection="1">
      <alignment horizontal="center"/>
    </xf>
    <xf numFmtId="0" fontId="2" fillId="9" borderId="28" xfId="0" applyFont="1" applyFill="1" applyBorder="1" applyAlignment="1" applyProtection="1">
      <alignment horizontal="center"/>
    </xf>
    <xf numFmtId="0" fontId="2" fillId="9" borderId="57" xfId="0" applyFont="1" applyFill="1" applyBorder="1" applyAlignment="1" applyProtection="1">
      <alignment horizontal="center"/>
    </xf>
    <xf numFmtId="0" fontId="53" fillId="9" borderId="35" xfId="0" applyFont="1" applyFill="1" applyBorder="1" applyAlignment="1" applyProtection="1">
      <alignment horizontal="center" vertical="center" wrapText="1"/>
    </xf>
    <xf numFmtId="0" fontId="53" fillId="9" borderId="18" xfId="0" applyFont="1" applyFill="1" applyBorder="1" applyAlignment="1" applyProtection="1">
      <alignment horizontal="center" vertical="center" wrapText="1"/>
    </xf>
    <xf numFmtId="0" fontId="53" fillId="9" borderId="33" xfId="0" applyFont="1" applyFill="1" applyBorder="1" applyAlignment="1" applyProtection="1">
      <alignment horizontal="center" vertical="center" wrapText="1"/>
    </xf>
    <xf numFmtId="0" fontId="53" fillId="0" borderId="3" xfId="0" applyFont="1" applyBorder="1" applyAlignment="1" applyProtection="1"/>
    <xf numFmtId="0" fontId="53" fillId="0" borderId="0" xfId="0" applyFont="1" applyBorder="1" applyAlignment="1" applyProtection="1"/>
    <xf numFmtId="0" fontId="53" fillId="0" borderId="21" xfId="0" applyFont="1" applyBorder="1" applyAlignment="1" applyProtection="1">
      <alignment horizontal="center"/>
    </xf>
    <xf numFmtId="0" fontId="53" fillId="0" borderId="43" xfId="0" applyFont="1" applyBorder="1" applyAlignment="1" applyProtection="1">
      <alignment horizontal="center"/>
    </xf>
    <xf numFmtId="0" fontId="9" fillId="0" borderId="38" xfId="0" applyFont="1" applyBorder="1" applyAlignment="1" applyProtection="1">
      <alignment horizontal="center"/>
    </xf>
    <xf numFmtId="0" fontId="23" fillId="0" borderId="0" xfId="0" applyFont="1" applyFill="1" applyBorder="1" applyAlignment="1" applyProtection="1">
      <alignment horizontal="center"/>
    </xf>
    <xf numFmtId="0" fontId="53" fillId="9" borderId="71" xfId="0" applyFont="1" applyFill="1" applyBorder="1" applyAlignment="1" applyProtection="1">
      <alignment horizontal="center"/>
    </xf>
    <xf numFmtId="0" fontId="53" fillId="9" borderId="79" xfId="0" applyFont="1" applyFill="1" applyBorder="1" applyAlignment="1" applyProtection="1">
      <alignment horizontal="center"/>
    </xf>
    <xf numFmtId="0" fontId="27" fillId="0" borderId="0" xfId="0" applyFont="1" applyFill="1" applyBorder="1" applyAlignment="1" applyProtection="1">
      <alignment horizontal="center"/>
    </xf>
    <xf numFmtId="0" fontId="53" fillId="0" borderId="3" xfId="0" applyFont="1" applyBorder="1" applyAlignment="1" applyProtection="1">
      <alignment horizontal="center"/>
    </xf>
    <xf numFmtId="0" fontId="53" fillId="0" borderId="15" xfId="0" applyFont="1" applyBorder="1" applyAlignment="1" applyProtection="1">
      <alignment horizontal="center"/>
    </xf>
    <xf numFmtId="0" fontId="53" fillId="0" borderId="43" xfId="0" applyFont="1" applyBorder="1" applyAlignment="1" applyProtection="1"/>
    <xf numFmtId="0" fontId="53" fillId="9" borderId="71" xfId="0" applyFont="1" applyFill="1" applyBorder="1" applyAlignment="1" applyProtection="1">
      <alignment horizontal="center" vertical="center"/>
    </xf>
    <xf numFmtId="0" fontId="53" fillId="9" borderId="80" xfId="0" applyFont="1" applyFill="1" applyBorder="1" applyAlignment="1" applyProtection="1">
      <alignment horizontal="center" vertical="center"/>
    </xf>
    <xf numFmtId="0" fontId="0" fillId="0" borderId="86" xfId="0" applyBorder="1" applyAlignment="1">
      <alignment horizontal="center"/>
    </xf>
    <xf numFmtId="0" fontId="0" fillId="0" borderId="83" xfId="0" applyBorder="1" applyAlignment="1">
      <alignment horizontal="center"/>
    </xf>
    <xf numFmtId="0" fontId="0" fillId="0" borderId="3" xfId="0" applyBorder="1" applyAlignment="1">
      <alignment horizontal="left" vertical="top" wrapText="1"/>
    </xf>
    <xf numFmtId="0" fontId="0" fillId="0" borderId="17" xfId="0" applyBorder="1" applyAlignment="1">
      <alignment horizontal="left" vertical="top" wrapText="1"/>
    </xf>
    <xf numFmtId="0" fontId="0" fillId="0" borderId="38" xfId="0" applyBorder="1" applyAlignment="1">
      <alignment horizontal="left" wrapText="1"/>
    </xf>
    <xf numFmtId="0" fontId="0" fillId="0" borderId="3" xfId="0" applyBorder="1" applyAlignment="1">
      <alignment wrapText="1"/>
    </xf>
    <xf numFmtId="0" fontId="0" fillId="0" borderId="17" xfId="0" applyBorder="1" applyAlignment="1">
      <alignment wrapText="1"/>
    </xf>
    <xf numFmtId="0" fontId="0" fillId="0" borderId="21" xfId="0" applyBorder="1" applyAlignment="1">
      <alignment vertical="top" wrapText="1"/>
    </xf>
    <xf numFmtId="0" fontId="0" fillId="0" borderId="9" xfId="0" applyBorder="1" applyAlignment="1">
      <alignment vertical="top" wrapText="1"/>
    </xf>
    <xf numFmtId="0" fontId="0" fillId="0" borderId="71" xfId="0" applyBorder="1" applyAlignment="1">
      <alignment vertical="top" wrapText="1"/>
    </xf>
    <xf numFmtId="0" fontId="0" fillId="0" borderId="82" xfId="0" applyBorder="1" applyAlignment="1">
      <alignment vertical="top" wrapText="1"/>
    </xf>
    <xf numFmtId="0" fontId="27" fillId="0" borderId="0" xfId="0" applyFont="1" applyBorder="1" applyAlignment="1" applyProtection="1">
      <alignment horizontal="left" vertical="top" textRotation="180"/>
    </xf>
    <xf numFmtId="167" fontId="2" fillId="9" borderId="32" xfId="0" applyNumberFormat="1" applyFont="1" applyFill="1" applyBorder="1" applyAlignment="1" applyProtection="1">
      <alignment horizontal="center" vertical="center" wrapText="1"/>
    </xf>
    <xf numFmtId="167" fontId="2" fillId="9" borderId="13" xfId="0" applyNumberFormat="1" applyFont="1" applyFill="1" applyBorder="1" applyAlignment="1" applyProtection="1">
      <alignment horizontal="center" vertical="center" wrapText="1"/>
    </xf>
    <xf numFmtId="0" fontId="2" fillId="9" borderId="13" xfId="0" applyFont="1" applyFill="1" applyBorder="1" applyAlignment="1" applyProtection="1">
      <alignment horizontal="center" vertical="center" wrapText="1"/>
    </xf>
    <xf numFmtId="0" fontId="27" fillId="9" borderId="32" xfId="0" applyFont="1" applyFill="1" applyBorder="1" applyAlignment="1" applyProtection="1">
      <alignment horizontal="center" vertical="center" wrapText="1"/>
    </xf>
    <xf numFmtId="0" fontId="27" fillId="9" borderId="13" xfId="0" applyFont="1" applyFill="1" applyBorder="1" applyAlignment="1" applyProtection="1">
      <alignment horizontal="center" vertical="center" wrapText="1"/>
    </xf>
    <xf numFmtId="0" fontId="2" fillId="0" borderId="20" xfId="0" applyFont="1" applyBorder="1" applyAlignment="1" applyProtection="1">
      <alignment vertical="top" wrapText="1"/>
      <protection locked="0"/>
    </xf>
    <xf numFmtId="0" fontId="2" fillId="0" borderId="28"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14" fillId="0" borderId="4" xfId="0" applyFont="1" applyBorder="1" applyAlignment="1" applyProtection="1">
      <alignment horizontal="left" vertical="top" wrapText="1"/>
    </xf>
    <xf numFmtId="0" fontId="2" fillId="0" borderId="0" xfId="0" applyFont="1" applyBorder="1" applyAlignment="1" applyProtection="1">
      <alignment vertical="top" wrapText="1"/>
    </xf>
    <xf numFmtId="0" fontId="2" fillId="9" borderId="66" xfId="0" applyFont="1" applyFill="1" applyBorder="1" applyAlignment="1" applyProtection="1">
      <alignment horizontal="center"/>
    </xf>
    <xf numFmtId="0" fontId="2" fillId="9" borderId="83" xfId="0" applyFont="1" applyFill="1" applyBorder="1" applyAlignment="1" applyProtection="1">
      <alignment horizontal="center"/>
    </xf>
    <xf numFmtId="0" fontId="27" fillId="0" borderId="0" xfId="0" applyFont="1" applyBorder="1" applyAlignment="1" applyProtection="1">
      <alignment horizontal="right" textRotation="180"/>
    </xf>
    <xf numFmtId="0" fontId="27" fillId="0" borderId="2" xfId="0" applyFont="1" applyFill="1" applyBorder="1" applyAlignment="1" applyProtection="1">
      <alignment horizontal="left" vertical="center" textRotation="180"/>
    </xf>
    <xf numFmtId="0" fontId="15" fillId="0" borderId="0" xfId="0" applyFont="1" applyBorder="1" applyAlignment="1" applyProtection="1">
      <alignment horizontal="right" vertical="top" textRotation="180"/>
    </xf>
    <xf numFmtId="0" fontId="27" fillId="0" borderId="2" xfId="0" applyFont="1" applyFill="1" applyBorder="1" applyAlignment="1" applyProtection="1">
      <alignment horizontal="center" vertical="top" textRotation="180"/>
    </xf>
    <xf numFmtId="0" fontId="55" fillId="0" borderId="3" xfId="0" applyFont="1" applyBorder="1" applyAlignment="1" applyProtection="1">
      <alignment horizontal="left"/>
      <protection locked="0"/>
    </xf>
    <xf numFmtId="0" fontId="55" fillId="0" borderId="15" xfId="0" applyFont="1" applyBorder="1" applyAlignment="1" applyProtection="1">
      <alignment horizontal="left"/>
      <protection locked="0"/>
    </xf>
    <xf numFmtId="0" fontId="53" fillId="0" borderId="10" xfId="0" applyFont="1" applyBorder="1" applyAlignment="1" applyProtection="1">
      <alignment horizontal="center"/>
    </xf>
    <xf numFmtId="0" fontId="55" fillId="0" borderId="50" xfId="0" applyFont="1" applyBorder="1" applyAlignment="1" applyProtection="1">
      <alignment horizontal="left"/>
      <protection locked="0"/>
    </xf>
    <xf numFmtId="0" fontId="55" fillId="0" borderId="51" xfId="0" applyFont="1" applyBorder="1" applyAlignment="1" applyProtection="1">
      <alignment horizontal="left"/>
      <protection locked="0"/>
    </xf>
    <xf numFmtId="0" fontId="65" fillId="9" borderId="19" xfId="0" applyFont="1" applyFill="1" applyBorder="1" applyAlignment="1" applyProtection="1">
      <alignment horizontal="center"/>
    </xf>
    <xf numFmtId="0" fontId="65" fillId="9" borderId="50" xfId="0" applyFont="1" applyFill="1" applyBorder="1" applyAlignment="1" applyProtection="1">
      <alignment horizontal="center" vertical="center" wrapText="1"/>
    </xf>
    <xf numFmtId="0" fontId="65" fillId="9" borderId="51" xfId="0" applyFont="1" applyFill="1" applyBorder="1" applyAlignment="1" applyProtection="1">
      <alignment horizontal="center" vertical="center" wrapText="1"/>
    </xf>
    <xf numFmtId="0" fontId="65" fillId="9" borderId="21" xfId="0" applyFont="1" applyFill="1" applyBorder="1" applyAlignment="1" applyProtection="1">
      <alignment horizontal="center" vertical="center" wrapText="1"/>
    </xf>
    <xf numFmtId="0" fontId="65" fillId="9" borderId="10" xfId="0" applyFont="1" applyFill="1" applyBorder="1" applyAlignment="1" applyProtection="1">
      <alignment horizontal="center" vertical="center" wrapText="1"/>
    </xf>
    <xf numFmtId="0" fontId="65" fillId="9" borderId="27" xfId="0" applyFont="1" applyFill="1" applyBorder="1" applyAlignment="1" applyProtection="1">
      <alignment horizontal="center"/>
    </xf>
    <xf numFmtId="0" fontId="2" fillId="0" borderId="0" xfId="0" applyFont="1" applyBorder="1" applyAlignment="1" applyProtection="1">
      <protection locked="0"/>
    </xf>
    <xf numFmtId="0" fontId="35" fillId="0" borderId="43" xfId="0" applyFont="1" applyFill="1" applyBorder="1" applyAlignment="1" applyProtection="1"/>
    <xf numFmtId="0" fontId="35" fillId="9" borderId="71" xfId="0" applyFont="1" applyFill="1" applyBorder="1" applyAlignment="1" applyProtection="1">
      <alignment horizontal="center" vertical="center"/>
    </xf>
    <xf numFmtId="0" fontId="35" fillId="9" borderId="79" xfId="0" applyFont="1" applyFill="1" applyBorder="1" applyAlignment="1" applyProtection="1">
      <alignment horizontal="center" vertical="center"/>
    </xf>
    <xf numFmtId="0" fontId="35" fillId="9" borderId="80" xfId="0" applyFont="1" applyFill="1" applyBorder="1" applyAlignment="1" applyProtection="1">
      <alignment horizontal="center" vertical="center"/>
    </xf>
    <xf numFmtId="0" fontId="2" fillId="0" borderId="21" xfId="0" applyFont="1" applyBorder="1" applyAlignment="1" applyProtection="1">
      <alignment horizontal="left" vertical="center" wrapText="1"/>
    </xf>
    <xf numFmtId="0" fontId="2" fillId="0" borderId="43"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14" fillId="0" borderId="3" xfId="0" applyFont="1" applyBorder="1" applyAlignment="1" applyProtection="1">
      <alignment horizontal="left"/>
    </xf>
    <xf numFmtId="0" fontId="14" fillId="0" borderId="0" xfId="0" applyFont="1" applyBorder="1" applyAlignment="1" applyProtection="1">
      <alignment horizontal="left"/>
    </xf>
    <xf numFmtId="0" fontId="14" fillId="0" borderId="15" xfId="0" applyFont="1" applyBorder="1" applyAlignment="1" applyProtection="1">
      <alignment horizontal="left"/>
    </xf>
    <xf numFmtId="0" fontId="29" fillId="0" borderId="3" xfId="0" applyFont="1" applyBorder="1" applyAlignment="1" applyProtection="1">
      <alignment horizontal="center"/>
    </xf>
    <xf numFmtId="0" fontId="29" fillId="0" borderId="0" xfId="0" applyFont="1" applyBorder="1" applyAlignment="1" applyProtection="1">
      <alignment horizontal="center"/>
    </xf>
    <xf numFmtId="0" fontId="35" fillId="0" borderId="3" xfId="0" applyFont="1" applyBorder="1" applyAlignment="1" applyProtection="1"/>
    <xf numFmtId="0" fontId="35" fillId="0" borderId="0" xfId="0" applyFont="1" applyBorder="1" applyAlignment="1" applyProtection="1"/>
    <xf numFmtId="0" fontId="35" fillId="0" borderId="21" xfId="0" applyFont="1" applyBorder="1" applyAlignment="1" applyProtection="1"/>
    <xf numFmtId="0" fontId="35" fillId="0" borderId="43" xfId="0" applyFont="1" applyBorder="1" applyAlignment="1" applyProtection="1"/>
    <xf numFmtId="0" fontId="2" fillId="0" borderId="0" xfId="0" applyFont="1" applyBorder="1" applyAlignment="1" applyProtection="1">
      <alignment horizontal="left" vertical="top"/>
    </xf>
    <xf numFmtId="0" fontId="2" fillId="0" borderId="0" xfId="0" applyFont="1" applyBorder="1" applyAlignment="1" applyProtection="1">
      <alignment horizontal="center"/>
    </xf>
    <xf numFmtId="0" fontId="35" fillId="9" borderId="78" xfId="0" applyFont="1" applyFill="1" applyBorder="1" applyAlignment="1" applyProtection="1">
      <alignment horizontal="center" vertical="center" wrapText="1"/>
    </xf>
    <xf numFmtId="0" fontId="35" fillId="9" borderId="29" xfId="0" applyFont="1" applyFill="1" applyBorder="1" applyAlignment="1" applyProtection="1">
      <alignment horizontal="center" vertical="center" wrapText="1"/>
    </xf>
    <xf numFmtId="0" fontId="35" fillId="9" borderId="50" xfId="0" applyFont="1" applyFill="1" applyBorder="1" applyAlignment="1" applyProtection="1">
      <alignment horizontal="center" vertical="center"/>
    </xf>
    <xf numFmtId="0" fontId="35" fillId="9" borderId="51" xfId="0" applyFont="1" applyFill="1" applyBorder="1" applyAlignment="1" applyProtection="1">
      <alignment horizontal="center" vertical="center"/>
    </xf>
    <xf numFmtId="0" fontId="35" fillId="9" borderId="21" xfId="0" applyFont="1" applyFill="1" applyBorder="1" applyAlignment="1" applyProtection="1">
      <alignment horizontal="center" vertical="center"/>
    </xf>
    <xf numFmtId="0" fontId="35" fillId="9" borderId="10" xfId="0" applyFont="1" applyFill="1" applyBorder="1" applyAlignment="1" applyProtection="1">
      <alignment horizontal="center" vertical="center"/>
    </xf>
    <xf numFmtId="0" fontId="35" fillId="9" borderId="84" xfId="0" applyFont="1" applyFill="1" applyBorder="1" applyAlignment="1" applyProtection="1">
      <alignment horizontal="center" vertical="center" wrapText="1"/>
    </xf>
    <xf numFmtId="0" fontId="35" fillId="9" borderId="9" xfId="0" applyFont="1" applyFill="1" applyBorder="1" applyAlignment="1" applyProtection="1">
      <alignment horizontal="center" vertical="center" wrapText="1"/>
    </xf>
    <xf numFmtId="44" fontId="35" fillId="9" borderId="66" xfId="3" applyFont="1" applyFill="1" applyBorder="1" applyAlignment="1" applyProtection="1">
      <alignment horizontal="center" wrapText="1"/>
    </xf>
    <xf numFmtId="44" fontId="35" fillId="9" borderId="85" xfId="3" applyFont="1" applyFill="1" applyBorder="1" applyAlignment="1" applyProtection="1">
      <alignment horizontal="center"/>
    </xf>
    <xf numFmtId="0" fontId="60" fillId="0" borderId="21" xfId="0" applyFont="1" applyBorder="1" applyAlignment="1" applyProtection="1">
      <alignment horizontal="center"/>
    </xf>
    <xf numFmtId="0" fontId="60" fillId="0" borderId="43" xfId="0" applyFont="1" applyBorder="1" applyAlignment="1" applyProtection="1">
      <alignment horizontal="center"/>
    </xf>
    <xf numFmtId="0" fontId="60" fillId="0" borderId="10" xfId="0" applyFont="1" applyBorder="1" applyAlignment="1" applyProtection="1">
      <alignment horizontal="center"/>
    </xf>
    <xf numFmtId="0" fontId="9" fillId="4" borderId="71" xfId="0" applyFont="1" applyFill="1" applyBorder="1" applyAlignment="1" applyProtection="1">
      <alignment horizontal="center" vertical="top" wrapText="1"/>
      <protection locked="0"/>
    </xf>
    <xf numFmtId="0" fontId="9" fillId="4" borderId="82" xfId="0" applyFont="1" applyFill="1" applyBorder="1" applyAlignment="1" applyProtection="1">
      <alignment horizontal="center" vertical="top" wrapText="1"/>
      <protection locked="0"/>
    </xf>
    <xf numFmtId="0" fontId="60" fillId="0" borderId="3" xfId="0" applyFont="1" applyBorder="1" applyAlignment="1" applyProtection="1"/>
    <xf numFmtId="0" fontId="60" fillId="0" borderId="0" xfId="0" applyFont="1" applyBorder="1" applyAlignment="1" applyProtection="1"/>
    <xf numFmtId="0" fontId="60" fillId="0" borderId="15" xfId="0" applyFont="1" applyBorder="1" applyAlignment="1" applyProtection="1"/>
    <xf numFmtId="0" fontId="29" fillId="0" borderId="3" xfId="0" applyFont="1" applyBorder="1" applyAlignment="1" applyProtection="1"/>
    <xf numFmtId="0" fontId="29" fillId="0" borderId="0" xfId="0" applyFont="1" applyBorder="1" applyAlignment="1" applyProtection="1"/>
    <xf numFmtId="0" fontId="29" fillId="0" borderId="15" xfId="0" applyFont="1" applyBorder="1" applyAlignment="1" applyProtection="1"/>
    <xf numFmtId="0" fontId="29" fillId="0" borderId="46" xfId="0" applyFont="1" applyBorder="1" applyAlignment="1" applyProtection="1"/>
    <xf numFmtId="0" fontId="29" fillId="0" borderId="5" xfId="0" applyFont="1" applyBorder="1" applyAlignment="1" applyProtection="1"/>
    <xf numFmtId="0" fontId="29" fillId="0" borderId="58" xfId="0" applyFont="1" applyBorder="1" applyAlignment="1" applyProtection="1"/>
    <xf numFmtId="0" fontId="60" fillId="3" borderId="3" xfId="0" applyFont="1" applyFill="1" applyBorder="1" applyAlignment="1" applyProtection="1">
      <alignment horizontal="center" vertical="center"/>
    </xf>
    <xf numFmtId="0" fontId="60" fillId="3" borderId="0" xfId="0" applyFont="1" applyFill="1" applyBorder="1" applyAlignment="1" applyProtection="1">
      <alignment horizontal="center" vertical="center"/>
    </xf>
    <xf numFmtId="0" fontId="60" fillId="3" borderId="15" xfId="0" applyFont="1" applyFill="1" applyBorder="1" applyAlignment="1" applyProtection="1">
      <alignment horizontal="center" vertical="center"/>
    </xf>
    <xf numFmtId="0" fontId="2" fillId="0" borderId="0" xfId="0" applyFont="1" applyAlignment="1" applyProtection="1"/>
    <xf numFmtId="0" fontId="60" fillId="0" borderId="43" xfId="0" applyFont="1" applyFill="1" applyBorder="1" applyAlignment="1" applyProtection="1"/>
    <xf numFmtId="0" fontId="2" fillId="0" borderId="20" xfId="0" applyFont="1" applyBorder="1" applyAlignment="1" applyProtection="1">
      <alignment wrapText="1"/>
      <protection locked="0"/>
    </xf>
    <xf numFmtId="0" fontId="2" fillId="0" borderId="28" xfId="0" applyFont="1" applyBorder="1" applyAlignment="1" applyProtection="1">
      <alignment wrapText="1"/>
      <protection locked="0"/>
    </xf>
    <xf numFmtId="0" fontId="2" fillId="0" borderId="6" xfId="0" applyFont="1" applyBorder="1" applyAlignment="1" applyProtection="1">
      <alignment wrapText="1"/>
      <protection locked="0"/>
    </xf>
    <xf numFmtId="0" fontId="2" fillId="0" borderId="2" xfId="0" applyFont="1" applyBorder="1" applyAlignment="1" applyProtection="1">
      <alignment wrapText="1"/>
      <protection locked="0"/>
    </xf>
    <xf numFmtId="0" fontId="2" fillId="0" borderId="0" xfId="0" applyFont="1" applyBorder="1" applyAlignment="1" applyProtection="1">
      <alignment wrapText="1"/>
      <protection locked="0"/>
    </xf>
    <xf numFmtId="0" fontId="2" fillId="0" borderId="29" xfId="0" applyFont="1" applyBorder="1" applyAlignment="1" applyProtection="1">
      <alignment wrapText="1"/>
      <protection locked="0"/>
    </xf>
    <xf numFmtId="0" fontId="2" fillId="0" borderId="43" xfId="0" applyFont="1" applyBorder="1" applyAlignment="1" applyProtection="1">
      <alignment wrapText="1"/>
      <protection locked="0"/>
    </xf>
    <xf numFmtId="0" fontId="2" fillId="9" borderId="50" xfId="0" applyFont="1" applyFill="1" applyBorder="1" applyAlignment="1" applyProtection="1">
      <alignment horizontal="center"/>
    </xf>
    <xf numFmtId="0" fontId="2" fillId="9" borderId="84" xfId="0" applyFont="1" applyFill="1" applyBorder="1" applyAlignment="1" applyProtection="1">
      <alignment horizontal="center"/>
    </xf>
    <xf numFmtId="0" fontId="2" fillId="9" borderId="42" xfId="0" applyFont="1" applyFill="1" applyBorder="1" applyAlignment="1" applyProtection="1">
      <alignment horizontal="center"/>
    </xf>
    <xf numFmtId="0" fontId="2" fillId="0" borderId="20"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5" fillId="0" borderId="0" xfId="0" applyFont="1" applyBorder="1" applyAlignment="1" applyProtection="1">
      <alignment horizontal="center" textRotation="180"/>
    </xf>
    <xf numFmtId="0" fontId="2" fillId="9" borderId="50" xfId="0" applyFont="1" applyFill="1" applyBorder="1" applyAlignment="1" applyProtection="1">
      <alignment horizontal="center" vertical="center"/>
    </xf>
    <xf numFmtId="0" fontId="2" fillId="9" borderId="3" xfId="0" applyFont="1" applyFill="1" applyBorder="1" applyAlignment="1" applyProtection="1">
      <alignment horizontal="center" vertical="center"/>
    </xf>
    <xf numFmtId="0" fontId="2" fillId="9" borderId="21" xfId="0" applyFont="1" applyFill="1" applyBorder="1" applyAlignment="1" applyProtection="1">
      <alignment horizontal="center" vertical="center"/>
    </xf>
    <xf numFmtId="0" fontId="2" fillId="9" borderId="78" xfId="0" applyFont="1" applyFill="1" applyBorder="1" applyAlignment="1" applyProtection="1">
      <alignment horizontal="center" wrapText="1"/>
    </xf>
    <xf numFmtId="0" fontId="2" fillId="9" borderId="45" xfId="0" applyFont="1" applyFill="1" applyBorder="1" applyAlignment="1" applyProtection="1">
      <alignment horizontal="center" vertical="center" wrapText="1"/>
    </xf>
    <xf numFmtId="0" fontId="2" fillId="9" borderId="22" xfId="0" applyFont="1" applyFill="1" applyBorder="1" applyAlignment="1" applyProtection="1">
      <alignment horizontal="center" vertical="center" wrapText="1"/>
    </xf>
    <xf numFmtId="0" fontId="2" fillId="9" borderId="30" xfId="0" applyFont="1" applyFill="1" applyBorder="1" applyAlignment="1" applyProtection="1">
      <alignment horizontal="center" vertical="center" wrapText="1"/>
    </xf>
    <xf numFmtId="0" fontId="2" fillId="9" borderId="20" xfId="0" applyFont="1" applyFill="1" applyBorder="1" applyAlignment="1" applyProtection="1">
      <protection locked="0"/>
    </xf>
    <xf numFmtId="0" fontId="2" fillId="9" borderId="28" xfId="0" applyFont="1" applyFill="1" applyBorder="1" applyAlignment="1" applyProtection="1">
      <protection locked="0"/>
    </xf>
    <xf numFmtId="0" fontId="2" fillId="9" borderId="6" xfId="0" applyFont="1" applyFill="1" applyBorder="1" applyAlignment="1" applyProtection="1">
      <protection locked="0"/>
    </xf>
    <xf numFmtId="0" fontId="2" fillId="9" borderId="14" xfId="0" applyFont="1" applyFill="1" applyBorder="1" applyAlignment="1" applyProtection="1">
      <protection locked="0"/>
    </xf>
    <xf numFmtId="0" fontId="2" fillId="9" borderId="4" xfId="0" applyFont="1" applyFill="1" applyBorder="1" applyAlignment="1" applyProtection="1">
      <protection locked="0"/>
    </xf>
    <xf numFmtId="0" fontId="2" fillId="0" borderId="81" xfId="0" applyFont="1" applyBorder="1" applyAlignment="1" applyProtection="1">
      <alignment horizontal="center"/>
    </xf>
    <xf numFmtId="0" fontId="2" fillId="0" borderId="8" xfId="0" applyFont="1" applyBorder="1" applyAlignment="1" applyProtection="1">
      <alignment horizontal="center"/>
    </xf>
    <xf numFmtId="0" fontId="2" fillId="0" borderId="38" xfId="0" applyFont="1" applyBorder="1" applyAlignment="1" applyProtection="1">
      <alignment horizontal="center"/>
    </xf>
    <xf numFmtId="0" fontId="2" fillId="0" borderId="21" xfId="0" applyFont="1" applyBorder="1" applyAlignment="1" applyProtection="1"/>
    <xf numFmtId="0" fontId="2" fillId="0" borderId="15" xfId="0" applyFont="1" applyBorder="1" applyAlignment="1" applyProtection="1">
      <alignment horizontal="center"/>
    </xf>
    <xf numFmtId="0" fontId="2" fillId="0" borderId="2" xfId="0" applyFont="1" applyBorder="1" applyAlignment="1" applyProtection="1">
      <alignment horizontal="center"/>
    </xf>
    <xf numFmtId="0" fontId="2" fillId="0" borderId="3" xfId="0" applyFont="1" applyBorder="1" applyAlignment="1" applyProtection="1">
      <alignment horizontal="left"/>
    </xf>
    <xf numFmtId="0" fontId="2" fillId="0" borderId="3" xfId="0" applyFont="1" applyBorder="1" applyAlignment="1" applyProtection="1"/>
    <xf numFmtId="0" fontId="2" fillId="0" borderId="15" xfId="0" applyFont="1" applyBorder="1" applyAlignment="1" applyProtection="1"/>
    <xf numFmtId="0" fontId="27" fillId="9" borderId="0" xfId="0" applyFont="1" applyFill="1" applyBorder="1" applyAlignment="1" applyProtection="1">
      <alignment horizontal="left" wrapText="1"/>
    </xf>
    <xf numFmtId="0" fontId="29" fillId="0" borderId="15" xfId="0" applyFont="1" applyBorder="1" applyAlignment="1" applyProtection="1">
      <alignment horizontal="center"/>
    </xf>
    <xf numFmtId="0" fontId="2" fillId="0" borderId="3" xfId="0" applyFont="1" applyBorder="1" applyAlignment="1" applyProtection="1">
      <alignment vertical="top" wrapText="1"/>
    </xf>
    <xf numFmtId="0" fontId="2" fillId="0" borderId="15" xfId="0" applyFont="1" applyBorder="1" applyAlignment="1" applyProtection="1">
      <alignment vertical="top" wrapText="1"/>
    </xf>
    <xf numFmtId="0" fontId="2" fillId="0" borderId="2" xfId="0" applyFont="1" applyBorder="1" applyAlignment="1" applyProtection="1">
      <alignment horizontal="center" vertical="top"/>
    </xf>
    <xf numFmtId="0" fontId="2" fillId="0" borderId="15" xfId="0" applyFont="1" applyBorder="1" applyAlignment="1" applyProtection="1">
      <alignment horizontal="center" vertical="top"/>
    </xf>
    <xf numFmtId="0" fontId="14" fillId="0" borderId="43" xfId="0" applyFont="1" applyBorder="1" applyAlignment="1" applyProtection="1">
      <alignment horizontal="center"/>
    </xf>
    <xf numFmtId="0" fontId="2" fillId="9" borderId="66" xfId="0" applyFont="1" applyFill="1" applyBorder="1" applyAlignment="1" applyProtection="1">
      <alignment horizontal="center" vertical="center" wrapText="1"/>
    </xf>
    <xf numFmtId="0" fontId="2" fillId="0" borderId="85" xfId="0" applyFont="1" applyBorder="1" applyAlignment="1" applyProtection="1">
      <alignment horizontal="center" vertical="center"/>
    </xf>
    <xf numFmtId="0" fontId="2" fillId="9" borderId="86" xfId="0" applyFont="1" applyFill="1" applyBorder="1" applyAlignment="1" applyProtection="1">
      <alignment horizontal="center" vertical="center" wrapText="1"/>
    </xf>
    <xf numFmtId="0" fontId="24" fillId="0" borderId="2" xfId="0" applyFont="1" applyBorder="1" applyAlignment="1" applyProtection="1">
      <alignment horizontal="center"/>
    </xf>
    <xf numFmtId="0" fontId="24" fillId="0" borderId="15" xfId="0" applyFont="1" applyBorder="1" applyAlignment="1" applyProtection="1">
      <alignment horizontal="center"/>
    </xf>
    <xf numFmtId="0" fontId="2" fillId="0" borderId="3" xfId="0" applyFont="1" applyBorder="1" applyAlignment="1" applyProtection="1">
      <alignment horizontal="center"/>
    </xf>
    <xf numFmtId="0" fontId="64" fillId="0" borderId="0" xfId="0" applyFont="1" applyBorder="1" applyAlignment="1" applyProtection="1">
      <alignment horizontal="left" wrapText="1"/>
    </xf>
    <xf numFmtId="0" fontId="64" fillId="0" borderId="0" xfId="0" applyFont="1" applyBorder="1" applyAlignment="1" applyProtection="1">
      <alignment horizontal="left" vertical="top" wrapText="1"/>
    </xf>
    <xf numFmtId="0" fontId="55" fillId="9" borderId="45" xfId="0" applyFont="1" applyFill="1" applyBorder="1" applyAlignment="1" applyProtection="1">
      <alignment horizontal="center" vertical="center" wrapText="1"/>
    </xf>
    <xf numFmtId="0" fontId="55" fillId="9" borderId="30" xfId="0" applyFont="1" applyFill="1" applyBorder="1" applyAlignment="1" applyProtection="1">
      <alignment horizontal="center" vertical="center" wrapText="1"/>
    </xf>
    <xf numFmtId="0" fontId="32" fillId="0" borderId="5" xfId="0" applyFont="1" applyBorder="1" applyAlignment="1" applyProtection="1">
      <alignment horizontal="center"/>
      <protection locked="0"/>
    </xf>
    <xf numFmtId="0" fontId="55" fillId="9" borderId="66" xfId="0" applyFont="1" applyFill="1" applyBorder="1" applyAlignment="1" applyProtection="1">
      <alignment horizontal="center" vertical="center"/>
    </xf>
    <xf numFmtId="0" fontId="55" fillId="9" borderId="39" xfId="0" applyFont="1" applyFill="1" applyBorder="1" applyAlignment="1" applyProtection="1">
      <alignment horizontal="center" vertical="center"/>
    </xf>
    <xf numFmtId="0" fontId="55" fillId="9" borderId="85" xfId="0" applyFont="1" applyFill="1" applyBorder="1" applyAlignment="1" applyProtection="1">
      <alignment horizontal="center" vertical="center"/>
    </xf>
    <xf numFmtId="0" fontId="24" fillId="0" borderId="3" xfId="0" applyFont="1" applyBorder="1" applyAlignment="1" applyProtection="1">
      <alignment horizontal="center"/>
    </xf>
    <xf numFmtId="0" fontId="2" fillId="9" borderId="50" xfId="0" applyFont="1" applyFill="1" applyBorder="1" applyAlignment="1" applyProtection="1">
      <alignment horizontal="center" vertical="center" wrapText="1"/>
    </xf>
    <xf numFmtId="0" fontId="2" fillId="9" borderId="84" xfId="0" applyFont="1" applyFill="1" applyBorder="1" applyAlignment="1" applyProtection="1">
      <alignment horizontal="center" vertical="center" wrapText="1"/>
    </xf>
    <xf numFmtId="0" fontId="2" fillId="9" borderId="21" xfId="0" applyFont="1" applyFill="1" applyBorder="1" applyAlignment="1" applyProtection="1">
      <alignment horizontal="center" vertical="center" wrapText="1"/>
    </xf>
    <xf numFmtId="0" fontId="2" fillId="9" borderId="9" xfId="0" applyFont="1" applyFill="1" applyBorder="1" applyAlignment="1" applyProtection="1">
      <alignment horizontal="center" vertical="center" wrapText="1"/>
    </xf>
    <xf numFmtId="0" fontId="55" fillId="9" borderId="35" xfId="0" applyFont="1" applyFill="1" applyBorder="1" applyAlignment="1" applyProtection="1">
      <alignment horizontal="center" vertical="center" wrapText="1"/>
    </xf>
    <xf numFmtId="0" fontId="55" fillId="9" borderId="33" xfId="0" applyFont="1" applyFill="1" applyBorder="1" applyAlignment="1" applyProtection="1">
      <alignment horizontal="center" vertical="center" wrapText="1"/>
    </xf>
    <xf numFmtId="0" fontId="55" fillId="9" borderId="32" xfId="0" applyFont="1" applyFill="1" applyBorder="1" applyAlignment="1" applyProtection="1">
      <alignment horizontal="center" vertical="center" wrapText="1"/>
    </xf>
    <xf numFmtId="0" fontId="55" fillId="9" borderId="13" xfId="0" applyFont="1" applyFill="1" applyBorder="1" applyAlignment="1" applyProtection="1">
      <alignment horizontal="center" vertical="center" wrapText="1"/>
    </xf>
    <xf numFmtId="0" fontId="52" fillId="0" borderId="21" xfId="0" applyFont="1" applyBorder="1" applyAlignment="1">
      <alignment horizontal="center"/>
    </xf>
    <xf numFmtId="0" fontId="52" fillId="0" borderId="43" xfId="0" applyFont="1" applyBorder="1" applyAlignment="1">
      <alignment horizontal="center"/>
    </xf>
    <xf numFmtId="0" fontId="52" fillId="0" borderId="9" xfId="0" applyFont="1" applyBorder="1" applyAlignment="1">
      <alignment horizontal="center"/>
    </xf>
    <xf numFmtId="0" fontId="2" fillId="15" borderId="86" xfId="0" applyFont="1" applyFill="1" applyBorder="1" applyAlignment="1" applyProtection="1">
      <alignment horizontal="center" vertical="center" wrapText="1"/>
    </xf>
    <xf numFmtId="0" fontId="2" fillId="16" borderId="85" xfId="0" applyFont="1" applyFill="1" applyBorder="1" applyAlignment="1" applyProtection="1">
      <alignment horizontal="center" vertical="center"/>
    </xf>
    <xf numFmtId="0" fontId="2" fillId="15" borderId="66" xfId="0" applyFont="1" applyFill="1" applyBorder="1" applyAlignment="1" applyProtection="1">
      <alignment horizontal="center" vertical="center" wrapText="1"/>
    </xf>
    <xf numFmtId="0" fontId="2" fillId="16" borderId="83" xfId="0" applyFont="1" applyFill="1" applyBorder="1" applyAlignment="1" applyProtection="1">
      <alignment horizontal="center" vertical="center"/>
    </xf>
    <xf numFmtId="0" fontId="24" fillId="0" borderId="2" xfId="0" applyFont="1" applyBorder="1" applyAlignment="1" applyProtection="1">
      <alignment horizontal="center" vertical="center"/>
    </xf>
    <xf numFmtId="0" fontId="24" fillId="0" borderId="17"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38" xfId="0" applyBorder="1" applyAlignment="1">
      <alignment horizontal="center"/>
    </xf>
    <xf numFmtId="0" fontId="53" fillId="0" borderId="20" xfId="0" applyFont="1" applyBorder="1" applyAlignment="1" applyProtection="1">
      <alignment horizontal="center"/>
      <protection locked="0"/>
    </xf>
    <xf numFmtId="0" fontId="53" fillId="0" borderId="6" xfId="0" applyFont="1" applyBorder="1" applyAlignment="1" applyProtection="1">
      <alignment horizontal="center"/>
      <protection locked="0"/>
    </xf>
    <xf numFmtId="0" fontId="12" fillId="0" borderId="43" xfId="0" applyFont="1" applyBorder="1" applyAlignment="1" applyProtection="1">
      <alignment horizontal="center"/>
    </xf>
    <xf numFmtId="0" fontId="66" fillId="0" borderId="20" xfId="0" applyFont="1" applyBorder="1" applyAlignment="1" applyProtection="1">
      <alignment horizontal="center"/>
      <protection locked="0"/>
    </xf>
    <xf numFmtId="0" fontId="66" fillId="0" borderId="6" xfId="0" applyFont="1" applyBorder="1" applyAlignment="1" applyProtection="1">
      <alignment horizontal="center"/>
      <protection locked="0"/>
    </xf>
    <xf numFmtId="0" fontId="2" fillId="0" borderId="0" xfId="0" applyFont="1" applyBorder="1" applyAlignment="1" applyProtection="1">
      <alignment horizontal="center" vertical="top" textRotation="180"/>
    </xf>
    <xf numFmtId="0" fontId="13" fillId="0" borderId="0" xfId="0" applyFont="1" applyBorder="1" applyAlignment="1" applyProtection="1">
      <alignment textRotation="180"/>
    </xf>
    <xf numFmtId="0" fontId="55" fillId="0" borderId="3" xfId="0" applyFont="1" applyBorder="1" applyAlignment="1" applyProtection="1">
      <protection locked="0"/>
    </xf>
    <xf numFmtId="0" fontId="55" fillId="0" borderId="0" xfId="0" applyFont="1" applyBorder="1" applyAlignment="1" applyProtection="1">
      <protection locked="0"/>
    </xf>
    <xf numFmtId="0" fontId="55" fillId="0" borderId="15" xfId="0" applyFont="1" applyBorder="1" applyAlignment="1" applyProtection="1">
      <protection locked="0"/>
    </xf>
    <xf numFmtId="0" fontId="55" fillId="0" borderId="21" xfId="0" applyFont="1" applyBorder="1" applyAlignment="1" applyProtection="1">
      <protection locked="0"/>
    </xf>
    <xf numFmtId="0" fontId="55" fillId="0" borderId="43" xfId="0" applyFont="1" applyBorder="1" applyAlignment="1" applyProtection="1">
      <protection locked="0"/>
    </xf>
    <xf numFmtId="0" fontId="55" fillId="0" borderId="10" xfId="0" applyFont="1" applyBorder="1" applyAlignment="1" applyProtection="1">
      <protection locked="0"/>
    </xf>
    <xf numFmtId="0" fontId="63" fillId="9" borderId="71" xfId="0" applyFont="1" applyFill="1" applyBorder="1" applyAlignment="1" applyProtection="1">
      <alignment horizontal="center" wrapText="1"/>
    </xf>
    <xf numFmtId="0" fontId="63" fillId="9" borderId="79" xfId="0" applyFont="1" applyFill="1" applyBorder="1" applyAlignment="1" applyProtection="1">
      <alignment horizontal="center"/>
    </xf>
    <xf numFmtId="0" fontId="63" fillId="0" borderId="80" xfId="0" applyFont="1" applyBorder="1" applyAlignment="1" applyProtection="1">
      <alignment horizontal="center"/>
    </xf>
    <xf numFmtId="0" fontId="4" fillId="0" borderId="14"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27" fillId="0" borderId="2" xfId="0" applyFont="1" applyBorder="1" applyAlignment="1" applyProtection="1">
      <alignment horizontal="center" textRotation="180"/>
    </xf>
    <xf numFmtId="0" fontId="53" fillId="0" borderId="38" xfId="0" applyFont="1" applyBorder="1" applyAlignment="1" applyProtection="1">
      <alignment horizontal="center"/>
    </xf>
    <xf numFmtId="0" fontId="7" fillId="0" borderId="20"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53" fillId="9" borderId="85" xfId="0" applyFont="1" applyFill="1" applyBorder="1" applyAlignment="1" applyProtection="1">
      <alignment horizontal="center"/>
    </xf>
    <xf numFmtId="0" fontId="13" fillId="0" borderId="0" xfId="0" applyFont="1" applyBorder="1" applyAlignment="1" applyProtection="1">
      <alignment horizontal="center" vertical="center" textRotation="180"/>
    </xf>
    <xf numFmtId="0" fontId="67" fillId="0" borderId="5" xfId="0" applyFont="1" applyBorder="1" applyAlignment="1" applyProtection="1">
      <alignment horizontal="center"/>
      <protection locked="0"/>
    </xf>
    <xf numFmtId="0" fontId="26" fillId="0" borderId="0" xfId="0" applyFont="1" applyBorder="1" applyAlignment="1" applyProtection="1">
      <alignment horizontal="left" vertical="top" textRotation="180"/>
    </xf>
    <xf numFmtId="0" fontId="53" fillId="9" borderId="45" xfId="0" applyFont="1" applyFill="1" applyBorder="1" applyAlignment="1" applyProtection="1">
      <alignment horizontal="center" vertical="center" wrapText="1"/>
    </xf>
    <xf numFmtId="0" fontId="53" fillId="9" borderId="30" xfId="0" applyFont="1" applyFill="1" applyBorder="1" applyAlignment="1" applyProtection="1">
      <alignment horizontal="center" vertical="center" wrapText="1"/>
    </xf>
    <xf numFmtId="0" fontId="2" fillId="0" borderId="21" xfId="0" applyFont="1" applyBorder="1" applyAlignment="1" applyProtection="1">
      <alignment horizontal="left" wrapText="1"/>
    </xf>
    <xf numFmtId="0" fontId="2" fillId="0" borderId="10" xfId="0" applyFont="1" applyBorder="1" applyAlignment="1" applyProtection="1">
      <alignment horizontal="left" wrapText="1"/>
    </xf>
    <xf numFmtId="0" fontId="40" fillId="0" borderId="4" xfId="0" applyFont="1" applyFill="1" applyBorder="1" applyAlignment="1" applyProtection="1">
      <alignment horizontal="center"/>
    </xf>
    <xf numFmtId="0" fontId="40" fillId="0" borderId="0" xfId="0" applyFont="1" applyBorder="1" applyAlignment="1" applyProtection="1"/>
    <xf numFmtId="0" fontId="41" fillId="0" borderId="0" xfId="0" applyFont="1" applyBorder="1" applyAlignment="1" applyProtection="1">
      <alignment horizontal="center"/>
    </xf>
    <xf numFmtId="0" fontId="42" fillId="0" borderId="3" xfId="0" applyFont="1" applyBorder="1" applyAlignment="1" applyProtection="1">
      <alignment horizontal="center"/>
    </xf>
    <xf numFmtId="0" fontId="42" fillId="0" borderId="0" xfId="0" applyFont="1" applyBorder="1" applyAlignment="1" applyProtection="1">
      <alignment horizontal="center"/>
    </xf>
    <xf numFmtId="0" fontId="39" fillId="0" borderId="3" xfId="0" applyFont="1" applyBorder="1" applyAlignment="1" applyProtection="1"/>
    <xf numFmtId="0" fontId="39" fillId="0" borderId="0" xfId="0" applyFont="1" applyBorder="1" applyAlignment="1" applyProtection="1"/>
    <xf numFmtId="0" fontId="39" fillId="9" borderId="45" xfId="0" applyFont="1" applyFill="1" applyBorder="1" applyAlignment="1" applyProtection="1">
      <alignment horizontal="center" vertical="center" wrapText="1"/>
    </xf>
    <xf numFmtId="0" fontId="39" fillId="9" borderId="30" xfId="0" applyFont="1" applyFill="1" applyBorder="1" applyAlignment="1" applyProtection="1">
      <alignment horizontal="center" vertical="center" wrapText="1"/>
    </xf>
    <xf numFmtId="0" fontId="39" fillId="9" borderId="50" xfId="0" applyFont="1" applyFill="1" applyBorder="1" applyAlignment="1" applyProtection="1">
      <alignment horizontal="center" vertical="center"/>
    </xf>
    <xf numFmtId="0" fontId="39" fillId="9" borderId="38" xfId="0" applyFont="1" applyFill="1" applyBorder="1" applyAlignment="1" applyProtection="1">
      <alignment horizontal="center" vertical="center"/>
    </xf>
    <xf numFmtId="0" fontId="39" fillId="9" borderId="21" xfId="0" applyFont="1" applyFill="1" applyBorder="1" applyAlignment="1" applyProtection="1">
      <alignment horizontal="center" vertical="center"/>
    </xf>
    <xf numFmtId="0" fontId="39" fillId="9" borderId="43" xfId="0" applyFont="1" applyFill="1" applyBorder="1" applyAlignment="1" applyProtection="1">
      <alignment horizontal="center" vertical="center"/>
    </xf>
    <xf numFmtId="0" fontId="47" fillId="0" borderId="20" xfId="0" applyFont="1" applyBorder="1" applyAlignment="1" applyProtection="1">
      <alignment horizontal="center"/>
      <protection locked="0"/>
    </xf>
    <xf numFmtId="0" fontId="47" fillId="0" borderId="6" xfId="0" applyFont="1" applyBorder="1" applyAlignment="1" applyProtection="1">
      <alignment horizontal="center"/>
      <protection locked="0"/>
    </xf>
    <xf numFmtId="0" fontId="40" fillId="0" borderId="0" xfId="0" applyFont="1" applyBorder="1" applyAlignment="1" applyProtection="1">
      <alignment horizontal="left" vertical="top"/>
    </xf>
    <xf numFmtId="0" fontId="40" fillId="0" borderId="0" xfId="0" applyFont="1" applyBorder="1" applyAlignment="1" applyProtection="1">
      <alignment horizontal="center"/>
    </xf>
    <xf numFmtId="44" fontId="39" fillId="9" borderId="78" xfId="3" applyFont="1" applyFill="1" applyBorder="1" applyAlignment="1" applyProtection="1">
      <alignment horizontal="center" wrapText="1"/>
    </xf>
    <xf numFmtId="44" fontId="39" fillId="9" borderId="38" xfId="3" applyFont="1" applyFill="1" applyBorder="1" applyAlignment="1" applyProtection="1">
      <alignment horizontal="center"/>
    </xf>
    <xf numFmtId="0" fontId="39" fillId="9" borderId="32" xfId="0" applyFont="1" applyFill="1" applyBorder="1" applyAlignment="1" applyProtection="1">
      <alignment horizontal="center" vertical="center" wrapText="1"/>
    </xf>
    <xf numFmtId="0" fontId="39" fillId="9" borderId="13" xfId="0" applyFont="1" applyFill="1" applyBorder="1" applyAlignment="1" applyProtection="1">
      <alignment horizontal="center" vertical="center" wrapText="1"/>
    </xf>
    <xf numFmtId="0" fontId="35" fillId="0" borderId="21" xfId="0" applyFont="1" applyBorder="1" applyAlignment="1" applyProtection="1">
      <alignment horizontal="center"/>
    </xf>
    <xf numFmtId="0" fontId="35" fillId="0" borderId="43" xfId="0" applyFont="1" applyBorder="1" applyAlignment="1" applyProtection="1">
      <alignment horizontal="center"/>
    </xf>
    <xf numFmtId="0" fontId="35" fillId="0" borderId="10" xfId="0" applyFont="1" applyBorder="1" applyAlignment="1" applyProtection="1">
      <alignment horizontal="center"/>
    </xf>
    <xf numFmtId="0" fontId="35" fillId="0" borderId="0" xfId="0" applyFont="1" applyBorder="1" applyAlignment="1" applyProtection="1">
      <alignment vertical="top"/>
    </xf>
    <xf numFmtId="0" fontId="9" fillId="0" borderId="71" xfId="0" applyFont="1" applyBorder="1" applyAlignment="1" applyProtection="1">
      <alignment horizontal="center"/>
      <protection locked="0"/>
    </xf>
    <xf numFmtId="0" fontId="9" fillId="0" borderId="82" xfId="0" applyFont="1" applyBorder="1" applyAlignment="1" applyProtection="1">
      <alignment horizontal="center"/>
      <protection locked="0"/>
    </xf>
    <xf numFmtId="0" fontId="2" fillId="0" borderId="71" xfId="0" applyFont="1" applyBorder="1" applyAlignment="1" applyProtection="1">
      <alignment vertical="top" wrapText="1"/>
      <protection locked="0"/>
    </xf>
    <xf numFmtId="0" fontId="2" fillId="0" borderId="79" xfId="0" applyFont="1" applyBorder="1" applyAlignment="1" applyProtection="1">
      <alignment vertical="top"/>
      <protection locked="0"/>
    </xf>
    <xf numFmtId="0" fontId="2" fillId="0" borderId="82" xfId="0" applyFont="1" applyBorder="1" applyAlignment="1" applyProtection="1">
      <alignment vertical="top"/>
      <protection locked="0"/>
    </xf>
    <xf numFmtId="0" fontId="4" fillId="0" borderId="20"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2" fillId="0" borderId="10" xfId="0" applyFont="1" applyBorder="1" applyAlignment="1" applyProtection="1"/>
    <xf numFmtId="0" fontId="2" fillId="0" borderId="3" xfId="0" applyFont="1" applyBorder="1" applyAlignment="1" applyProtection="1">
      <alignment horizontal="right"/>
    </xf>
    <xf numFmtId="0" fontId="2" fillId="0" borderId="15" xfId="0" applyFont="1" applyBorder="1" applyAlignment="1" applyProtection="1">
      <alignment horizontal="right"/>
    </xf>
    <xf numFmtId="0" fontId="2" fillId="0" borderId="15" xfId="0" applyFont="1" applyBorder="1" applyAlignment="1" applyProtection="1">
      <alignment vertical="top"/>
    </xf>
    <xf numFmtId="0" fontId="27" fillId="9" borderId="0" xfId="0" applyFont="1" applyFill="1" applyBorder="1" applyAlignment="1" applyProtection="1">
      <alignment wrapText="1"/>
    </xf>
    <xf numFmtId="0" fontId="27" fillId="0" borderId="0" xfId="0" applyFont="1" applyBorder="1" applyAlignment="1" applyProtection="1">
      <alignment wrapText="1"/>
    </xf>
    <xf numFmtId="0" fontId="2" fillId="9" borderId="51" xfId="0" applyFont="1" applyFill="1" applyBorder="1" applyAlignment="1" applyProtection="1">
      <alignment horizontal="center" vertical="center" wrapText="1"/>
    </xf>
    <xf numFmtId="0" fontId="2" fillId="9" borderId="10" xfId="0" applyFont="1" applyFill="1" applyBorder="1" applyAlignment="1" applyProtection="1">
      <alignment horizontal="center" vertical="center" wrapText="1"/>
    </xf>
    <xf numFmtId="0" fontId="2" fillId="9" borderId="78" xfId="0" applyFont="1" applyFill="1" applyBorder="1" applyAlignment="1" applyProtection="1">
      <alignment horizontal="center" vertical="center" wrapText="1"/>
    </xf>
    <xf numFmtId="0" fontId="2" fillId="9" borderId="29" xfId="0" applyFont="1" applyFill="1" applyBorder="1" applyAlignment="1" applyProtection="1">
      <alignment horizontal="center" vertical="center" wrapText="1"/>
    </xf>
    <xf numFmtId="0" fontId="2" fillId="9" borderId="51" xfId="0" applyFont="1" applyFill="1" applyBorder="1" applyAlignment="1" applyProtection="1">
      <alignment horizontal="center" wrapText="1"/>
    </xf>
    <xf numFmtId="0" fontId="53" fillId="9" borderId="19" xfId="0" applyFont="1" applyFill="1" applyBorder="1" applyAlignment="1" applyProtection="1">
      <alignment horizontal="center" wrapText="1"/>
    </xf>
    <xf numFmtId="0" fontId="53" fillId="9" borderId="7" xfId="0" applyFont="1" applyFill="1" applyBorder="1" applyAlignment="1" applyProtection="1">
      <alignment horizontal="center" wrapText="1"/>
    </xf>
    <xf numFmtId="0" fontId="53" fillId="9" borderId="52" xfId="0" applyFont="1" applyFill="1" applyBorder="1" applyAlignment="1" applyProtection="1">
      <alignment horizontal="center" wrapText="1"/>
    </xf>
    <xf numFmtId="0" fontId="2" fillId="9" borderId="87" xfId="0" applyFont="1" applyFill="1" applyBorder="1" applyAlignment="1" applyProtection="1">
      <alignment horizontal="center" wrapText="1"/>
    </xf>
    <xf numFmtId="0" fontId="2" fillId="9" borderId="19" xfId="0" applyFont="1" applyFill="1" applyBorder="1" applyAlignment="1" applyProtection="1">
      <alignment horizontal="center" wrapText="1"/>
    </xf>
    <xf numFmtId="0" fontId="2" fillId="9" borderId="88" xfId="0" applyFont="1" applyFill="1" applyBorder="1" applyAlignment="1" applyProtection="1">
      <alignment horizontal="center" wrapText="1"/>
    </xf>
    <xf numFmtId="0" fontId="2" fillId="9" borderId="7" xfId="0" applyFont="1" applyFill="1" applyBorder="1" applyAlignment="1" applyProtection="1">
      <alignment horizontal="center" wrapText="1"/>
    </xf>
    <xf numFmtId="0" fontId="53" fillId="9" borderId="19" xfId="0" applyFont="1" applyFill="1" applyBorder="1" applyAlignment="1" applyProtection="1">
      <alignment horizontal="center"/>
    </xf>
    <xf numFmtId="0" fontId="2" fillId="9" borderId="52" xfId="0" applyFont="1" applyFill="1" applyBorder="1" applyAlignment="1" applyProtection="1">
      <alignment horizontal="center" wrapText="1"/>
    </xf>
    <xf numFmtId="0" fontId="2" fillId="9" borderId="27" xfId="0" applyFont="1" applyFill="1" applyBorder="1" applyAlignment="1" applyProtection="1">
      <alignment horizontal="center" wrapText="1"/>
    </xf>
    <xf numFmtId="0" fontId="2" fillId="9" borderId="26" xfId="0" applyFont="1" applyFill="1" applyBorder="1" applyAlignment="1" applyProtection="1">
      <alignment horizontal="center" wrapText="1"/>
    </xf>
    <xf numFmtId="0" fontId="2" fillId="9" borderId="34" xfId="0" applyFont="1" applyFill="1" applyBorder="1" applyAlignment="1" applyProtection="1">
      <alignment horizontal="center" wrapText="1"/>
    </xf>
    <xf numFmtId="0" fontId="14" fillId="0" borderId="20" xfId="0" applyFont="1" applyBorder="1" applyAlignment="1" applyProtection="1">
      <alignment horizontal="center"/>
      <protection locked="0"/>
    </xf>
    <xf numFmtId="0" fontId="14" fillId="0" borderId="28" xfId="0" applyFont="1" applyBorder="1" applyAlignment="1" applyProtection="1">
      <alignment horizontal="center"/>
      <protection locked="0"/>
    </xf>
    <xf numFmtId="0" fontId="14" fillId="0" borderId="6" xfId="0" applyFont="1" applyBorder="1" applyAlignment="1" applyProtection="1">
      <alignment horizontal="center"/>
      <protection locked="0"/>
    </xf>
    <xf numFmtId="0" fontId="2" fillId="0" borderId="72" xfId="0" applyFont="1" applyBorder="1" applyAlignment="1" applyProtection="1">
      <alignment horizontal="left"/>
      <protection locked="0"/>
    </xf>
    <xf numFmtId="0" fontId="2" fillId="0" borderId="52" xfId="0" applyFont="1" applyBorder="1" applyAlignment="1" applyProtection="1">
      <alignment horizontal="left"/>
      <protection locked="0"/>
    </xf>
    <xf numFmtId="0" fontId="2" fillId="0" borderId="20" xfId="0" applyFont="1" applyBorder="1" applyAlignment="1" applyProtection="1">
      <alignment horizontal="center" vertical="top" wrapText="1"/>
      <protection locked="0"/>
    </xf>
    <xf numFmtId="0" fontId="2" fillId="0" borderId="28"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9" borderId="66" xfId="0" applyFont="1" applyFill="1" applyBorder="1" applyAlignment="1" applyProtection="1">
      <alignment horizontal="center" wrapText="1"/>
    </xf>
    <xf numFmtId="0" fontId="2" fillId="9" borderId="85" xfId="0" applyFont="1" applyFill="1" applyBorder="1" applyAlignment="1" applyProtection="1">
      <alignment horizontal="center" wrapText="1"/>
    </xf>
    <xf numFmtId="0" fontId="2" fillId="0" borderId="28" xfId="0" applyFont="1" applyBorder="1" applyAlignment="1" applyProtection="1">
      <alignment horizontal="left"/>
      <protection locked="0"/>
    </xf>
    <xf numFmtId="0" fontId="2" fillId="0" borderId="6" xfId="0" applyFont="1" applyBorder="1" applyAlignment="1" applyProtection="1">
      <alignment horizontal="left"/>
      <protection locked="0"/>
    </xf>
    <xf numFmtId="0" fontId="2" fillId="0" borderId="88" xfId="0" applyFont="1" applyBorder="1" applyAlignment="1" applyProtection="1">
      <alignment horizontal="left"/>
      <protection locked="0"/>
    </xf>
    <xf numFmtId="0" fontId="2" fillId="0" borderId="7" xfId="0" applyFont="1" applyBorder="1" applyAlignment="1" applyProtection="1">
      <alignment horizontal="left"/>
      <protection locked="0"/>
    </xf>
    <xf numFmtId="0" fontId="2" fillId="0" borderId="7" xfId="0" applyFont="1" applyBorder="1" applyAlignment="1" applyProtection="1">
      <alignment horizontal="center"/>
      <protection locked="0"/>
    </xf>
    <xf numFmtId="0" fontId="2" fillId="9" borderId="86" xfId="0" applyFont="1" applyFill="1" applyBorder="1" applyAlignment="1" applyProtection="1">
      <alignment horizontal="center" wrapText="1"/>
    </xf>
    <xf numFmtId="0" fontId="2" fillId="9" borderId="39" xfId="0" applyFont="1" applyFill="1" applyBorder="1" applyAlignment="1" applyProtection="1">
      <alignment horizontal="center" wrapText="1"/>
    </xf>
    <xf numFmtId="0" fontId="2" fillId="0" borderId="49" xfId="0" applyFont="1" applyBorder="1" applyAlignment="1" applyProtection="1">
      <alignment horizontal="left"/>
      <protection locked="0"/>
    </xf>
    <xf numFmtId="0" fontId="2" fillId="0" borderId="68" xfId="0" applyFont="1" applyBorder="1" applyAlignment="1" applyProtection="1">
      <alignment horizontal="left"/>
      <protection locked="0"/>
    </xf>
    <xf numFmtId="0" fontId="2" fillId="0" borderId="69" xfId="0" applyFont="1" applyBorder="1" applyAlignment="1" applyProtection="1">
      <alignment horizontal="left"/>
      <protection locked="0"/>
    </xf>
    <xf numFmtId="0" fontId="2" fillId="9" borderId="39" xfId="0" applyFont="1" applyFill="1" applyBorder="1" applyAlignment="1" applyProtection="1">
      <alignment horizontal="center"/>
    </xf>
    <xf numFmtId="0" fontId="2" fillId="9" borderId="85" xfId="0" applyFont="1" applyFill="1" applyBorder="1" applyAlignment="1" applyProtection="1">
      <alignment horizontal="center"/>
    </xf>
    <xf numFmtId="0" fontId="2" fillId="0" borderId="73" xfId="0" applyFont="1" applyBorder="1" applyAlignment="1" applyProtection="1">
      <alignment horizontal="left" wrapText="1"/>
      <protection locked="0"/>
    </xf>
    <xf numFmtId="0" fontId="2" fillId="0" borderId="89" xfId="0" applyFont="1" applyBorder="1" applyAlignment="1" applyProtection="1">
      <alignment horizontal="left" wrapText="1"/>
      <protection locked="0"/>
    </xf>
    <xf numFmtId="0" fontId="2" fillId="0" borderId="69" xfId="0" applyFont="1" applyBorder="1" applyAlignment="1" applyProtection="1">
      <alignment horizontal="left" wrapText="1"/>
      <protection locked="0"/>
    </xf>
    <xf numFmtId="0" fontId="2" fillId="0" borderId="20" xfId="0" applyFont="1" applyBorder="1" applyAlignment="1" applyProtection="1">
      <alignment horizontal="left"/>
      <protection locked="0"/>
    </xf>
    <xf numFmtId="0" fontId="2" fillId="0" borderId="52" xfId="0" applyFont="1" applyBorder="1" applyAlignment="1" applyProtection="1">
      <alignment horizontal="center"/>
      <protection locked="0"/>
    </xf>
    <xf numFmtId="0" fontId="2" fillId="9" borderId="87" xfId="0" applyFont="1" applyFill="1" applyBorder="1" applyAlignment="1" applyProtection="1">
      <alignment horizontal="center"/>
    </xf>
    <xf numFmtId="0" fontId="2" fillId="9" borderId="19" xfId="0" applyFont="1" applyFill="1" applyBorder="1" applyAlignment="1" applyProtection="1">
      <alignment horizontal="center"/>
    </xf>
    <xf numFmtId="0" fontId="2" fillId="0" borderId="4" xfId="0" applyFont="1" applyBorder="1" applyAlignment="1" applyProtection="1">
      <alignment horizontal="left" vertical="top" wrapText="1"/>
    </xf>
    <xf numFmtId="0" fontId="6" fillId="0" borderId="3" xfId="5" applyFont="1" applyBorder="1" applyAlignment="1" applyProtection="1">
      <alignment horizontal="center"/>
      <protection locked="0"/>
    </xf>
    <xf numFmtId="0" fontId="6" fillId="0" borderId="0" xfId="5" applyFont="1" applyBorder="1" applyAlignment="1" applyProtection="1">
      <alignment horizontal="center"/>
      <protection locked="0"/>
    </xf>
    <xf numFmtId="0" fontId="6" fillId="0" borderId="17" xfId="5" applyFont="1" applyBorder="1" applyAlignment="1" applyProtection="1">
      <alignment horizontal="center"/>
      <protection locked="0"/>
    </xf>
    <xf numFmtId="0" fontId="6" fillId="0" borderId="21" xfId="5" applyFont="1" applyBorder="1" applyAlignment="1" applyProtection="1">
      <alignment horizontal="center"/>
      <protection locked="0"/>
    </xf>
    <xf numFmtId="0" fontId="6" fillId="0" borderId="43" xfId="5" applyFont="1" applyBorder="1" applyAlignment="1" applyProtection="1">
      <alignment horizontal="center"/>
      <protection locked="0"/>
    </xf>
    <xf numFmtId="0" fontId="6" fillId="0" borderId="9" xfId="5" applyFont="1" applyBorder="1" applyAlignment="1" applyProtection="1">
      <alignment horizontal="center"/>
      <protection locked="0"/>
    </xf>
    <xf numFmtId="0" fontId="49" fillId="0" borderId="0" xfId="5" applyFont="1" applyFill="1" applyBorder="1" applyAlignment="1">
      <alignment horizontal="center"/>
    </xf>
    <xf numFmtId="0" fontId="6" fillId="0" borderId="0" xfId="5" applyFont="1" applyFill="1" applyBorder="1" applyAlignment="1"/>
    <xf numFmtId="0" fontId="6" fillId="3" borderId="50" xfId="5" applyFont="1" applyFill="1" applyBorder="1" applyAlignment="1">
      <alignment horizontal="center"/>
    </xf>
    <xf numFmtId="0" fontId="6" fillId="3" borderId="38" xfId="5" applyFont="1" applyFill="1" applyBorder="1" applyAlignment="1">
      <alignment horizontal="center"/>
    </xf>
    <xf numFmtId="0" fontId="6" fillId="3" borderId="51" xfId="5" applyFont="1" applyFill="1" applyBorder="1" applyAlignment="1">
      <alignment horizontal="center"/>
    </xf>
    <xf numFmtId="0" fontId="6" fillId="3" borderId="78" xfId="5" applyFont="1" applyFill="1" applyBorder="1" applyAlignment="1">
      <alignment horizontal="center"/>
    </xf>
    <xf numFmtId="0" fontId="6" fillId="3" borderId="2" xfId="5" applyFont="1" applyFill="1" applyBorder="1" applyAlignment="1">
      <alignment horizontal="center"/>
    </xf>
    <xf numFmtId="0" fontId="6" fillId="3" borderId="0" xfId="5" applyFont="1" applyFill="1" applyBorder="1" applyAlignment="1">
      <alignment horizontal="center"/>
    </xf>
    <xf numFmtId="0" fontId="6" fillId="3" borderId="15" xfId="5" applyFont="1" applyFill="1" applyBorder="1" applyAlignment="1">
      <alignment horizontal="center"/>
    </xf>
    <xf numFmtId="0" fontId="6" fillId="3" borderId="3" xfId="5" applyFont="1" applyFill="1" applyBorder="1" applyAlignment="1">
      <alignment horizontal="center"/>
    </xf>
    <xf numFmtId="0" fontId="6" fillId="0" borderId="50" xfId="5" applyFont="1" applyBorder="1" applyAlignment="1" applyProtection="1">
      <alignment horizontal="center"/>
      <protection locked="0"/>
    </xf>
    <xf numFmtId="0" fontId="6" fillId="0" borderId="38" xfId="5" applyFont="1" applyBorder="1" applyAlignment="1" applyProtection="1">
      <alignment horizontal="center"/>
      <protection locked="0"/>
    </xf>
    <xf numFmtId="0" fontId="6" fillId="0" borderId="84" xfId="5" applyFont="1" applyBorder="1" applyAlignment="1" applyProtection="1">
      <alignment horizontal="center"/>
      <protection locked="0"/>
    </xf>
    <xf numFmtId="0" fontId="2" fillId="5" borderId="0" xfId="9" applyFont="1" applyFill="1" applyBorder="1" applyAlignment="1" applyProtection="1">
      <alignment horizontal="center"/>
    </xf>
    <xf numFmtId="0" fontId="2" fillId="5" borderId="4" xfId="9" applyFont="1" applyFill="1" applyBorder="1" applyAlignment="1" applyProtection="1">
      <alignment horizontal="center"/>
      <protection locked="0"/>
    </xf>
    <xf numFmtId="0" fontId="27" fillId="5" borderId="5" xfId="9" applyFont="1" applyFill="1" applyBorder="1" applyAlignment="1" applyProtection="1">
      <alignment horizontal="center"/>
    </xf>
    <xf numFmtId="0" fontId="2" fillId="5" borderId="4" xfId="9" applyFont="1" applyFill="1" applyBorder="1" applyAlignment="1" applyProtection="1">
      <alignment horizontal="center" wrapText="1"/>
      <protection locked="0"/>
    </xf>
    <xf numFmtId="0" fontId="2" fillId="5" borderId="0" xfId="9" applyFont="1" applyFill="1" applyBorder="1" applyAlignment="1" applyProtection="1"/>
    <xf numFmtId="16" fontId="2" fillId="5" borderId="4" xfId="9" quotePrefix="1" applyNumberFormat="1" applyFont="1" applyFill="1" applyBorder="1" applyAlignment="1" applyProtection="1">
      <alignment horizontal="center" wrapText="1"/>
    </xf>
    <xf numFmtId="0" fontId="2" fillId="5" borderId="4" xfId="9" applyFont="1" applyFill="1" applyBorder="1" applyAlignment="1" applyProtection="1">
      <alignment horizontal="center" wrapText="1"/>
    </xf>
    <xf numFmtId="49" fontId="2" fillId="5" borderId="4" xfId="9" applyNumberFormat="1" applyFont="1" applyFill="1" applyBorder="1" applyAlignment="1" applyProtection="1">
      <alignment horizontal="center" wrapText="1"/>
    </xf>
    <xf numFmtId="49" fontId="2" fillId="5" borderId="4" xfId="0" applyNumberFormat="1" applyFont="1" applyFill="1" applyBorder="1" applyAlignment="1" applyProtection="1">
      <alignment horizontal="center" wrapText="1"/>
    </xf>
    <xf numFmtId="0" fontId="31" fillId="5" borderId="43" xfId="0" applyFont="1" applyFill="1" applyBorder="1" applyAlignment="1" applyProtection="1">
      <alignment horizontal="center"/>
    </xf>
    <xf numFmtId="0" fontId="27" fillId="5" borderId="5" xfId="0" applyFont="1" applyFill="1" applyBorder="1" applyAlignment="1" applyProtection="1"/>
    <xf numFmtId="0" fontId="2" fillId="5" borderId="0" xfId="9" applyNumberFormat="1" applyFont="1" applyFill="1" applyBorder="1" applyAlignment="1" applyProtection="1">
      <alignment horizontal="left" vertical="center" wrapText="1"/>
    </xf>
    <xf numFmtId="0" fontId="2" fillId="5" borderId="0" xfId="9" applyFont="1" applyFill="1" applyBorder="1" applyAlignment="1" applyProtection="1">
      <alignment horizontal="justify" vertical="top" wrapText="1"/>
    </xf>
    <xf numFmtId="0" fontId="5" fillId="5" borderId="0" xfId="9" applyFont="1" applyFill="1" applyBorder="1" applyAlignment="1" applyProtection="1">
      <alignment horizontal="center"/>
    </xf>
    <xf numFmtId="0" fontId="10" fillId="5" borderId="4" xfId="9" applyFont="1" applyFill="1" applyBorder="1" applyAlignment="1" applyProtection="1">
      <alignment horizontal="center"/>
      <protection locked="0"/>
    </xf>
    <xf numFmtId="0" fontId="10" fillId="5" borderId="0" xfId="9" applyFont="1" applyFill="1" applyBorder="1" applyAlignment="1" applyProtection="1">
      <alignment horizontal="left"/>
    </xf>
    <xf numFmtId="0" fontId="2" fillId="5" borderId="0" xfId="9" applyFont="1" applyFill="1" applyBorder="1" applyAlignment="1" applyProtection="1">
      <alignment horizontal="justify" wrapText="1"/>
    </xf>
    <xf numFmtId="0" fontId="7" fillId="5" borderId="0" xfId="9" applyFont="1" applyFill="1" applyBorder="1" applyAlignment="1" applyProtection="1">
      <alignment horizontal="right"/>
    </xf>
    <xf numFmtId="0" fontId="7" fillId="5" borderId="4" xfId="0" applyNumberFormat="1" applyFont="1" applyFill="1" applyBorder="1" applyAlignment="1" applyProtection="1">
      <alignment horizontal="center" wrapText="1"/>
    </xf>
    <xf numFmtId="0" fontId="7" fillId="5" borderId="5" xfId="9" applyFont="1" applyFill="1" applyBorder="1" applyAlignment="1" applyProtection="1">
      <alignment horizontal="right"/>
    </xf>
    <xf numFmtId="0" fontId="4" fillId="5" borderId="0" xfId="9" applyFont="1" applyFill="1" applyBorder="1" applyAlignment="1" applyProtection="1">
      <alignment horizontal="center"/>
    </xf>
  </cellXfs>
  <cellStyles count="23">
    <cellStyle name="Comma" xfId="1" builtinId="3"/>
    <cellStyle name="Comma 2" xfId="2"/>
    <cellStyle name="Currency" xfId="3" builtinId="4"/>
    <cellStyle name="Currency 2" xfId="4"/>
    <cellStyle name="Currency 2 2" xfId="21"/>
    <cellStyle name="Currency 2 3" xfId="13"/>
    <cellStyle name="Currency 3" xfId="15"/>
    <cellStyle name="Currency 4" xfId="17"/>
    <cellStyle name="Normal" xfId="0" builtinId="0"/>
    <cellStyle name="Normal 2" xfId="5"/>
    <cellStyle name="Normal 2 2" xfId="20"/>
    <cellStyle name="Normal 2 3" xfId="18"/>
    <cellStyle name="Normal 2 4" xfId="12"/>
    <cellStyle name="Normal 3" xfId="14"/>
    <cellStyle name="Normal 3 2" xfId="22"/>
    <cellStyle name="Normal 3 3" xfId="19"/>
    <cellStyle name="Normal 4" xfId="16"/>
    <cellStyle name="Normal_Cover" xfId="6"/>
    <cellStyle name="Normal_Cover_1" xfId="7"/>
    <cellStyle name="Normal_General Instructions" xfId="8"/>
    <cellStyle name="Normal_IXC Annual Report Form" xfId="9"/>
    <cellStyle name="Percent" xfId="10" builtinId="5"/>
    <cellStyle name="Percent 2" xfId="11"/>
  </cellStyles>
  <dxfs count="12">
    <dxf>
      <font>
        <condense val="0"/>
        <extend val="0"/>
        <color rgb="FFFFFFFF"/>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3.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3.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s>
</file>

<file path=xl/worksheets/_rels/sheet55.xml.rels><?xml version="1.0" encoding="UTF-8" standalone="yes"?>
<Relationships xmlns="http://schemas.openxmlformats.org/package/2006/relationships"><Relationship Id="rId2" Type="http://schemas.openxmlformats.org/officeDocument/2006/relationships/printerSettings" Target="../printerSettings/printerSettings87.bin"/><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8"/>
  <sheetViews>
    <sheetView showGridLines="0" tabSelected="1" zoomScale="70" zoomScaleNormal="70" zoomScaleSheetLayoutView="100" workbookViewId="0">
      <selection sqref="A1:F1"/>
    </sheetView>
  </sheetViews>
  <sheetFormatPr defaultRowHeight="12.75"/>
  <cols>
    <col min="1" max="1" width="4.140625" style="1" customWidth="1"/>
    <col min="2" max="2" width="4.7109375" style="1" customWidth="1"/>
    <col min="3" max="3" width="38.140625" style="1" customWidth="1"/>
    <col min="4" max="4" width="10.7109375" style="1" customWidth="1"/>
    <col min="5" max="5" width="19.28515625" style="1" customWidth="1"/>
    <col min="6" max="6" width="2.7109375" style="1" customWidth="1"/>
    <col min="7" max="16384" width="9.140625" style="1"/>
  </cols>
  <sheetData>
    <row r="1" spans="1:12" ht="50.1" customHeight="1">
      <c r="A1" s="1100" t="s">
        <v>1235</v>
      </c>
      <c r="B1" s="1100"/>
      <c r="C1" s="1100"/>
      <c r="D1" s="1100"/>
      <c r="E1" s="1100"/>
      <c r="F1" s="1100"/>
    </row>
    <row r="2" spans="1:12" ht="12.75" customHeight="1">
      <c r="A2" s="1101" t="s">
        <v>0</v>
      </c>
      <c r="B2" s="1101"/>
      <c r="C2" s="1101"/>
      <c r="D2" s="1101"/>
      <c r="E2" s="1101"/>
      <c r="F2" s="1101"/>
      <c r="G2" s="2"/>
      <c r="H2" s="2"/>
    </row>
    <row r="3" spans="1:12" ht="26.25" customHeight="1">
      <c r="A3" s="1101"/>
      <c r="B3" s="1101"/>
      <c r="C3" s="1101"/>
      <c r="D3" s="1101"/>
      <c r="E3" s="1101"/>
      <c r="F3" s="1101"/>
      <c r="G3" s="2"/>
      <c r="H3" s="2"/>
    </row>
    <row r="4" spans="1:12" s="4" customFormat="1" ht="64.5" customHeight="1">
      <c r="A4" s="1102"/>
      <c r="B4" s="1102"/>
      <c r="C4" s="1102"/>
      <c r="D4" s="1102"/>
      <c r="E4" s="1102"/>
      <c r="F4" s="1102"/>
      <c r="G4" s="3"/>
      <c r="H4" s="3"/>
    </row>
    <row r="5" spans="1:12" ht="20.25">
      <c r="A5" s="1103" t="s">
        <v>1</v>
      </c>
      <c r="B5" s="1103"/>
      <c r="C5" s="1103"/>
      <c r="D5" s="1103"/>
      <c r="E5" s="1103"/>
      <c r="F5" s="1103"/>
    </row>
    <row r="6" spans="1:12" ht="20.25">
      <c r="A6" s="21"/>
      <c r="B6" s="20"/>
      <c r="C6" s="22"/>
      <c r="D6" s="21"/>
      <c r="E6" s="21"/>
      <c r="F6" s="21"/>
    </row>
    <row r="7" spans="1:12" ht="20.25">
      <c r="A7" s="1103" t="s">
        <v>2</v>
      </c>
      <c r="B7" s="1103"/>
      <c r="C7" s="1103"/>
      <c r="D7" s="1103"/>
      <c r="E7" s="1103"/>
      <c r="F7" s="1103"/>
    </row>
    <row r="8" spans="1:12" ht="20.25" customHeight="1">
      <c r="A8" s="1099" t="s">
        <v>3</v>
      </c>
      <c r="B8" s="1099"/>
      <c r="C8" s="1099"/>
      <c r="D8" s="1099"/>
      <c r="E8" s="1099"/>
      <c r="F8" s="1099"/>
    </row>
    <row r="9" spans="1:12" ht="23.25" customHeight="1">
      <c r="A9" s="1103" t="s">
        <v>4</v>
      </c>
      <c r="B9" s="1103"/>
      <c r="C9" s="1103"/>
      <c r="D9" s="1103"/>
      <c r="E9" s="1103"/>
      <c r="F9" s="1103"/>
    </row>
    <row r="10" spans="1:12" ht="20.25">
      <c r="A10" s="21"/>
      <c r="B10" s="20"/>
      <c r="C10" s="22"/>
      <c r="D10" s="21"/>
      <c r="E10" s="21"/>
      <c r="F10" s="21"/>
    </row>
    <row r="11" spans="1:12" ht="20.25">
      <c r="A11" s="1103" t="s">
        <v>5</v>
      </c>
      <c r="B11" s="1103"/>
      <c r="C11" s="1103"/>
      <c r="D11" s="1103"/>
      <c r="E11" s="1103"/>
      <c r="F11" s="1103"/>
    </row>
    <row r="12" spans="1:12" ht="44.25" customHeight="1">
      <c r="A12" s="21"/>
      <c r="B12" s="23"/>
      <c r="C12" s="21"/>
      <c r="D12" s="21"/>
      <c r="E12" s="21"/>
      <c r="F12" s="21"/>
    </row>
    <row r="13" spans="1:12" ht="15.75">
      <c r="A13" s="1107" t="s">
        <v>6</v>
      </c>
      <c r="B13" s="1107"/>
      <c r="C13" s="1107"/>
      <c r="D13" s="19">
        <v>2011</v>
      </c>
      <c r="E13" s="5"/>
    </row>
    <row r="14" spans="1:12" ht="15.75">
      <c r="A14" s="815"/>
      <c r="B14" s="815"/>
      <c r="C14" s="815"/>
      <c r="D14" s="271"/>
      <c r="E14" s="5"/>
    </row>
    <row r="15" spans="1:12" ht="15.75">
      <c r="A15" s="815"/>
      <c r="B15" s="815"/>
      <c r="C15" s="815"/>
      <c r="D15" s="271"/>
      <c r="E15" s="5"/>
    </row>
    <row r="16" spans="1:12" s="816" customFormat="1" ht="53.25" customHeight="1" thickBot="1">
      <c r="A16" s="1108" t="s">
        <v>7</v>
      </c>
      <c r="B16" s="1108"/>
      <c r="C16" s="1108"/>
      <c r="D16" s="1108"/>
      <c r="E16" s="1108"/>
      <c r="F16" s="6"/>
      <c r="G16" s="6"/>
      <c r="H16" s="6"/>
      <c r="I16" s="6"/>
      <c r="J16" s="7"/>
      <c r="K16" s="7"/>
      <c r="L16" s="7"/>
    </row>
    <row r="17" spans="1:11" s="816" customFormat="1" ht="18.75" thickBot="1">
      <c r="B17" s="8" t="s">
        <v>826</v>
      </c>
      <c r="C17" s="9" t="s">
        <v>8</v>
      </c>
      <c r="D17" s="10"/>
      <c r="E17" s="1"/>
      <c r="F17" s="1"/>
      <c r="G17" s="1"/>
      <c r="H17" s="1"/>
      <c r="I17" s="1"/>
      <c r="J17" s="1"/>
      <c r="K17" s="1"/>
    </row>
    <row r="18" spans="1:11" s="816" customFormat="1" ht="15.75" thickBot="1">
      <c r="B18" s="272"/>
      <c r="C18" s="11"/>
      <c r="D18" s="12"/>
      <c r="E18" s="1"/>
      <c r="F18" s="1"/>
      <c r="G18" s="1"/>
      <c r="H18" s="1"/>
      <c r="I18" s="1"/>
      <c r="J18" s="1"/>
      <c r="K18" s="1"/>
    </row>
    <row r="19" spans="1:11" s="816" customFormat="1" ht="18.75" thickBot="1">
      <c r="B19" s="8" t="s">
        <v>826</v>
      </c>
      <c r="C19" s="9" t="s">
        <v>9</v>
      </c>
      <c r="D19" s="10"/>
      <c r="E19" s="1"/>
      <c r="F19" s="1"/>
      <c r="G19" s="1"/>
      <c r="H19" s="1"/>
      <c r="I19" s="1"/>
      <c r="J19" s="1"/>
      <c r="K19" s="1"/>
    </row>
    <row r="20" spans="1:11" ht="15.75">
      <c r="A20" s="815" t="s">
        <v>10</v>
      </c>
      <c r="B20" s="815"/>
      <c r="C20" s="815"/>
      <c r="D20" s="271"/>
      <c r="E20" s="5"/>
    </row>
    <row r="21" spans="1:11" ht="15.75">
      <c r="A21" s="13" t="s">
        <v>11</v>
      </c>
      <c r="C21" s="14"/>
      <c r="D21" s="14"/>
      <c r="E21" s="5"/>
    </row>
    <row r="22" spans="1:11" ht="16.5" thickBot="1">
      <c r="B22" s="5"/>
      <c r="C22" s="815"/>
      <c r="D22" s="5"/>
      <c r="E22" s="5"/>
    </row>
    <row r="23" spans="1:11" ht="18.75" thickBot="1">
      <c r="B23" s="8" t="s">
        <v>826</v>
      </c>
      <c r="C23" s="15" t="s">
        <v>12</v>
      </c>
    </row>
    <row r="24" spans="1:11" ht="15.75" thickBot="1">
      <c r="A24" s="1109"/>
      <c r="B24" s="1109"/>
      <c r="C24" s="1109"/>
    </row>
    <row r="25" spans="1:11" ht="19.5" customHeight="1" thickBot="1">
      <c r="B25" s="8"/>
      <c r="C25" s="1110" t="s">
        <v>722</v>
      </c>
      <c r="D25" s="1110"/>
      <c r="E25" s="1110"/>
      <c r="F25" s="1110"/>
    </row>
    <row r="26" spans="1:11" ht="58.5" customHeight="1">
      <c r="A26" s="816"/>
      <c r="B26" s="16"/>
      <c r="C26" s="1110"/>
      <c r="D26" s="1110"/>
      <c r="E26" s="1110"/>
      <c r="F26" s="1110"/>
    </row>
    <row r="27" spans="1:11" s="17" customFormat="1" ht="32.25" customHeight="1">
      <c r="A27" s="702"/>
      <c r="B27" s="703"/>
      <c r="C27" s="704"/>
      <c r="F27" s="704"/>
    </row>
    <row r="28" spans="1:11" s="17" customFormat="1" ht="18">
      <c r="A28" s="21"/>
      <c r="B28" s="21"/>
      <c r="C28" s="21"/>
      <c r="D28" s="1104"/>
      <c r="E28" s="1105"/>
      <c r="F28" s="21"/>
    </row>
    <row r="29" spans="1:11" s="21" customFormat="1">
      <c r="A29" s="21" t="s">
        <v>825</v>
      </c>
      <c r="D29" s="1106" t="s">
        <v>13</v>
      </c>
      <c r="E29" s="1106"/>
    </row>
    <row r="30" spans="1:11" s="17" customFormat="1" ht="6" customHeight="1"/>
    <row r="31" spans="1:11" s="17" customFormat="1"/>
    <row r="32" spans="1:11" s="17" customFormat="1"/>
    <row r="33" s="17" customFormat="1"/>
    <row r="77" spans="4:4">
      <c r="D77" s="1" t="s">
        <v>14</v>
      </c>
    </row>
    <row r="78" spans="4:4">
      <c r="D78" s="1" t="s">
        <v>15</v>
      </c>
    </row>
  </sheetData>
  <sheetProtection password="C0F1" sheet="1" objects="1" scenarios="1"/>
  <mergeCells count="14">
    <mergeCell ref="D28:E28"/>
    <mergeCell ref="D29:E29"/>
    <mergeCell ref="A9:F9"/>
    <mergeCell ref="A11:F11"/>
    <mergeCell ref="A13:C13"/>
    <mergeCell ref="A16:E16"/>
    <mergeCell ref="A24:C24"/>
    <mergeCell ref="C25:F26"/>
    <mergeCell ref="A8:F8"/>
    <mergeCell ref="A1:F1"/>
    <mergeCell ref="A2:F3"/>
    <mergeCell ref="A4:F4"/>
    <mergeCell ref="A5:F5"/>
    <mergeCell ref="A7:F7"/>
  </mergeCells>
  <conditionalFormatting sqref="B17 B19">
    <cfRule type="duplicateValues" dxfId="11" priority="7" stopIfTrue="1"/>
    <cfRule type="duplicateValues" dxfId="10" priority="8" stopIfTrue="1"/>
  </conditionalFormatting>
  <conditionalFormatting sqref="B23 B25">
    <cfRule type="duplicateValues" dxfId="9" priority="5" stopIfTrue="1"/>
    <cfRule type="duplicateValues" dxfId="8" priority="6" stopIfTrue="1"/>
  </conditionalFormatting>
  <conditionalFormatting sqref="B17 B19">
    <cfRule type="duplicateValues" dxfId="7" priority="3" stopIfTrue="1"/>
    <cfRule type="duplicateValues" dxfId="6" priority="4" stopIfTrue="1"/>
  </conditionalFormatting>
  <conditionalFormatting sqref="B23 B25">
    <cfRule type="duplicateValues" dxfId="5" priority="1" stopIfTrue="1"/>
    <cfRule type="duplicateValues" dxfId="4" priority="2" stopIfTrue="1"/>
  </conditionalFormatting>
  <dataValidations count="1">
    <dataValidation type="list" allowBlank="1" showInputMessage="1" prompt="This field is to be used when filed under seal." sqref="D28:E28">
      <formula1>$D$76:$D$79</formula1>
    </dataValidation>
  </dataValidations>
  <printOptions horizontalCentered="1"/>
  <pageMargins left="0.05" right="0.05" top="0.75" bottom="0.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showGridLines="0" showWhiteSpace="0" zoomScaleNormal="100" zoomScaleSheetLayoutView="100" workbookViewId="0">
      <selection activeCell="G46" sqref="G46"/>
    </sheetView>
  </sheetViews>
  <sheetFormatPr defaultColWidth="2.7109375" defaultRowHeight="12.75"/>
  <cols>
    <col min="1" max="1" width="2.7109375" style="117" bestFit="1" customWidth="1"/>
    <col min="2" max="2" width="3.5703125" style="21" customWidth="1"/>
    <col min="3" max="3" width="21.28515625" style="21" customWidth="1"/>
    <col min="4" max="4" width="20.28515625" style="21" customWidth="1"/>
    <col min="5" max="5" width="3.7109375" style="21" customWidth="1"/>
    <col min="6" max="6" width="10.7109375" style="21" customWidth="1"/>
    <col min="7" max="7" width="15.7109375" style="21" customWidth="1"/>
    <col min="8" max="8" width="14" style="21" customWidth="1"/>
    <col min="9" max="255" width="9.140625" style="21" customWidth="1"/>
    <col min="256" max="256" width="2.7109375" style="21" bestFit="1"/>
    <col min="257" max="16384" width="2.7109375" style="21"/>
  </cols>
  <sheetData>
    <row r="1" spans="1:11">
      <c r="A1" s="117">
        <v>1</v>
      </c>
      <c r="C1" s="57"/>
      <c r="D1" s="57"/>
      <c r="E1" s="57"/>
      <c r="F1" s="57"/>
      <c r="G1" s="285" t="s">
        <v>149</v>
      </c>
      <c r="H1" s="303">
        <f>IF(Cover!D13&gt;0, Cover!D13, "")</f>
        <v>2011</v>
      </c>
    </row>
    <row r="2" spans="1:11">
      <c r="A2" s="117">
        <v>2</v>
      </c>
      <c r="C2" s="285" t="s">
        <v>150</v>
      </c>
      <c r="D2" s="1166" t="str">
        <f>IF(Cover!A1&gt;0, Cover!A1, "")</f>
        <v>Algonquin Water Resources of Missouri, LLC dba Liberty Utilities</v>
      </c>
      <c r="E2" s="1166"/>
      <c r="F2" s="1166"/>
      <c r="G2" s="1166"/>
      <c r="H2" s="1166"/>
    </row>
    <row r="3" spans="1:11" ht="6.75" customHeight="1">
      <c r="B3" s="1170"/>
      <c r="C3" s="1170"/>
      <c r="D3" s="1170"/>
      <c r="E3" s="1170"/>
      <c r="F3" s="1170"/>
      <c r="G3" s="1170"/>
      <c r="H3" s="1170"/>
    </row>
    <row r="4" spans="1:11" ht="13.5" thickBot="1">
      <c r="B4" s="1171" t="s">
        <v>191</v>
      </c>
      <c r="C4" s="1171"/>
      <c r="D4" s="1171"/>
      <c r="E4" s="1171"/>
      <c r="F4" s="1171"/>
      <c r="G4" s="1171"/>
      <c r="H4" s="1171"/>
    </row>
    <row r="5" spans="1:11" ht="56.25" customHeight="1" thickBot="1">
      <c r="B5" s="1156" t="s">
        <v>190</v>
      </c>
      <c r="C5" s="1157"/>
      <c r="D5" s="1158"/>
      <c r="E5" s="1177" t="s">
        <v>717</v>
      </c>
      <c r="F5" s="1178"/>
      <c r="G5" s="305" t="s">
        <v>718</v>
      </c>
      <c r="H5" s="306" t="s">
        <v>189</v>
      </c>
    </row>
    <row r="6" spans="1:11">
      <c r="A6" s="117">
        <v>3</v>
      </c>
      <c r="B6" s="1173" t="s">
        <v>1058</v>
      </c>
      <c r="C6" s="1174"/>
      <c r="D6" s="1174"/>
      <c r="E6" s="1175">
        <v>0</v>
      </c>
      <c r="F6" s="1176"/>
      <c r="G6" s="91">
        <v>0</v>
      </c>
      <c r="H6" s="88">
        <v>0</v>
      </c>
    </row>
    <row r="7" spans="1:11">
      <c r="A7" s="117">
        <v>4</v>
      </c>
      <c r="B7" s="1173"/>
      <c r="C7" s="1174"/>
      <c r="D7" s="1174"/>
      <c r="E7" s="1175"/>
      <c r="F7" s="1176"/>
      <c r="G7" s="91"/>
      <c r="H7" s="88"/>
    </row>
    <row r="8" spans="1:11">
      <c r="A8" s="117">
        <v>5</v>
      </c>
      <c r="B8" s="1173"/>
      <c r="C8" s="1174"/>
      <c r="D8" s="1174"/>
      <c r="E8" s="1175"/>
      <c r="F8" s="1176"/>
      <c r="G8" s="91"/>
      <c r="H8" s="88"/>
    </row>
    <row r="9" spans="1:11">
      <c r="A9" s="117">
        <v>6</v>
      </c>
      <c r="B9" s="1173"/>
      <c r="C9" s="1174"/>
      <c r="D9" s="1174"/>
      <c r="E9" s="1175"/>
      <c r="F9" s="1176"/>
      <c r="G9" s="91"/>
      <c r="H9" s="88"/>
    </row>
    <row r="10" spans="1:11" ht="13.5" thickBot="1">
      <c r="A10" s="117">
        <v>7</v>
      </c>
      <c r="B10" s="1167"/>
      <c r="C10" s="1168"/>
      <c r="D10" s="1168"/>
      <c r="E10" s="1179"/>
      <c r="F10" s="1180"/>
      <c r="G10" s="90"/>
      <c r="H10" s="89"/>
    </row>
    <row r="11" spans="1:11">
      <c r="B11" s="1181"/>
      <c r="C11" s="1181"/>
      <c r="D11" s="1181"/>
      <c r="E11" s="1181"/>
      <c r="F11" s="1181"/>
      <c r="G11" s="1181"/>
      <c r="H11" s="1181"/>
    </row>
    <row r="12" spans="1:11">
      <c r="B12" s="1171" t="s">
        <v>188</v>
      </c>
      <c r="C12" s="1171"/>
      <c r="D12" s="1171"/>
      <c r="E12" s="1171"/>
      <c r="F12" s="1171"/>
      <c r="G12" s="1171"/>
      <c r="H12" s="1171"/>
      <c r="I12" s="308"/>
      <c r="J12" s="308"/>
      <c r="K12" s="308"/>
    </row>
    <row r="13" spans="1:11" ht="56.25" customHeight="1">
      <c r="B13" s="1172" t="s">
        <v>187</v>
      </c>
      <c r="C13" s="1172"/>
      <c r="D13" s="1172"/>
      <c r="E13" s="1172"/>
      <c r="F13" s="1172"/>
      <c r="G13" s="1172"/>
      <c r="H13" s="1172"/>
    </row>
    <row r="14" spans="1:11" ht="4.5" customHeight="1" thickBot="1">
      <c r="B14" s="1170"/>
      <c r="C14" s="1170"/>
      <c r="D14" s="1170"/>
      <c r="E14" s="1170"/>
      <c r="F14" s="1170"/>
      <c r="G14" s="1170"/>
      <c r="H14" s="1170"/>
    </row>
    <row r="15" spans="1:11" ht="39" thickBot="1">
      <c r="B15" s="1156" t="s">
        <v>186</v>
      </c>
      <c r="C15" s="1157"/>
      <c r="D15" s="1157"/>
      <c r="E15" s="1157"/>
      <c r="F15" s="1157"/>
      <c r="G15" s="1158"/>
      <c r="H15" s="306" t="s">
        <v>185</v>
      </c>
    </row>
    <row r="16" spans="1:11">
      <c r="A16" s="117">
        <v>8</v>
      </c>
      <c r="B16" s="1162" t="s">
        <v>842</v>
      </c>
      <c r="C16" s="1163"/>
      <c r="D16" s="1163"/>
      <c r="E16" s="1163"/>
      <c r="F16" s="1163"/>
      <c r="G16" s="1164"/>
      <c r="H16" s="88">
        <v>1</v>
      </c>
    </row>
    <row r="17" spans="1:8">
      <c r="A17" s="117">
        <v>9</v>
      </c>
      <c r="B17" s="1162" t="s">
        <v>843</v>
      </c>
      <c r="C17" s="1163"/>
      <c r="D17" s="1163"/>
      <c r="E17" s="1163"/>
      <c r="F17" s="1163"/>
      <c r="G17" s="1164"/>
      <c r="H17" s="88">
        <v>1</v>
      </c>
    </row>
    <row r="18" spans="1:8">
      <c r="A18" s="117">
        <v>10</v>
      </c>
      <c r="B18" s="1162" t="s">
        <v>844</v>
      </c>
      <c r="C18" s="1163"/>
      <c r="D18" s="1163"/>
      <c r="E18" s="1163"/>
      <c r="F18" s="1163"/>
      <c r="G18" s="1164"/>
      <c r="H18" s="88">
        <v>1</v>
      </c>
    </row>
    <row r="19" spans="1:8">
      <c r="A19" s="117">
        <v>11</v>
      </c>
      <c r="B19" s="1162" t="s">
        <v>845</v>
      </c>
      <c r="C19" s="1163"/>
      <c r="D19" s="1163"/>
      <c r="E19" s="1163"/>
      <c r="F19" s="1163"/>
      <c r="G19" s="1164"/>
      <c r="H19" s="88">
        <v>1</v>
      </c>
    </row>
    <row r="20" spans="1:8">
      <c r="A20" s="117">
        <v>12</v>
      </c>
      <c r="B20" s="1162"/>
      <c r="C20" s="1163"/>
      <c r="D20" s="1163"/>
      <c r="E20" s="1163"/>
      <c r="F20" s="1163"/>
      <c r="G20" s="1164"/>
      <c r="H20" s="88"/>
    </row>
    <row r="21" spans="1:8">
      <c r="A21" s="117">
        <v>13</v>
      </c>
      <c r="B21" s="1162"/>
      <c r="C21" s="1163"/>
      <c r="D21" s="1163"/>
      <c r="E21" s="1163"/>
      <c r="F21" s="1163"/>
      <c r="G21" s="1164"/>
      <c r="H21" s="88"/>
    </row>
    <row r="22" spans="1:8">
      <c r="A22" s="117">
        <v>14</v>
      </c>
      <c r="B22" s="1162"/>
      <c r="C22" s="1163"/>
      <c r="D22" s="1163"/>
      <c r="E22" s="1163"/>
      <c r="F22" s="1163"/>
      <c r="G22" s="1164"/>
      <c r="H22" s="88"/>
    </row>
    <row r="23" spans="1:8" ht="13.5" thickBot="1">
      <c r="A23" s="117">
        <v>15</v>
      </c>
      <c r="B23" s="1167"/>
      <c r="C23" s="1168"/>
      <c r="D23" s="1168"/>
      <c r="E23" s="1168"/>
      <c r="F23" s="1168"/>
      <c r="G23" s="1169"/>
      <c r="H23" s="217"/>
    </row>
    <row r="24" spans="1:8">
      <c r="A24" s="117">
        <v>16</v>
      </c>
      <c r="B24" s="307" t="s">
        <v>184</v>
      </c>
      <c r="C24" s="57"/>
      <c r="D24" s="57"/>
      <c r="E24" s="57"/>
      <c r="F24" s="57"/>
      <c r="G24" s="309"/>
      <c r="H24" s="310">
        <f>IF(SUM(H16:H23)&gt;0, SUM(H16:H23), "")</f>
        <v>4</v>
      </c>
    </row>
    <row r="25" spans="1:8">
      <c r="A25" s="117">
        <v>17</v>
      </c>
      <c r="B25" s="57" t="s">
        <v>183</v>
      </c>
      <c r="C25" s="57"/>
      <c r="D25" s="57"/>
      <c r="E25" s="57"/>
      <c r="F25" s="57"/>
      <c r="G25" s="309"/>
      <c r="H25" s="218"/>
    </row>
    <row r="26" spans="1:8" ht="7.5" customHeight="1">
      <c r="C26" s="57"/>
      <c r="D26" s="57"/>
      <c r="E26" s="57"/>
      <c r="F26" s="57"/>
      <c r="G26" s="57"/>
      <c r="H26" s="57"/>
    </row>
    <row r="27" spans="1:8" ht="25.5" customHeight="1">
      <c r="B27" s="1165" t="s">
        <v>182</v>
      </c>
      <c r="C27" s="1165"/>
      <c r="D27" s="1165"/>
      <c r="E27" s="1165"/>
      <c r="F27" s="1165"/>
      <c r="G27" s="1165"/>
      <c r="H27" s="1165"/>
    </row>
    <row r="28" spans="1:8" s="311" customFormat="1" ht="15.75" thickBot="1">
      <c r="B28" s="1159" t="s">
        <v>181</v>
      </c>
      <c r="C28" s="1159"/>
      <c r="D28" s="1159"/>
      <c r="F28" s="1159" t="s">
        <v>776</v>
      </c>
      <c r="G28" s="1159"/>
      <c r="H28" s="1159"/>
    </row>
    <row r="29" spans="1:8" s="311" customFormat="1" ht="15">
      <c r="A29" s="117">
        <v>18</v>
      </c>
      <c r="B29" s="1160" t="s">
        <v>839</v>
      </c>
      <c r="C29" s="1160"/>
      <c r="D29" s="1160"/>
      <c r="F29" s="1143" t="s">
        <v>842</v>
      </c>
      <c r="G29" s="1143"/>
      <c r="H29" s="1143"/>
    </row>
    <row r="30" spans="1:8" s="311" customFormat="1" ht="15">
      <c r="A30" s="117">
        <v>19</v>
      </c>
      <c r="B30" s="1161" t="s">
        <v>839</v>
      </c>
      <c r="C30" s="1161"/>
      <c r="D30" s="1161"/>
      <c r="F30" s="1143" t="s">
        <v>843</v>
      </c>
      <c r="G30" s="1143"/>
      <c r="H30" s="1143"/>
    </row>
    <row r="31" spans="1:8" s="311" customFormat="1" ht="15">
      <c r="A31" s="117">
        <v>20</v>
      </c>
      <c r="B31" s="1161" t="s">
        <v>840</v>
      </c>
      <c r="C31" s="1161"/>
      <c r="D31" s="1161"/>
      <c r="F31" s="1143" t="s">
        <v>844</v>
      </c>
      <c r="G31" s="1143"/>
      <c r="H31" s="1143"/>
    </row>
    <row r="32" spans="1:8" s="311" customFormat="1" ht="15">
      <c r="A32" s="117">
        <v>21</v>
      </c>
      <c r="B32" s="1161" t="s">
        <v>841</v>
      </c>
      <c r="C32" s="1161"/>
      <c r="D32" s="1161"/>
      <c r="F32" s="1143" t="s">
        <v>845</v>
      </c>
      <c r="G32" s="1143"/>
      <c r="H32" s="1143"/>
    </row>
    <row r="33" spans="1:8">
      <c r="A33" s="117">
        <v>22</v>
      </c>
      <c r="B33" s="1161"/>
      <c r="C33" s="1161"/>
      <c r="D33" s="1161"/>
      <c r="F33" s="1143"/>
      <c r="G33" s="1143"/>
      <c r="H33" s="1143"/>
    </row>
    <row r="34" spans="1:8" s="311" customFormat="1" ht="15">
      <c r="A34" s="117">
        <v>23</v>
      </c>
      <c r="B34" s="1161"/>
      <c r="C34" s="1161"/>
      <c r="D34" s="1161"/>
      <c r="F34" s="1143"/>
      <c r="G34" s="1143"/>
      <c r="H34" s="1143"/>
    </row>
    <row r="35" spans="1:8" ht="8.25" customHeight="1">
      <c r="B35" s="57"/>
      <c r="C35" s="57"/>
      <c r="D35" s="57"/>
      <c r="E35" s="57"/>
      <c r="F35" s="57"/>
      <c r="G35" s="57"/>
      <c r="H35" s="57"/>
    </row>
    <row r="36" spans="1:8">
      <c r="B36" s="69" t="s">
        <v>180</v>
      </c>
    </row>
    <row r="37" spans="1:8">
      <c r="A37" s="117">
        <v>27</v>
      </c>
      <c r="B37" s="87" t="s">
        <v>826</v>
      </c>
      <c r="C37" s="312" t="s">
        <v>179</v>
      </c>
      <c r="E37" s="87" t="s">
        <v>826</v>
      </c>
      <c r="F37" s="312" t="s">
        <v>178</v>
      </c>
      <c r="G37" s="68"/>
    </row>
    <row r="38" spans="1:8" ht="8.1" customHeight="1">
      <c r="A38" s="61"/>
      <c r="B38" s="61"/>
      <c r="C38" s="312"/>
      <c r="E38" s="61"/>
      <c r="F38" s="61"/>
      <c r="G38" s="313"/>
    </row>
    <row r="39" spans="1:8">
      <c r="A39" s="117">
        <v>28</v>
      </c>
      <c r="B39" s="87" t="s">
        <v>826</v>
      </c>
      <c r="C39" s="312" t="s">
        <v>177</v>
      </c>
      <c r="E39" s="87" t="s">
        <v>826</v>
      </c>
      <c r="F39" s="312" t="s">
        <v>176</v>
      </c>
      <c r="G39" s="68"/>
    </row>
    <row r="40" spans="1:8" ht="8.1" customHeight="1">
      <c r="B40" s="61"/>
      <c r="C40" s="312"/>
      <c r="E40" s="61"/>
      <c r="F40" s="312"/>
      <c r="G40" s="68"/>
    </row>
    <row r="41" spans="1:8">
      <c r="A41" s="117">
        <v>29</v>
      </c>
      <c r="B41" s="314" t="s">
        <v>537</v>
      </c>
      <c r="D41" s="241" t="s">
        <v>1194</v>
      </c>
      <c r="E41" s="748" t="s">
        <v>778</v>
      </c>
      <c r="F41" s="61"/>
      <c r="G41" s="68"/>
    </row>
    <row r="42" spans="1:8">
      <c r="A42" s="117">
        <v>30</v>
      </c>
      <c r="B42" s="68" t="s">
        <v>538</v>
      </c>
      <c r="D42" s="241"/>
      <c r="E42" s="61"/>
      <c r="F42" s="61"/>
      <c r="G42" s="68"/>
    </row>
    <row r="43" spans="1:8">
      <c r="A43" s="117">
        <v>31</v>
      </c>
      <c r="B43" s="68" t="s">
        <v>539</v>
      </c>
      <c r="D43" s="241"/>
      <c r="E43" s="61"/>
      <c r="F43" s="61"/>
      <c r="G43" s="68"/>
    </row>
    <row r="44" spans="1:8" ht="8.1" customHeight="1">
      <c r="B44" s="61"/>
      <c r="C44" s="61"/>
      <c r="D44" s="68"/>
      <c r="E44" s="61"/>
      <c r="F44" s="61"/>
      <c r="G44" s="68"/>
    </row>
    <row r="45" spans="1:8">
      <c r="A45" s="69"/>
      <c r="B45" s="69" t="s">
        <v>536</v>
      </c>
      <c r="C45" s="68"/>
      <c r="D45" s="68"/>
      <c r="E45" s="61"/>
      <c r="F45" s="61"/>
      <c r="G45" s="68"/>
    </row>
    <row r="46" spans="1:8">
      <c r="A46" s="117">
        <v>32</v>
      </c>
      <c r="B46" s="68" t="s">
        <v>716</v>
      </c>
      <c r="C46" s="285"/>
      <c r="D46" s="85" t="s">
        <v>846</v>
      </c>
      <c r="F46" s="285" t="s">
        <v>535</v>
      </c>
      <c r="G46" s="1068">
        <v>39174</v>
      </c>
    </row>
    <row r="47" spans="1:8">
      <c r="A47" s="117">
        <v>33</v>
      </c>
      <c r="B47" s="68" t="s">
        <v>657</v>
      </c>
      <c r="C47" s="285"/>
      <c r="D47" s="241" t="s">
        <v>846</v>
      </c>
      <c r="F47" s="285" t="s">
        <v>535</v>
      </c>
      <c r="G47" s="825">
        <v>39174</v>
      </c>
    </row>
    <row r="48" spans="1:8" s="17" customFormat="1" ht="8.1" customHeight="1">
      <c r="A48" s="92"/>
      <c r="B48" s="84"/>
      <c r="C48" s="58"/>
      <c r="D48" s="58"/>
      <c r="E48" s="83"/>
      <c r="F48" s="58"/>
      <c r="G48" s="82"/>
    </row>
    <row r="49" spans="1:8" s="17" customFormat="1" ht="18">
      <c r="A49" s="92"/>
      <c r="G49" s="1104"/>
      <c r="H49" s="1105"/>
    </row>
    <row r="50" spans="1:8" s="17" customFormat="1" ht="10.5" customHeight="1">
      <c r="A50" s="92"/>
      <c r="B50" s="276"/>
      <c r="C50" s="103" t="s">
        <v>713</v>
      </c>
      <c r="G50" s="18"/>
      <c r="H50" s="80" t="s">
        <v>13</v>
      </c>
    </row>
    <row r="51" spans="1:8" s="17" customFormat="1">
      <c r="A51" s="92"/>
    </row>
    <row r="52" spans="1:8" s="17" customFormat="1">
      <c r="A52" s="92"/>
    </row>
    <row r="75" spans="5:5">
      <c r="E75" s="21" t="s">
        <v>14</v>
      </c>
    </row>
    <row r="76" spans="5:5">
      <c r="E76" s="21" t="s">
        <v>15</v>
      </c>
    </row>
  </sheetData>
  <sheetProtection password="C0F1" sheet="1" formatCells="0" formatColumns="0" formatRows="0" insertColumns="0" insertRows="0"/>
  <customSheetViews>
    <customSheetView guid="{1F4AFEE5-5BDD-4100-B0E9-57B262CA123C}" scale="160" showPageBreaks="1" showGridLines="0" printArea="1" view="pageBreakPreview">
      <pageMargins left="0.5" right="0.5" top="0.75" bottom="0.5" header="0.3" footer="0.3"/>
      <printOptions horizontalCentered="1"/>
      <pageSetup scale="98" orientation="portrait" r:id="rId1"/>
      <headerFooter>
        <oddFooter>&amp;C&amp;A</oddFooter>
      </headerFooter>
    </customSheetView>
  </customSheetViews>
  <mergeCells count="44">
    <mergeCell ref="E10:F10"/>
    <mergeCell ref="B11:H11"/>
    <mergeCell ref="B12:H12"/>
    <mergeCell ref="B8:D8"/>
    <mergeCell ref="E8:F8"/>
    <mergeCell ref="B9:D9"/>
    <mergeCell ref="E9:F9"/>
    <mergeCell ref="B6:D6"/>
    <mergeCell ref="E6:F6"/>
    <mergeCell ref="B7:D7"/>
    <mergeCell ref="E7:F7"/>
    <mergeCell ref="E5:F5"/>
    <mergeCell ref="F34:H34"/>
    <mergeCell ref="D2:H2"/>
    <mergeCell ref="F29:H29"/>
    <mergeCell ref="F30:H30"/>
    <mergeCell ref="B22:G22"/>
    <mergeCell ref="B23:G23"/>
    <mergeCell ref="B19:G19"/>
    <mergeCell ref="B20:G20"/>
    <mergeCell ref="B21:G21"/>
    <mergeCell ref="B14:H14"/>
    <mergeCell ref="B10:D10"/>
    <mergeCell ref="F28:H28"/>
    <mergeCell ref="B3:H3"/>
    <mergeCell ref="B4:H4"/>
    <mergeCell ref="B5:D5"/>
    <mergeCell ref="B13:H13"/>
    <mergeCell ref="G49:H49"/>
    <mergeCell ref="B15:G15"/>
    <mergeCell ref="B28:D28"/>
    <mergeCell ref="B29:D29"/>
    <mergeCell ref="B30:D30"/>
    <mergeCell ref="B31:D31"/>
    <mergeCell ref="B16:G16"/>
    <mergeCell ref="B17:G17"/>
    <mergeCell ref="B18:G18"/>
    <mergeCell ref="F31:H31"/>
    <mergeCell ref="B32:D32"/>
    <mergeCell ref="B33:D33"/>
    <mergeCell ref="B34:D34"/>
    <mergeCell ref="B27:H27"/>
    <mergeCell ref="F32:H32"/>
    <mergeCell ref="F33:H33"/>
  </mergeCells>
  <dataValidations count="1">
    <dataValidation type="list" allowBlank="1" showInputMessage="1" prompt="This field is to be used when filing under seal." sqref="G49:H49">
      <formula1>$E$74:$E$77</formula1>
    </dataValidation>
  </dataValidations>
  <printOptions horizontalCentered="1"/>
  <pageMargins left="0.5" right="0.5" top="0.75" bottom="0.5" header="0.3" footer="0.3"/>
  <pageSetup scale="95"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activeCell="B28" sqref="B28"/>
    </sheetView>
  </sheetViews>
  <sheetFormatPr defaultRowHeight="15"/>
  <cols>
    <col min="1" max="1" width="15.42578125" bestFit="1" customWidth="1"/>
    <col min="2" max="2" width="15.140625" bestFit="1" customWidth="1"/>
  </cols>
  <sheetData>
    <row r="1" spans="1:2">
      <c r="A1" t="s">
        <v>1172</v>
      </c>
    </row>
    <row r="3" spans="1:2">
      <c r="B3" s="848" t="s">
        <v>1173</v>
      </c>
    </row>
    <row r="4" spans="1:2">
      <c r="B4" t="s">
        <v>1174</v>
      </c>
    </row>
    <row r="6" spans="1:2">
      <c r="B6" s="848" t="s">
        <v>1175</v>
      </c>
    </row>
    <row r="7" spans="1:2">
      <c r="B7" t="s">
        <v>1176</v>
      </c>
    </row>
    <row r="9" spans="1:2">
      <c r="B9" s="848" t="s">
        <v>1177</v>
      </c>
    </row>
    <row r="10" spans="1:2">
      <c r="B10" t="s">
        <v>1178</v>
      </c>
    </row>
    <row r="12" spans="1:2">
      <c r="B12" s="848" t="s">
        <v>1179</v>
      </c>
    </row>
    <row r="13" spans="1:2">
      <c r="B13" t="s">
        <v>1180</v>
      </c>
    </row>
    <row r="14" spans="1:2">
      <c r="B14" s="1042" t="s">
        <v>1181</v>
      </c>
    </row>
    <row r="15" spans="1:2">
      <c r="B15" s="1042" t="s">
        <v>1182</v>
      </c>
    </row>
    <row r="16" spans="1:2">
      <c r="B16" s="1042" t="s">
        <v>1183</v>
      </c>
    </row>
    <row r="17" spans="2:2">
      <c r="B17" s="1042" t="s">
        <v>1184</v>
      </c>
    </row>
    <row r="18" spans="2:2">
      <c r="B18" s="1042" t="s">
        <v>1185</v>
      </c>
    </row>
    <row r="20" spans="2:2">
      <c r="B20" s="848" t="s">
        <v>1186</v>
      </c>
    </row>
    <row r="21" spans="2:2">
      <c r="B21" t="s">
        <v>1187</v>
      </c>
    </row>
    <row r="22" spans="2:2">
      <c r="B22" t="s">
        <v>1188</v>
      </c>
    </row>
    <row r="23" spans="2:2">
      <c r="B23" t="s">
        <v>1189</v>
      </c>
    </row>
    <row r="24" spans="2:2">
      <c r="B24" t="s">
        <v>1190</v>
      </c>
    </row>
    <row r="25" spans="2:2">
      <c r="B25" t="s">
        <v>1191</v>
      </c>
    </row>
    <row r="26" spans="2:2">
      <c r="B26" t="s">
        <v>1192</v>
      </c>
    </row>
    <row r="27" spans="2:2">
      <c r="B27" t="s">
        <v>1193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zoomScaleNormal="100" zoomScaleSheetLayoutView="100" workbookViewId="0"/>
  </sheetViews>
  <sheetFormatPr defaultColWidth="10.7109375" defaultRowHeight="15"/>
  <cols>
    <col min="1" max="1" width="2.7109375" style="117" customWidth="1"/>
    <col min="2" max="2" width="14.140625" style="118" customWidth="1"/>
    <col min="3" max="3" width="57.85546875" style="118" customWidth="1"/>
    <col min="4" max="249" width="9.140625" style="118" customWidth="1"/>
    <col min="250" max="250" width="2.7109375" style="118" customWidth="1"/>
    <col min="251" max="252" width="9.140625" style="118" customWidth="1"/>
    <col min="253" max="16384" width="10.7109375" style="118"/>
  </cols>
  <sheetData>
    <row r="1" spans="1:4" s="21" customFormat="1" ht="12.75">
      <c r="A1" s="117">
        <v>1</v>
      </c>
      <c r="B1" s="1184" t="s">
        <v>149</v>
      </c>
      <c r="C1" s="1184"/>
      <c r="D1" s="303">
        <f>IF(Cover!D13&gt;0, Cover!D13, "")</f>
        <v>2011</v>
      </c>
    </row>
    <row r="2" spans="1:4" s="21" customFormat="1" ht="8.1" customHeight="1">
      <c r="A2" s="117"/>
      <c r="B2" s="1185" t="s">
        <v>150</v>
      </c>
      <c r="C2" s="1187" t="str">
        <f>IF(Cover!A1&gt;0, Cover!A1, "")</f>
        <v>Algonquin Water Resources of Missouri, LLC dba Liberty Utilities</v>
      </c>
      <c r="D2" s="1188"/>
    </row>
    <row r="3" spans="1:4" s="21" customFormat="1" ht="12.75">
      <c r="A3" s="117">
        <v>2</v>
      </c>
      <c r="B3" s="1186"/>
      <c r="C3" s="1189"/>
      <c r="D3" s="1189"/>
    </row>
    <row r="4" spans="1:4" ht="42.75" customHeight="1">
      <c r="B4" s="1190" t="s">
        <v>561</v>
      </c>
      <c r="C4" s="1190"/>
      <c r="D4" s="1190"/>
    </row>
    <row r="5" spans="1:4" ht="24" customHeight="1">
      <c r="A5" s="117">
        <v>3</v>
      </c>
      <c r="B5" s="1182" t="s">
        <v>1023</v>
      </c>
      <c r="C5" s="1182"/>
      <c r="D5" s="1182"/>
    </row>
    <row r="6" spans="1:4" ht="24" customHeight="1">
      <c r="A6" s="117">
        <v>4</v>
      </c>
      <c r="B6" s="1183"/>
      <c r="C6" s="1182"/>
      <c r="D6" s="1182"/>
    </row>
    <row r="7" spans="1:4" ht="24" customHeight="1">
      <c r="A7" s="117">
        <v>5</v>
      </c>
      <c r="B7" s="1182"/>
      <c r="C7" s="1182"/>
      <c r="D7" s="1182"/>
    </row>
    <row r="8" spans="1:4" ht="24" customHeight="1">
      <c r="A8" s="117">
        <v>6</v>
      </c>
      <c r="B8" s="1182"/>
      <c r="C8" s="1182"/>
      <c r="D8" s="1182"/>
    </row>
    <row r="9" spans="1:4" ht="24" customHeight="1">
      <c r="A9" s="117">
        <v>7</v>
      </c>
      <c r="B9" s="1182"/>
      <c r="C9" s="1182"/>
      <c r="D9" s="1182"/>
    </row>
    <row r="10" spans="1:4" ht="24" customHeight="1">
      <c r="A10" s="117">
        <v>8</v>
      </c>
      <c r="B10" s="1182"/>
      <c r="C10" s="1182"/>
      <c r="D10" s="1182"/>
    </row>
    <row r="11" spans="1:4" ht="24" customHeight="1">
      <c r="A11" s="117">
        <v>9</v>
      </c>
      <c r="B11" s="1182"/>
      <c r="C11" s="1182"/>
      <c r="D11" s="1182"/>
    </row>
    <row r="12" spans="1:4" ht="24" customHeight="1">
      <c r="A12" s="117">
        <v>10</v>
      </c>
      <c r="B12" s="1182"/>
      <c r="C12" s="1182"/>
      <c r="D12" s="1182"/>
    </row>
    <row r="13" spans="1:4" ht="24" customHeight="1">
      <c r="A13" s="117">
        <v>11</v>
      </c>
      <c r="B13" s="1182"/>
      <c r="C13" s="1182"/>
      <c r="D13" s="1182"/>
    </row>
    <row r="14" spans="1:4" ht="24" customHeight="1">
      <c r="A14" s="117">
        <v>12</v>
      </c>
      <c r="B14" s="1182"/>
      <c r="C14" s="1182"/>
      <c r="D14" s="1182"/>
    </row>
    <row r="15" spans="1:4" ht="24" customHeight="1">
      <c r="A15" s="117">
        <v>13</v>
      </c>
      <c r="B15" s="1182"/>
      <c r="C15" s="1182"/>
      <c r="D15" s="1182"/>
    </row>
    <row r="16" spans="1:4" ht="24" customHeight="1">
      <c r="A16" s="117">
        <v>14</v>
      </c>
      <c r="B16" s="1182"/>
      <c r="C16" s="1182"/>
      <c r="D16" s="1182"/>
    </row>
    <row r="17" spans="1:4" ht="24" customHeight="1">
      <c r="A17" s="117">
        <v>15</v>
      </c>
      <c r="B17" s="1182"/>
      <c r="C17" s="1182"/>
      <c r="D17" s="1182"/>
    </row>
    <row r="18" spans="1:4" ht="24" customHeight="1">
      <c r="A18" s="117">
        <v>16</v>
      </c>
      <c r="B18" s="1182"/>
      <c r="C18" s="1182"/>
      <c r="D18" s="1182"/>
    </row>
    <row r="19" spans="1:4" ht="24" customHeight="1">
      <c r="A19" s="117">
        <v>17</v>
      </c>
      <c r="B19" s="1182"/>
      <c r="C19" s="1182"/>
      <c r="D19" s="1182"/>
    </row>
    <row r="20" spans="1:4" ht="24" customHeight="1">
      <c r="A20" s="117">
        <v>18</v>
      </c>
      <c r="B20" s="1182"/>
      <c r="C20" s="1182"/>
      <c r="D20" s="1182"/>
    </row>
    <row r="21" spans="1:4" ht="24" customHeight="1">
      <c r="A21" s="117">
        <v>19</v>
      </c>
      <c r="B21" s="1182"/>
      <c r="C21" s="1182"/>
      <c r="D21" s="1182"/>
    </row>
    <row r="22" spans="1:4" ht="24" customHeight="1">
      <c r="A22" s="117">
        <v>20</v>
      </c>
      <c r="B22" s="1182"/>
      <c r="C22" s="1182"/>
      <c r="D22" s="1182"/>
    </row>
    <row r="23" spans="1:4" ht="24" customHeight="1">
      <c r="A23" s="117">
        <v>21</v>
      </c>
      <c r="B23" s="1182"/>
      <c r="C23" s="1182"/>
      <c r="D23" s="1182"/>
    </row>
    <row r="24" spans="1:4" ht="24" customHeight="1">
      <c r="A24" s="117">
        <v>22</v>
      </c>
      <c r="B24" s="1182"/>
      <c r="C24" s="1182"/>
      <c r="D24" s="1182"/>
    </row>
    <row r="25" spans="1:4" ht="24" customHeight="1">
      <c r="A25" s="117">
        <v>23</v>
      </c>
      <c r="B25" s="1182"/>
      <c r="C25" s="1182"/>
      <c r="D25" s="1182"/>
    </row>
    <row r="26" spans="1:4" ht="24" customHeight="1">
      <c r="A26" s="117">
        <v>24</v>
      </c>
      <c r="B26" s="1182"/>
      <c r="C26" s="1182"/>
      <c r="D26" s="1182"/>
    </row>
    <row r="27" spans="1:4" ht="24" customHeight="1">
      <c r="A27" s="117">
        <v>25</v>
      </c>
      <c r="B27" s="1182"/>
      <c r="C27" s="1182"/>
      <c r="D27" s="1182"/>
    </row>
    <row r="28" spans="1:4" ht="24" customHeight="1">
      <c r="A28" s="117">
        <v>27</v>
      </c>
      <c r="B28" s="1182"/>
      <c r="C28" s="1182"/>
      <c r="D28" s="1182"/>
    </row>
    <row r="29" spans="1:4" ht="24" customHeight="1">
      <c r="A29" s="117">
        <v>28</v>
      </c>
      <c r="B29" s="1182"/>
      <c r="C29" s="1182"/>
      <c r="D29" s="1182"/>
    </row>
    <row r="30" spans="1:4" ht="24" customHeight="1">
      <c r="A30" s="117">
        <v>29</v>
      </c>
      <c r="B30" s="1182"/>
      <c r="C30" s="1182"/>
      <c r="D30" s="1182"/>
    </row>
    <row r="31" spans="1:4" ht="24" customHeight="1">
      <c r="A31" s="117">
        <v>30</v>
      </c>
      <c r="B31" s="1182"/>
      <c r="C31" s="1182"/>
      <c r="D31" s="1182"/>
    </row>
    <row r="32" spans="1:4" s="93" customFormat="1">
      <c r="A32" s="92"/>
    </row>
    <row r="33" spans="1:1" s="93" customFormat="1">
      <c r="A33" s="92"/>
    </row>
    <row r="34" spans="1:1" s="93" customFormat="1">
      <c r="A34" s="92"/>
    </row>
    <row r="35" spans="1:1" s="93" customFormat="1">
      <c r="A35" s="92"/>
    </row>
    <row r="36" spans="1:1" s="93" customFormat="1">
      <c r="A36" s="92"/>
    </row>
  </sheetData>
  <sheetProtection password="C0F1" sheet="1" formatCells="0" formatColumns="0" formatRows="0" insertColumns="0" insertRows="0"/>
  <customSheetViews>
    <customSheetView guid="{1F4AFEE5-5BDD-4100-B0E9-57B262CA123C}" scale="130" showPageBreaks="1" showGridLines="0" view="pageBreakPreview">
      <selection activeCell="A7" sqref="A7"/>
      <pageMargins left="0.5" right="0.5" top="0.65" bottom="0.5" header="0.3" footer="0.3"/>
      <printOptions horizontalCentered="1"/>
      <pageSetup orientation="portrait" r:id="rId1"/>
      <headerFooter>
        <oddFooter>&amp;C&amp;A</oddFooter>
      </headerFooter>
    </customSheetView>
  </customSheetViews>
  <mergeCells count="31">
    <mergeCell ref="B1:C1"/>
    <mergeCell ref="B2:B3"/>
    <mergeCell ref="C2:D3"/>
    <mergeCell ref="B5:D5"/>
    <mergeCell ref="B4:D4"/>
    <mergeCell ref="B6:D6"/>
    <mergeCell ref="B7:D7"/>
    <mergeCell ref="B8:D8"/>
    <mergeCell ref="B9:D9"/>
    <mergeCell ref="B10:D10"/>
    <mergeCell ref="B11:D11"/>
    <mergeCell ref="B13:D13"/>
    <mergeCell ref="B16:D16"/>
    <mergeCell ref="B29:D29"/>
    <mergeCell ref="B23:D23"/>
    <mergeCell ref="B24:D24"/>
    <mergeCell ref="B25:D25"/>
    <mergeCell ref="B12:D12"/>
    <mergeCell ref="B27:D27"/>
    <mergeCell ref="B14:D14"/>
    <mergeCell ref="B15:D15"/>
    <mergeCell ref="B30:D30"/>
    <mergeCell ref="B31:D31"/>
    <mergeCell ref="B17:D17"/>
    <mergeCell ref="B18:D18"/>
    <mergeCell ref="B19:D19"/>
    <mergeCell ref="B20:D20"/>
    <mergeCell ref="B21:D21"/>
    <mergeCell ref="B28:D28"/>
    <mergeCell ref="B26:D26"/>
    <mergeCell ref="B22:D22"/>
  </mergeCells>
  <printOptions horizontalCentered="1"/>
  <pageMargins left="0.5" right="0.5" top="0.65" bottom="0.5" header="0.3" footer="0.3"/>
  <pageSetup orientation="portrait" r:id="rId2"/>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showGridLines="0" zoomScaleNormal="100" zoomScaleSheetLayoutView="100" workbookViewId="0">
      <selection activeCell="K27" sqref="K27"/>
    </sheetView>
  </sheetViews>
  <sheetFormatPr defaultColWidth="3.28515625" defaultRowHeight="15"/>
  <cols>
    <col min="1" max="1" width="2.7109375" style="117" bestFit="1" customWidth="1"/>
    <col min="2" max="2" width="14.5703125" style="57" customWidth="1"/>
    <col min="3" max="3" width="36.85546875" style="21" customWidth="1"/>
    <col min="4" max="4" width="18" style="21" customWidth="1"/>
    <col min="5" max="5" width="2.42578125" style="21" bestFit="1" customWidth="1"/>
    <col min="6" max="6" width="18" style="57" customWidth="1"/>
    <col min="7" max="7" width="2.42578125" style="316" bestFit="1" customWidth="1"/>
    <col min="8" max="252" width="9.140625" style="316" customWidth="1"/>
    <col min="253" max="16384" width="3.28515625" style="316"/>
  </cols>
  <sheetData>
    <row r="1" spans="1:7" s="21" customFormat="1" ht="12.75">
      <c r="A1" s="117">
        <v>1</v>
      </c>
      <c r="C1" s="57"/>
      <c r="D1" s="57"/>
      <c r="E1" s="285" t="s">
        <v>149</v>
      </c>
      <c r="F1" s="303">
        <f>IF(Cover!D13&gt;0, Cover!D13, "")</f>
        <v>2011</v>
      </c>
    </row>
    <row r="2" spans="1:7" s="21" customFormat="1" ht="12.75">
      <c r="A2" s="117"/>
      <c r="B2" s="1170"/>
      <c r="C2" s="1170"/>
      <c r="D2" s="1170"/>
      <c r="E2" s="1170"/>
      <c r="F2" s="1170"/>
    </row>
    <row r="3" spans="1:7" s="21" customFormat="1" ht="12.75">
      <c r="A3" s="117">
        <v>2</v>
      </c>
      <c r="B3" s="57" t="s">
        <v>150</v>
      </c>
      <c r="C3" s="1166" t="str">
        <f>IF(Cover!A1&gt;0, Cover!A1, "")</f>
        <v>Algonquin Water Resources of Missouri, LLC dba Liberty Utilities</v>
      </c>
      <c r="D3" s="1166"/>
      <c r="E3" s="1166"/>
      <c r="F3" s="1166"/>
    </row>
    <row r="4" spans="1:7">
      <c r="B4" s="1170"/>
      <c r="C4" s="1170"/>
      <c r="D4" s="1170"/>
      <c r="E4" s="1170"/>
      <c r="F4" s="1170"/>
    </row>
    <row r="5" spans="1:7">
      <c r="B5" s="1170" t="s">
        <v>192</v>
      </c>
      <c r="C5" s="1170"/>
      <c r="D5" s="1170"/>
      <c r="E5" s="1170"/>
      <c r="F5" s="1170"/>
    </row>
    <row r="6" spans="1:7" ht="8.25" customHeight="1">
      <c r="B6" s="1170"/>
      <c r="C6" s="1170"/>
      <c r="D6" s="1170"/>
      <c r="E6" s="1170"/>
      <c r="F6" s="1170"/>
    </row>
    <row r="7" spans="1:7" ht="42.75" customHeight="1">
      <c r="A7" s="1194" t="s">
        <v>562</v>
      </c>
      <c r="B7" s="1171"/>
      <c r="C7" s="1171"/>
      <c r="D7" s="1171"/>
      <c r="E7" s="1171"/>
      <c r="F7" s="1171"/>
      <c r="G7" s="1171"/>
    </row>
    <row r="8" spans="1:7" ht="8.25" customHeight="1" thickBot="1">
      <c r="B8" s="1195"/>
      <c r="C8" s="1195"/>
      <c r="D8" s="1195"/>
      <c r="E8" s="1195"/>
      <c r="F8" s="1195"/>
    </row>
    <row r="9" spans="1:7" ht="39" customHeight="1" thickBot="1">
      <c r="B9" s="1156" t="s">
        <v>541</v>
      </c>
      <c r="C9" s="1157"/>
      <c r="D9" s="1158"/>
      <c r="E9" s="317" t="s">
        <v>170</v>
      </c>
      <c r="F9" s="305" t="s">
        <v>274</v>
      </c>
      <c r="G9" s="318" t="s">
        <v>170</v>
      </c>
    </row>
    <row r="10" spans="1:7" ht="26.1" customHeight="1">
      <c r="A10" s="117">
        <v>3</v>
      </c>
      <c r="B10" s="319" t="s">
        <v>195</v>
      </c>
      <c r="C10" s="57"/>
      <c r="D10" s="57"/>
      <c r="E10" s="94"/>
      <c r="F10" s="320">
        <f>'Page W-5'!I59</f>
        <v>7167598.5200000005</v>
      </c>
      <c r="G10" s="94"/>
    </row>
    <row r="11" spans="1:7" ht="26.1" customHeight="1">
      <c r="A11" s="117">
        <v>4</v>
      </c>
      <c r="B11" s="321" t="s">
        <v>196</v>
      </c>
      <c r="C11" s="1196" t="s">
        <v>645</v>
      </c>
      <c r="D11" s="1197"/>
      <c r="E11" s="95"/>
      <c r="F11" s="320">
        <f>'Page W-6'!K59</f>
        <v>2926116.6517433333</v>
      </c>
      <c r="G11" s="95"/>
    </row>
    <row r="12" spans="1:7" ht="25.5" customHeight="1">
      <c r="A12" s="284">
        <v>5</v>
      </c>
      <c r="B12" s="1200" t="s">
        <v>197</v>
      </c>
      <c r="C12" s="1201"/>
      <c r="D12" s="1202"/>
      <c r="E12" s="94"/>
      <c r="F12" s="323">
        <f>SUM(F10-F11)</f>
        <v>4241481.8682566676</v>
      </c>
      <c r="G12" s="94"/>
    </row>
    <row r="13" spans="1:7" ht="26.1" customHeight="1">
      <c r="A13" s="117">
        <v>6</v>
      </c>
      <c r="B13" s="319" t="s">
        <v>198</v>
      </c>
      <c r="C13" s="57"/>
      <c r="D13" s="57"/>
      <c r="E13" s="94"/>
      <c r="F13" s="320">
        <f>'Page 11'!E30</f>
        <v>0</v>
      </c>
      <c r="G13" s="94"/>
    </row>
    <row r="14" spans="1:7" ht="26.1" customHeight="1">
      <c r="A14" s="117">
        <v>7</v>
      </c>
      <c r="B14" s="319" t="s">
        <v>199</v>
      </c>
      <c r="C14" s="57"/>
      <c r="D14" s="57"/>
      <c r="E14" s="94"/>
      <c r="F14" s="242">
        <v>-9047</v>
      </c>
      <c r="G14" s="94"/>
    </row>
    <row r="15" spans="1:7" ht="26.1" customHeight="1">
      <c r="A15" s="117">
        <v>8</v>
      </c>
      <c r="B15" s="319" t="s">
        <v>750</v>
      </c>
      <c r="C15" s="57"/>
      <c r="D15" s="57"/>
      <c r="E15" s="94"/>
      <c r="F15" s="242"/>
      <c r="G15" s="94"/>
    </row>
    <row r="16" spans="1:7" ht="26.1" customHeight="1">
      <c r="A16" s="117">
        <v>9</v>
      </c>
      <c r="B16" s="319" t="s">
        <v>200</v>
      </c>
      <c r="C16" s="57"/>
      <c r="D16" s="57"/>
      <c r="E16" s="94"/>
      <c r="F16" s="242">
        <f>-2246239+910248-150153.03+2557.03-2.33-84636.84+183528.19</f>
        <v>-1384697.9800000002</v>
      </c>
      <c r="G16" s="94"/>
    </row>
    <row r="17" spans="1:7" ht="26.1" customHeight="1">
      <c r="A17" s="117">
        <v>10</v>
      </c>
      <c r="B17" s="319" t="s">
        <v>201</v>
      </c>
      <c r="C17" s="57"/>
      <c r="D17" s="57"/>
      <c r="E17" s="94"/>
      <c r="F17" s="320">
        <f>'Page S-4'!I48</f>
        <v>2337179.7599999998</v>
      </c>
      <c r="G17" s="94"/>
    </row>
    <row r="18" spans="1:7" ht="26.1" customHeight="1">
      <c r="A18" s="117">
        <v>11</v>
      </c>
      <c r="B18" s="321" t="s">
        <v>196</v>
      </c>
      <c r="C18" s="1185" t="s">
        <v>646</v>
      </c>
      <c r="D18" s="1198"/>
      <c r="E18" s="94"/>
      <c r="F18" s="320">
        <f>'Page S-5'!K49</f>
        <v>1027672.3823666666</v>
      </c>
      <c r="G18" s="94"/>
    </row>
    <row r="19" spans="1:7" ht="26.1" customHeight="1">
      <c r="A19" s="284">
        <v>12</v>
      </c>
      <c r="B19" s="1200" t="s">
        <v>202</v>
      </c>
      <c r="C19" s="1201"/>
      <c r="D19" s="1202"/>
      <c r="E19" s="94"/>
      <c r="F19" s="323">
        <f>SUM(F17-F18)</f>
        <v>1309507.3776333332</v>
      </c>
      <c r="G19" s="94"/>
    </row>
    <row r="20" spans="1:7" ht="26.1" customHeight="1">
      <c r="A20" s="117">
        <v>13</v>
      </c>
      <c r="B20" s="319" t="s">
        <v>203</v>
      </c>
      <c r="C20" s="57"/>
      <c r="D20" s="57"/>
      <c r="E20" s="94"/>
      <c r="F20" s="320">
        <f>'Page 11'!G30</f>
        <v>0</v>
      </c>
      <c r="G20" s="94"/>
    </row>
    <row r="21" spans="1:7" ht="26.1" customHeight="1">
      <c r="A21" s="117">
        <v>14</v>
      </c>
      <c r="B21" s="319" t="s">
        <v>204</v>
      </c>
      <c r="C21" s="57"/>
      <c r="D21" s="57"/>
      <c r="E21" s="94"/>
      <c r="F21" s="242">
        <v>26014</v>
      </c>
      <c r="G21" s="94"/>
    </row>
    <row r="22" spans="1:7" ht="26.1" customHeight="1">
      <c r="A22" s="117">
        <v>15</v>
      </c>
      <c r="B22" s="319" t="s">
        <v>751</v>
      </c>
      <c r="C22" s="57"/>
      <c r="D22" s="57"/>
      <c r="E22" s="94"/>
      <c r="F22" s="242"/>
      <c r="G22" s="94"/>
    </row>
    <row r="23" spans="1:7" ht="26.1" customHeight="1">
      <c r="A23" s="117">
        <v>16</v>
      </c>
      <c r="B23" s="319" t="s">
        <v>205</v>
      </c>
      <c r="C23" s="57"/>
      <c r="D23" s="57"/>
      <c r="E23" s="94"/>
      <c r="F23" s="242">
        <f>-446657+299258-29442.2+10609.47</f>
        <v>-166231.73000000001</v>
      </c>
      <c r="G23" s="94"/>
    </row>
    <row r="24" spans="1:7" ht="26.1" customHeight="1">
      <c r="A24" s="117">
        <v>17</v>
      </c>
      <c r="B24" s="319" t="s">
        <v>752</v>
      </c>
      <c r="C24" s="57"/>
      <c r="D24" s="57"/>
      <c r="E24" s="94"/>
      <c r="F24" s="242"/>
      <c r="G24" s="94"/>
    </row>
    <row r="25" spans="1:7" ht="26.1" customHeight="1">
      <c r="A25" s="117">
        <v>18</v>
      </c>
      <c r="B25" s="319" t="s">
        <v>206</v>
      </c>
      <c r="C25" s="57"/>
      <c r="D25" s="57"/>
      <c r="E25" s="94"/>
      <c r="F25" s="242">
        <v>108089.07</v>
      </c>
      <c r="G25" s="94"/>
    </row>
    <row r="26" spans="1:7" ht="26.1" customHeight="1">
      <c r="A26" s="117">
        <v>19</v>
      </c>
      <c r="B26" s="319" t="s">
        <v>658</v>
      </c>
      <c r="C26" s="57"/>
      <c r="D26" s="57"/>
      <c r="E26" s="94"/>
      <c r="F26" s="242">
        <v>461352.28</v>
      </c>
      <c r="G26" s="94"/>
    </row>
    <row r="27" spans="1:7" ht="26.1" customHeight="1" thickBot="1">
      <c r="A27" s="117">
        <v>20</v>
      </c>
      <c r="B27" s="1192" t="s">
        <v>709</v>
      </c>
      <c r="C27" s="1193"/>
      <c r="D27" s="1193"/>
      <c r="E27" s="96"/>
      <c r="F27" s="325">
        <f>SUM(F12:F16)+SUM(F19:F26)</f>
        <v>4586467.8858900005</v>
      </c>
      <c r="G27" s="96"/>
    </row>
    <row r="28" spans="1:7" ht="41.25" customHeight="1">
      <c r="A28" s="326" t="s">
        <v>400</v>
      </c>
      <c r="B28" s="1199" t="s">
        <v>815</v>
      </c>
      <c r="C28" s="1199"/>
      <c r="D28" s="1199"/>
      <c r="E28" s="1199"/>
      <c r="F28" s="1199"/>
      <c r="G28" s="1199"/>
    </row>
    <row r="29" spans="1:7" s="244" customFormat="1" ht="18" customHeight="1">
      <c r="A29" s="274"/>
      <c r="B29" s="275" t="s">
        <v>712</v>
      </c>
      <c r="C29" s="226"/>
      <c r="D29" s="1104"/>
      <c r="E29" s="1191"/>
      <c r="F29" s="1191"/>
      <c r="G29" s="243"/>
    </row>
    <row r="30" spans="1:7" s="244" customFormat="1" ht="12" customHeight="1">
      <c r="A30" s="276"/>
      <c r="B30" s="277" t="s">
        <v>713</v>
      </c>
      <c r="C30" s="277"/>
      <c r="E30" s="101"/>
      <c r="F30" s="77" t="s">
        <v>13</v>
      </c>
      <c r="G30" s="101"/>
    </row>
    <row r="31" spans="1:7" s="244" customFormat="1">
      <c r="A31" s="92"/>
      <c r="B31" s="83"/>
      <c r="C31" s="17"/>
      <c r="D31" s="17"/>
      <c r="E31" s="17"/>
      <c r="F31" s="83"/>
    </row>
    <row r="32" spans="1:7" s="244" customFormat="1">
      <c r="A32" s="92"/>
      <c r="B32" s="83"/>
      <c r="C32" s="17"/>
      <c r="D32" s="17"/>
      <c r="E32" s="17"/>
      <c r="F32" s="83"/>
    </row>
    <row r="33" spans="1:6" s="244" customFormat="1">
      <c r="A33" s="92"/>
      <c r="B33" s="83"/>
      <c r="C33" s="17"/>
      <c r="D33" s="17"/>
      <c r="E33" s="17"/>
      <c r="F33" s="83"/>
    </row>
    <row r="34" spans="1:6" s="244" customFormat="1">
      <c r="A34" s="92"/>
      <c r="B34" s="83"/>
      <c r="C34" s="17"/>
      <c r="D34" s="17"/>
      <c r="E34" s="17"/>
      <c r="F34" s="83"/>
    </row>
    <row r="35" spans="1:6" s="244" customFormat="1">
      <c r="A35" s="92"/>
      <c r="B35" s="83"/>
      <c r="C35" s="17"/>
      <c r="D35" s="17"/>
      <c r="E35" s="17"/>
      <c r="F35" s="83"/>
    </row>
    <row r="47" spans="1:6">
      <c r="D47" s="21" t="s">
        <v>14</v>
      </c>
    </row>
    <row r="48" spans="1:6">
      <c r="D48" s="21" t="s">
        <v>15</v>
      </c>
    </row>
  </sheetData>
  <sheetProtection password="C0F1" sheet="1" formatCells="0" formatColumns="0" formatRows="0" insertColumns="0" insertRows="0"/>
  <customSheetViews>
    <customSheetView guid="{1F4AFEE5-5BDD-4100-B0E9-57B262CA123C}" scale="115" showPageBreaks="1" showGridLines="0" fitToPage="1" printArea="1" view="pageBreakPreview" topLeftCell="A17">
      <selection activeCell="A17" sqref="A17"/>
      <pageMargins left="0.5" right="0.5" top="0.75" bottom="0.5" header="0.3" footer="0.3"/>
      <printOptions horizontalCentered="1"/>
      <pageSetup orientation="portrait" r:id="rId1"/>
      <headerFooter>
        <oddFooter>&amp;C&amp;A</oddFooter>
      </headerFooter>
    </customSheetView>
  </customSheetViews>
  <mergeCells count="15">
    <mergeCell ref="D29:F29"/>
    <mergeCell ref="B27:D27"/>
    <mergeCell ref="A7:G7"/>
    <mergeCell ref="B8:F8"/>
    <mergeCell ref="C11:D11"/>
    <mergeCell ref="C18:D18"/>
    <mergeCell ref="B28:G28"/>
    <mergeCell ref="B12:D12"/>
    <mergeCell ref="B19:D19"/>
    <mergeCell ref="B9:D9"/>
    <mergeCell ref="B2:F2"/>
    <mergeCell ref="C3:F3"/>
    <mergeCell ref="B4:F4"/>
    <mergeCell ref="B5:F5"/>
    <mergeCell ref="B6:F6"/>
  </mergeCells>
  <dataValidations count="1">
    <dataValidation type="list" allowBlank="1" showInputMessage="1" prompt="This field is to be used when filing under seal." sqref="D29:F29">
      <formula1>$D$46:$D$48</formula1>
    </dataValidation>
  </dataValidations>
  <printOptions horizontalCentered="1"/>
  <pageMargins left="0.5" right="0.5" top="0.75" bottom="0.5" header="0.3" footer="0.3"/>
  <pageSetup orientation="portrait"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
  <sheetViews>
    <sheetView showGridLines="0" zoomScaleNormal="100" zoomScaleSheetLayoutView="100" workbookViewId="0"/>
  </sheetViews>
  <sheetFormatPr defaultRowHeight="15"/>
  <cols>
    <col min="1" max="1" width="3.85546875" style="706" customWidth="1"/>
    <col min="2" max="2" width="16.5703125" style="329" customWidth="1"/>
    <col min="3" max="3" width="32.140625" style="329" customWidth="1"/>
    <col min="4" max="4" width="20.140625" style="329" customWidth="1"/>
    <col min="5" max="5" width="16.28515625" style="329" bestFit="1" customWidth="1"/>
    <col min="6" max="6" width="3.5703125" style="686" customWidth="1"/>
    <col min="7" max="16384" width="9.140625" style="329"/>
  </cols>
  <sheetData>
    <row r="1" spans="1:6">
      <c r="A1" s="328">
        <v>1</v>
      </c>
      <c r="B1" s="21"/>
      <c r="C1" s="21"/>
      <c r="D1" s="285" t="s">
        <v>149</v>
      </c>
      <c r="E1" s="303">
        <f>IF(Cover!D13&gt;0, Cover!D13,"")</f>
        <v>2011</v>
      </c>
    </row>
    <row r="2" spans="1:6">
      <c r="A2" s="328">
        <v>2</v>
      </c>
      <c r="B2" s="57" t="s">
        <v>150</v>
      </c>
      <c r="C2" s="1203" t="str">
        <f>IF(Cover!A1&gt;0, Cover!A1, "")</f>
        <v>Algonquin Water Resources of Missouri, LLC dba Liberty Utilities</v>
      </c>
      <c r="D2" s="1203"/>
      <c r="E2" s="1203"/>
    </row>
    <row r="3" spans="1:6" ht="12.75" customHeight="1">
      <c r="A3" s="328"/>
      <c r="B3" s="57"/>
      <c r="C3" s="57"/>
      <c r="D3" s="61"/>
      <c r="E3" s="61"/>
    </row>
    <row r="4" spans="1:6">
      <c r="A4" s="1171" t="s">
        <v>816</v>
      </c>
      <c r="B4" s="1171"/>
      <c r="C4" s="1171"/>
      <c r="D4" s="1171"/>
      <c r="E4" s="1171"/>
    </row>
    <row r="5" spans="1:6">
      <c r="A5" s="304"/>
      <c r="B5" s="304"/>
      <c r="C5" s="304"/>
      <c r="D5" s="304"/>
      <c r="E5" s="304"/>
    </row>
    <row r="6" spans="1:6">
      <c r="A6" s="330">
        <v>3</v>
      </c>
      <c r="B6" s="331" t="s">
        <v>659</v>
      </c>
      <c r="C6" s="332" t="s">
        <v>809</v>
      </c>
      <c r="D6" s="800">
        <f>'Page 4'!F15</f>
        <v>0</v>
      </c>
      <c r="E6" s="324"/>
    </row>
    <row r="7" spans="1:6">
      <c r="A7" s="333" t="s">
        <v>170</v>
      </c>
      <c r="B7" s="334" t="s">
        <v>655</v>
      </c>
      <c r="C7" s="334"/>
      <c r="D7" s="334"/>
      <c r="E7" s="334" t="s">
        <v>654</v>
      </c>
      <c r="F7" s="333" t="s">
        <v>170</v>
      </c>
    </row>
    <row r="8" spans="1:6">
      <c r="A8" s="353"/>
      <c r="B8" s="1204"/>
      <c r="C8" s="1205"/>
      <c r="D8" s="1206"/>
      <c r="E8" s="798"/>
      <c r="F8" s="353"/>
    </row>
    <row r="9" spans="1:6">
      <c r="A9" s="94"/>
      <c r="B9" s="1204"/>
      <c r="C9" s="1205"/>
      <c r="D9" s="1206"/>
      <c r="E9" s="798"/>
      <c r="F9" s="94"/>
    </row>
    <row r="10" spans="1:6">
      <c r="A10" s="94"/>
      <c r="B10" s="1204"/>
      <c r="C10" s="1205"/>
      <c r="D10" s="1206"/>
      <c r="E10" s="798"/>
      <c r="F10" s="94"/>
    </row>
    <row r="11" spans="1:6">
      <c r="A11" s="94"/>
      <c r="B11" s="1204"/>
      <c r="C11" s="1205"/>
      <c r="D11" s="1206"/>
      <c r="E11" s="798"/>
      <c r="F11" s="94"/>
    </row>
    <row r="12" spans="1:6">
      <c r="A12" s="94"/>
      <c r="B12" s="1204"/>
      <c r="C12" s="1205"/>
      <c r="D12" s="1206"/>
      <c r="E12" s="798"/>
      <c r="F12" s="94"/>
    </row>
    <row r="13" spans="1:6">
      <c r="A13" s="354"/>
      <c r="B13" s="1207" t="s">
        <v>664</v>
      </c>
      <c r="C13" s="1208"/>
      <c r="D13" s="1209"/>
      <c r="E13" s="799">
        <f>SUM(E8:E12)</f>
        <v>0</v>
      </c>
      <c r="F13" s="354"/>
    </row>
    <row r="14" spans="1:6" ht="30" customHeight="1">
      <c r="A14" s="333"/>
      <c r="B14" s="62"/>
      <c r="C14" s="62"/>
      <c r="D14" s="335"/>
      <c r="E14" s="337"/>
    </row>
    <row r="15" spans="1:6">
      <c r="A15" s="330">
        <v>4</v>
      </c>
      <c r="B15" s="331" t="s">
        <v>660</v>
      </c>
      <c r="C15" s="332" t="s">
        <v>810</v>
      </c>
      <c r="D15" s="800">
        <f>'Page 4'!F22</f>
        <v>0</v>
      </c>
      <c r="E15" s="324"/>
    </row>
    <row r="16" spans="1:6">
      <c r="A16" s="333" t="s">
        <v>170</v>
      </c>
      <c r="B16" s="334" t="s">
        <v>655</v>
      </c>
      <c r="C16" s="334"/>
      <c r="D16" s="334"/>
      <c r="E16" s="334" t="s">
        <v>654</v>
      </c>
      <c r="F16" s="686" t="s">
        <v>170</v>
      </c>
    </row>
    <row r="17" spans="1:6">
      <c r="A17" s="353"/>
      <c r="B17" s="1204"/>
      <c r="C17" s="1205"/>
      <c r="D17" s="1206"/>
      <c r="E17" s="798"/>
      <c r="F17" s="353"/>
    </row>
    <row r="18" spans="1:6">
      <c r="A18" s="94"/>
      <c r="B18" s="1204"/>
      <c r="C18" s="1205"/>
      <c r="D18" s="1206"/>
      <c r="E18" s="798"/>
      <c r="F18" s="94"/>
    </row>
    <row r="19" spans="1:6">
      <c r="A19" s="94"/>
      <c r="B19" s="1204"/>
      <c r="C19" s="1205"/>
      <c r="D19" s="1206"/>
      <c r="E19" s="798"/>
      <c r="F19" s="94"/>
    </row>
    <row r="20" spans="1:6">
      <c r="A20" s="94"/>
      <c r="B20" s="1204"/>
      <c r="C20" s="1205"/>
      <c r="D20" s="1206"/>
      <c r="E20" s="798"/>
      <c r="F20" s="94"/>
    </row>
    <row r="21" spans="1:6">
      <c r="A21" s="94"/>
      <c r="B21" s="1204"/>
      <c r="C21" s="1205"/>
      <c r="D21" s="1206"/>
      <c r="E21" s="798"/>
      <c r="F21" s="94"/>
    </row>
    <row r="22" spans="1:6">
      <c r="A22" s="354"/>
      <c r="B22" s="1207" t="s">
        <v>663</v>
      </c>
      <c r="C22" s="1208"/>
      <c r="D22" s="1209"/>
      <c r="E22" s="799">
        <f>SUM(E17:E21)</f>
        <v>0</v>
      </c>
      <c r="F22" s="354"/>
    </row>
    <row r="23" spans="1:6" ht="30" customHeight="1"/>
    <row r="24" spans="1:6">
      <c r="A24" s="330">
        <v>5</v>
      </c>
      <c r="B24" s="331" t="s">
        <v>661</v>
      </c>
      <c r="C24" s="332" t="s">
        <v>811</v>
      </c>
      <c r="D24" s="800">
        <f>'Page 4'!F24</f>
        <v>0</v>
      </c>
      <c r="E24" s="324"/>
    </row>
    <row r="25" spans="1:6">
      <c r="A25" s="333" t="s">
        <v>170</v>
      </c>
      <c r="B25" s="334" t="s">
        <v>655</v>
      </c>
      <c r="C25" s="334"/>
      <c r="D25" s="334"/>
      <c r="E25" s="334" t="s">
        <v>654</v>
      </c>
      <c r="F25" s="686" t="s">
        <v>170</v>
      </c>
    </row>
    <row r="26" spans="1:6">
      <c r="A26" s="353"/>
      <c r="B26" s="1204"/>
      <c r="C26" s="1205"/>
      <c r="D26" s="1206"/>
      <c r="E26" s="798"/>
      <c r="F26" s="353"/>
    </row>
    <row r="27" spans="1:6">
      <c r="A27" s="94"/>
      <c r="B27" s="1204"/>
      <c r="C27" s="1205"/>
      <c r="D27" s="1206"/>
      <c r="E27" s="798"/>
      <c r="F27" s="94"/>
    </row>
    <row r="28" spans="1:6">
      <c r="A28" s="94"/>
      <c r="B28" s="1204"/>
      <c r="C28" s="1205"/>
      <c r="D28" s="1206"/>
      <c r="E28" s="798"/>
      <c r="F28" s="94"/>
    </row>
    <row r="29" spans="1:6">
      <c r="A29" s="94"/>
      <c r="B29" s="1204"/>
      <c r="C29" s="1205"/>
      <c r="D29" s="1206"/>
      <c r="E29" s="798"/>
      <c r="F29" s="94"/>
    </row>
    <row r="30" spans="1:6">
      <c r="A30" s="94"/>
      <c r="B30" s="1204"/>
      <c r="C30" s="1205"/>
      <c r="D30" s="1206"/>
      <c r="E30" s="798"/>
      <c r="F30" s="94"/>
    </row>
    <row r="31" spans="1:6">
      <c r="A31" s="354"/>
      <c r="B31" s="1207" t="s">
        <v>662</v>
      </c>
      <c r="C31" s="1208"/>
      <c r="D31" s="1209"/>
      <c r="E31" s="799">
        <f>SUM(E26:E30)</f>
        <v>0</v>
      </c>
      <c r="F31" s="354"/>
    </row>
    <row r="32" spans="1:6" ht="30" customHeight="1"/>
    <row r="33" spans="1:6">
      <c r="A33" s="330">
        <v>5</v>
      </c>
      <c r="B33" s="331" t="s">
        <v>649</v>
      </c>
      <c r="C33" s="332" t="s">
        <v>812</v>
      </c>
      <c r="D33" s="800">
        <f>'Page 4'!F26</f>
        <v>461352.28</v>
      </c>
      <c r="E33" s="324"/>
    </row>
    <row r="34" spans="1:6">
      <c r="A34" s="333" t="s">
        <v>170</v>
      </c>
      <c r="B34" s="334" t="s">
        <v>655</v>
      </c>
      <c r="C34" s="334"/>
      <c r="D34" s="334"/>
      <c r="E34" s="334" t="s">
        <v>654</v>
      </c>
      <c r="F34" s="686" t="s">
        <v>170</v>
      </c>
    </row>
    <row r="35" spans="1:6">
      <c r="A35" s="353"/>
      <c r="B35" s="1204" t="s">
        <v>928</v>
      </c>
      <c r="C35" s="1205"/>
      <c r="D35" s="1206"/>
      <c r="E35" s="798">
        <v>96680.67</v>
      </c>
      <c r="F35" s="353"/>
    </row>
    <row r="36" spans="1:6" ht="25.5">
      <c r="A36" s="94"/>
      <c r="B36" s="818" t="s">
        <v>929</v>
      </c>
      <c r="C36" s="819"/>
      <c r="D36" s="820"/>
      <c r="E36" s="798">
        <v>52430.78</v>
      </c>
      <c r="F36" s="94"/>
    </row>
    <row r="37" spans="1:6" ht="15" customHeight="1">
      <c r="A37" s="94"/>
      <c r="B37" s="818" t="s">
        <v>930</v>
      </c>
      <c r="C37" s="819"/>
      <c r="D37" s="820"/>
      <c r="E37" s="798">
        <v>19642.8</v>
      </c>
      <c r="F37" s="94"/>
    </row>
    <row r="38" spans="1:6">
      <c r="A38" s="94"/>
      <c r="B38" s="1204" t="s">
        <v>931</v>
      </c>
      <c r="C38" s="1205"/>
      <c r="D38" s="1206"/>
      <c r="E38" s="798">
        <v>104075.03</v>
      </c>
      <c r="F38" s="94"/>
    </row>
    <row r="39" spans="1:6">
      <c r="A39" s="94"/>
      <c r="B39" s="1204" t="s">
        <v>932</v>
      </c>
      <c r="C39" s="1205"/>
      <c r="D39" s="1206"/>
      <c r="E39" s="798">
        <v>188523</v>
      </c>
      <c r="F39" s="94"/>
    </row>
    <row r="40" spans="1:6">
      <c r="A40" s="354"/>
      <c r="B40" s="1207" t="s">
        <v>656</v>
      </c>
      <c r="C40" s="1208"/>
      <c r="D40" s="1209"/>
      <c r="E40" s="799">
        <f>SUM(E35:E39)</f>
        <v>461352.28</v>
      </c>
      <c r="F40" s="354"/>
    </row>
    <row r="41" spans="1:6" ht="8.25" customHeight="1">
      <c r="A41" s="333"/>
      <c r="B41" s="62"/>
      <c r="C41" s="62"/>
      <c r="D41" s="236"/>
      <c r="E41" s="337"/>
    </row>
    <row r="42" spans="1:6" s="261" customFormat="1" ht="18">
      <c r="A42" s="707"/>
      <c r="B42" s="275" t="s">
        <v>712</v>
      </c>
      <c r="C42" s="226"/>
      <c r="D42" s="1104"/>
      <c r="E42" s="1105"/>
      <c r="F42" s="710"/>
    </row>
    <row r="43" spans="1:6" s="261" customFormat="1">
      <c r="A43" s="708"/>
      <c r="B43" s="277" t="s">
        <v>713</v>
      </c>
      <c r="C43" s="277"/>
      <c r="D43" s="244"/>
      <c r="E43" s="77" t="s">
        <v>13</v>
      </c>
      <c r="F43" s="710"/>
    </row>
    <row r="44" spans="1:6" s="261" customFormat="1">
      <c r="A44" s="709"/>
      <c r="B44" s="83"/>
      <c r="C44" s="17"/>
      <c r="D44" s="17"/>
      <c r="E44" s="17"/>
      <c r="F44" s="58"/>
    </row>
    <row r="45" spans="1:6" s="261" customFormat="1">
      <c r="A45" s="709"/>
      <c r="B45" s="83"/>
      <c r="C45" s="17"/>
      <c r="D45" s="17"/>
      <c r="E45" s="17"/>
      <c r="F45" s="58"/>
    </row>
    <row r="46" spans="1:6" s="261" customFormat="1">
      <c r="A46" s="709"/>
      <c r="B46" s="83"/>
      <c r="C46" s="17"/>
      <c r="D46" s="17"/>
      <c r="E46" s="17"/>
      <c r="F46" s="58"/>
    </row>
    <row r="47" spans="1:6" s="261" customFormat="1">
      <c r="A47" s="709"/>
      <c r="B47" s="83"/>
      <c r="C47" s="17"/>
      <c r="D47" s="17"/>
      <c r="E47" s="17"/>
      <c r="F47" s="58"/>
    </row>
    <row r="48" spans="1:6" s="261" customFormat="1">
      <c r="A48" s="709"/>
      <c r="B48" s="83"/>
      <c r="C48" s="17"/>
      <c r="D48" s="17"/>
      <c r="E48" s="17"/>
      <c r="F48" s="58"/>
    </row>
    <row r="49" spans="2:6">
      <c r="B49" s="57"/>
      <c r="C49" s="21"/>
      <c r="D49" s="21"/>
      <c r="E49" s="21"/>
      <c r="F49" s="61"/>
    </row>
    <row r="50" spans="2:6">
      <c r="B50" s="57"/>
      <c r="C50" s="21"/>
      <c r="D50" s="21"/>
      <c r="E50" s="21"/>
      <c r="F50" s="61"/>
    </row>
    <row r="51" spans="2:6">
      <c r="B51" s="57"/>
      <c r="C51" s="21"/>
      <c r="D51" s="21"/>
      <c r="E51" s="21"/>
      <c r="F51" s="61"/>
    </row>
    <row r="52" spans="2:6">
      <c r="B52" s="57"/>
      <c r="C52" s="21"/>
      <c r="D52" s="21"/>
      <c r="E52" s="21"/>
      <c r="F52" s="61"/>
    </row>
    <row r="53" spans="2:6">
      <c r="B53" s="57"/>
      <c r="C53" s="21"/>
      <c r="D53" s="21"/>
      <c r="E53" s="21"/>
      <c r="F53" s="61"/>
    </row>
    <row r="54" spans="2:6">
      <c r="B54" s="57"/>
      <c r="C54" s="21"/>
      <c r="D54" s="21"/>
      <c r="E54" s="21"/>
      <c r="F54" s="61"/>
    </row>
    <row r="55" spans="2:6">
      <c r="B55" s="57"/>
      <c r="C55" s="21"/>
      <c r="D55" s="21"/>
      <c r="E55" s="21"/>
      <c r="F55" s="61"/>
    </row>
    <row r="56" spans="2:6">
      <c r="B56" s="57"/>
      <c r="C56" s="21"/>
      <c r="D56" s="21"/>
      <c r="E56" s="21"/>
      <c r="F56" s="61"/>
    </row>
    <row r="57" spans="2:6">
      <c r="B57" s="57"/>
      <c r="C57" s="21"/>
      <c r="D57" s="21"/>
      <c r="E57" s="21"/>
      <c r="F57" s="61"/>
    </row>
    <row r="58" spans="2:6">
      <c r="B58" s="57"/>
      <c r="C58" s="21"/>
      <c r="D58" s="21"/>
      <c r="E58" s="21"/>
      <c r="F58" s="61"/>
    </row>
    <row r="59" spans="2:6">
      <c r="B59" s="57"/>
      <c r="C59" s="21"/>
      <c r="D59" s="21"/>
      <c r="E59" s="21"/>
      <c r="F59" s="61"/>
    </row>
    <row r="60" spans="2:6">
      <c r="B60" s="57"/>
      <c r="C60" s="21"/>
      <c r="D60" s="21" t="s">
        <v>14</v>
      </c>
      <c r="E60" s="21"/>
      <c r="F60" s="61"/>
    </row>
    <row r="61" spans="2:6">
      <c r="B61" s="57"/>
      <c r="C61" s="21"/>
      <c r="D61" s="21" t="s">
        <v>15</v>
      </c>
      <c r="E61" s="21"/>
      <c r="F61" s="61"/>
    </row>
  </sheetData>
  <sheetProtection password="C0F1" sheet="1" formatCells="0" formatColumns="0" formatRows="0" insertColumns="0" insertRows="0"/>
  <customSheetViews>
    <customSheetView guid="{1F4AFEE5-5BDD-4100-B0E9-57B262CA123C}" scale="130" showPageBreaks="1" showGridLines="0" fitToPage="1" printArea="1" view="pageBreakPreview">
      <pageMargins left="0.45" right="0.45" top="0.5" bottom="0.3" header="0.3" footer="0.3"/>
      <printOptions horizontalCentered="1"/>
      <pageSetup orientation="portrait" r:id="rId1"/>
      <headerFooter>
        <oddFooter>&amp;C&amp;A</oddFooter>
      </headerFooter>
    </customSheetView>
  </customSheetViews>
  <mergeCells count="25">
    <mergeCell ref="B38:D38"/>
    <mergeCell ref="B39:D39"/>
    <mergeCell ref="D42:E42"/>
    <mergeCell ref="B40:D40"/>
    <mergeCell ref="B26:D26"/>
    <mergeCell ref="B27:D27"/>
    <mergeCell ref="B28:D28"/>
    <mergeCell ref="B29:D29"/>
    <mergeCell ref="B35:D35"/>
    <mergeCell ref="B30:D30"/>
    <mergeCell ref="B31:D31"/>
    <mergeCell ref="B22:D22"/>
    <mergeCell ref="B8:D8"/>
    <mergeCell ref="B9:D9"/>
    <mergeCell ref="B10:D10"/>
    <mergeCell ref="B13:D13"/>
    <mergeCell ref="B21:D21"/>
    <mergeCell ref="C2:E2"/>
    <mergeCell ref="A4:E4"/>
    <mergeCell ref="B17:D17"/>
    <mergeCell ref="B18:D18"/>
    <mergeCell ref="B20:D20"/>
    <mergeCell ref="B11:D11"/>
    <mergeCell ref="B12:D12"/>
    <mergeCell ref="B19:D19"/>
  </mergeCells>
  <dataValidations count="1">
    <dataValidation type="list" allowBlank="1" showInputMessage="1" prompt="This field is to be used when filing under seal." sqref="D42:E42">
      <formula1>$D$59:$D$61</formula1>
    </dataValidation>
  </dataValidations>
  <printOptions horizontalCentered="1"/>
  <pageMargins left="0.45" right="0.45" top="0.5" bottom="0.3" header="0.3" footer="0.3"/>
  <pageSetup orientation="portrait" r:id="rId2"/>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1"/>
  <sheetViews>
    <sheetView showGridLines="0" zoomScaleNormal="100" zoomScaleSheetLayoutView="100" workbookViewId="0">
      <selection activeCell="E10" sqref="E10"/>
    </sheetView>
  </sheetViews>
  <sheetFormatPr defaultRowHeight="15"/>
  <cols>
    <col min="1" max="1" width="2.7109375" style="338" customWidth="1"/>
    <col min="2" max="2" width="14.7109375" style="57" customWidth="1"/>
    <col min="3" max="3" width="52.7109375" style="21" customWidth="1"/>
    <col min="4" max="4" width="2.42578125" style="21" bestFit="1" customWidth="1"/>
    <col min="5" max="5" width="20.42578125" style="21" customWidth="1"/>
    <col min="6" max="6" width="2.42578125" style="21" bestFit="1" customWidth="1"/>
    <col min="7" max="16384" width="9.140625" style="316"/>
  </cols>
  <sheetData>
    <row r="1" spans="1:6" s="21" customFormat="1" ht="12.75">
      <c r="A1" s="117">
        <v>1</v>
      </c>
      <c r="C1" s="57"/>
      <c r="D1" s="285" t="s">
        <v>149</v>
      </c>
      <c r="E1" s="303">
        <f>IF(Cover!D13&gt;0, Cover!D13, "")</f>
        <v>2011</v>
      </c>
    </row>
    <row r="2" spans="1:6" s="21" customFormat="1" ht="12.75">
      <c r="A2" s="117">
        <v>2</v>
      </c>
      <c r="B2" s="57" t="s">
        <v>150</v>
      </c>
      <c r="C2" s="1166" t="str">
        <f>IF(Cover!A1&gt;0, Cover!A1, "")</f>
        <v>Algonquin Water Resources of Missouri, LLC dba Liberty Utilities</v>
      </c>
      <c r="D2" s="1166"/>
      <c r="E2" s="1166"/>
    </row>
    <row r="3" spans="1:6" ht="9.9499999999999993" customHeight="1">
      <c r="B3" s="1170"/>
      <c r="C3" s="1170"/>
      <c r="D3" s="1170"/>
      <c r="E3" s="1170"/>
      <c r="F3" s="316"/>
    </row>
    <row r="4" spans="1:6">
      <c r="B4" s="1195" t="s">
        <v>207</v>
      </c>
      <c r="C4" s="1170"/>
      <c r="D4" s="1170"/>
      <c r="E4" s="1170"/>
      <c r="F4" s="316"/>
    </row>
    <row r="5" spans="1:6" ht="21" customHeight="1">
      <c r="B5" s="1170"/>
      <c r="C5" s="1170"/>
      <c r="D5" s="1170"/>
      <c r="E5" s="1170"/>
      <c r="F5" s="316"/>
    </row>
    <row r="6" spans="1:6" ht="38.25" customHeight="1">
      <c r="A6" s="1194" t="s">
        <v>563</v>
      </c>
      <c r="B6" s="1171"/>
      <c r="C6" s="1171"/>
      <c r="D6" s="1171"/>
      <c r="E6" s="1171"/>
      <c r="F6" s="1171"/>
    </row>
    <row r="7" spans="1:6" ht="18" customHeight="1" thickBot="1">
      <c r="B7" s="1195"/>
      <c r="C7" s="1195"/>
      <c r="D7" s="1195"/>
      <c r="E7" s="1195"/>
      <c r="F7" s="316"/>
    </row>
    <row r="8" spans="1:6" ht="35.25" customHeight="1" thickBot="1">
      <c r="B8" s="1156" t="s">
        <v>541</v>
      </c>
      <c r="C8" s="1212"/>
      <c r="D8" s="317" t="s">
        <v>170</v>
      </c>
      <c r="E8" s="694" t="s">
        <v>274</v>
      </c>
      <c r="F8" s="318" t="s">
        <v>170</v>
      </c>
    </row>
    <row r="9" spans="1:6" ht="24.95" customHeight="1">
      <c r="A9" s="338">
        <v>3</v>
      </c>
      <c r="B9" s="319" t="s">
        <v>208</v>
      </c>
      <c r="C9" s="57"/>
      <c r="D9" s="94"/>
      <c r="E9" s="98">
        <v>3434329</v>
      </c>
      <c r="F9" s="718"/>
    </row>
    <row r="10" spans="1:6" ht="24.95" customHeight="1">
      <c r="A10" s="338">
        <v>4</v>
      </c>
      <c r="B10" s="319" t="s">
        <v>209</v>
      </c>
      <c r="C10" s="57"/>
      <c r="D10" s="95"/>
      <c r="E10" s="99">
        <f>-219994.58-305733.39+-5893.13</f>
        <v>-531621.1</v>
      </c>
      <c r="F10" s="719"/>
    </row>
    <row r="11" spans="1:6" ht="24.95" customHeight="1">
      <c r="A11" s="338">
        <v>5</v>
      </c>
      <c r="B11" s="319" t="s">
        <v>210</v>
      </c>
      <c r="C11" s="265"/>
      <c r="D11" s="94"/>
      <c r="E11" s="245"/>
      <c r="F11" s="720"/>
    </row>
    <row r="12" spans="1:6" ht="24.95" customHeight="1">
      <c r="A12" s="338">
        <v>6</v>
      </c>
      <c r="B12" s="319" t="s">
        <v>211</v>
      </c>
      <c r="C12" s="265"/>
      <c r="D12" s="94"/>
      <c r="E12" s="245">
        <v>310686.49</v>
      </c>
      <c r="F12" s="720"/>
    </row>
    <row r="13" spans="1:6" ht="24.95" customHeight="1">
      <c r="A13" s="338">
        <v>7</v>
      </c>
      <c r="B13" s="319" t="s">
        <v>212</v>
      </c>
      <c r="C13" s="265"/>
      <c r="D13" s="94"/>
      <c r="E13" s="245"/>
      <c r="F13" s="720"/>
    </row>
    <row r="14" spans="1:6" ht="24.95" customHeight="1">
      <c r="A14" s="338">
        <v>8</v>
      </c>
      <c r="B14" s="319" t="s">
        <v>213</v>
      </c>
      <c r="C14" s="265"/>
      <c r="D14" s="94"/>
      <c r="E14" s="245"/>
      <c r="F14" s="720"/>
    </row>
    <row r="15" spans="1:6" ht="24.95" customHeight="1">
      <c r="A15" s="338">
        <v>9</v>
      </c>
      <c r="B15" s="319" t="s">
        <v>214</v>
      </c>
      <c r="C15" s="265"/>
      <c r="D15" s="94"/>
      <c r="E15" s="245">
        <v>9500</v>
      </c>
      <c r="F15" s="720"/>
    </row>
    <row r="16" spans="1:6" ht="24.95" customHeight="1">
      <c r="A16" s="338">
        <v>10</v>
      </c>
      <c r="B16" s="319" t="s">
        <v>215</v>
      </c>
      <c r="C16" s="265"/>
      <c r="D16" s="94"/>
      <c r="E16" s="246">
        <v>6597</v>
      </c>
      <c r="F16" s="720"/>
    </row>
    <row r="17" spans="1:6" ht="24.95" customHeight="1">
      <c r="A17" s="338">
        <v>11</v>
      </c>
      <c r="B17" s="319" t="s">
        <v>216</v>
      </c>
      <c r="C17" s="265"/>
      <c r="D17" s="94"/>
      <c r="E17" s="340">
        <f>'Page 9'!D21</f>
        <v>915382</v>
      </c>
      <c r="F17" s="720"/>
    </row>
    <row r="18" spans="1:6" ht="24.95" customHeight="1">
      <c r="A18" s="338">
        <v>12</v>
      </c>
      <c r="B18" s="341" t="s">
        <v>196</v>
      </c>
      <c r="C18" s="57" t="s">
        <v>710</v>
      </c>
      <c r="D18" s="94"/>
      <c r="E18" s="340">
        <f>'Page 9'!D34</f>
        <v>40179.814634831979</v>
      </c>
      <c r="F18" s="720"/>
    </row>
    <row r="19" spans="1:6" ht="24.95" customHeight="1">
      <c r="A19" s="338">
        <v>13</v>
      </c>
      <c r="B19" s="319" t="s">
        <v>217</v>
      </c>
      <c r="C19" s="265"/>
      <c r="D19" s="94"/>
      <c r="E19" s="342">
        <f>E17-E18</f>
        <v>875202.18536516803</v>
      </c>
      <c r="F19" s="720"/>
    </row>
    <row r="20" spans="1:6" ht="24.95" customHeight="1">
      <c r="A20" s="338">
        <v>14</v>
      </c>
      <c r="B20" s="319" t="s">
        <v>218</v>
      </c>
      <c r="C20" s="265"/>
      <c r="D20" s="94"/>
      <c r="E20" s="246"/>
      <c r="F20" s="720"/>
    </row>
    <row r="21" spans="1:6" ht="24.95" customHeight="1">
      <c r="A21" s="338">
        <v>15</v>
      </c>
      <c r="B21" s="319" t="s">
        <v>219</v>
      </c>
      <c r="C21" s="265"/>
      <c r="D21" s="94"/>
      <c r="E21" s="246"/>
      <c r="F21" s="720"/>
    </row>
    <row r="22" spans="1:6" ht="24.95" customHeight="1">
      <c r="A22" s="338">
        <v>16</v>
      </c>
      <c r="B22" s="319" t="s">
        <v>220</v>
      </c>
      <c r="C22" s="265"/>
      <c r="D22" s="94"/>
      <c r="E22" s="340">
        <f>'Page 9'!E21</f>
        <v>317741</v>
      </c>
      <c r="F22" s="720"/>
    </row>
    <row r="23" spans="1:6" ht="24.95" customHeight="1">
      <c r="A23" s="338">
        <v>17</v>
      </c>
      <c r="B23" s="341" t="s">
        <v>196</v>
      </c>
      <c r="C23" s="57" t="s">
        <v>824</v>
      </c>
      <c r="D23" s="94"/>
      <c r="E23" s="340">
        <f>'Page 9'!E34</f>
        <v>6953.8293461600006</v>
      </c>
      <c r="F23" s="720"/>
    </row>
    <row r="24" spans="1:6" ht="24.95" customHeight="1">
      <c r="A24" s="338">
        <v>18</v>
      </c>
      <c r="B24" s="319" t="s">
        <v>564</v>
      </c>
      <c r="C24" s="265"/>
      <c r="D24" s="94"/>
      <c r="E24" s="342">
        <f>E22-E23</f>
        <v>310787.17065384</v>
      </c>
      <c r="F24" s="720"/>
    </row>
    <row r="25" spans="1:6" ht="24.95" customHeight="1">
      <c r="A25" s="338">
        <v>19</v>
      </c>
      <c r="B25" s="319" t="s">
        <v>221</v>
      </c>
      <c r="C25" s="265"/>
      <c r="D25" s="94"/>
      <c r="E25" s="246"/>
      <c r="F25" s="720"/>
    </row>
    <row r="26" spans="1:6" ht="24.95" customHeight="1">
      <c r="A26" s="338">
        <v>20</v>
      </c>
      <c r="B26" s="319" t="s">
        <v>753</v>
      </c>
      <c r="C26" s="265"/>
      <c r="D26" s="94"/>
      <c r="E26" s="246"/>
      <c r="F26" s="720"/>
    </row>
    <row r="27" spans="1:6" ht="24.95" customHeight="1">
      <c r="A27" s="338">
        <v>21</v>
      </c>
      <c r="B27" s="319" t="s">
        <v>754</v>
      </c>
      <c r="C27" s="265"/>
      <c r="D27" s="94"/>
      <c r="E27" s="246">
        <v>170987.14</v>
      </c>
      <c r="F27" s="720"/>
    </row>
    <row r="28" spans="1:6" ht="24.95" customHeight="1" thickBot="1">
      <c r="A28" s="338">
        <v>22</v>
      </c>
      <c r="B28" s="343" t="s">
        <v>665</v>
      </c>
      <c r="C28" s="344"/>
      <c r="D28" s="247"/>
      <c r="E28" s="721">
        <f>SUM(E9:E16,E19,E20:E21,E24,E25:E27)</f>
        <v>4586467.8860190073</v>
      </c>
      <c r="F28" s="722"/>
    </row>
    <row r="29" spans="1:6" ht="27.75" customHeight="1">
      <c r="B29" s="1201" t="s">
        <v>666</v>
      </c>
      <c r="C29" s="1201"/>
      <c r="D29" s="1201"/>
      <c r="E29" s="1201"/>
      <c r="F29" s="1201"/>
    </row>
    <row r="30" spans="1:6" ht="27.75" customHeight="1">
      <c r="B30" s="875"/>
      <c r="C30" s="875"/>
      <c r="D30" s="875"/>
      <c r="E30" s="875"/>
      <c r="F30" s="875"/>
    </row>
    <row r="31" spans="1:6" s="244" customFormat="1" ht="15.75">
      <c r="A31" s="274"/>
      <c r="B31" s="275" t="s">
        <v>712</v>
      </c>
      <c r="C31" s="226"/>
      <c r="D31" s="1210"/>
      <c r="E31" s="1211"/>
    </row>
    <row r="32" spans="1:6" s="244" customFormat="1" ht="12" customHeight="1">
      <c r="A32" s="276"/>
      <c r="B32" s="277" t="s">
        <v>713</v>
      </c>
      <c r="C32" s="277"/>
      <c r="E32" s="77" t="s">
        <v>13</v>
      </c>
      <c r="F32" s="101"/>
    </row>
    <row r="33" spans="1:6" s="244" customFormat="1">
      <c r="A33" s="100"/>
      <c r="B33" s="83"/>
      <c r="C33" s="17"/>
      <c r="D33" s="17"/>
      <c r="E33" s="863">
        <f>E28-'Page 4'!F27</f>
        <v>1.2900680303573608E-4</v>
      </c>
    </row>
    <row r="34" spans="1:6" s="244" customFormat="1">
      <c r="A34" s="100"/>
      <c r="B34" s="83"/>
      <c r="C34" s="17"/>
      <c r="D34" s="17"/>
      <c r="E34" s="863"/>
    </row>
    <row r="35" spans="1:6" s="244" customFormat="1">
      <c r="A35" s="100"/>
      <c r="B35" s="83"/>
      <c r="C35" s="17"/>
      <c r="D35" s="17"/>
      <c r="E35" s="83"/>
    </row>
    <row r="36" spans="1:6" s="244" customFormat="1">
      <c r="A36" s="100"/>
      <c r="B36" s="83"/>
      <c r="C36" s="17"/>
      <c r="D36" s="17"/>
      <c r="E36" s="83"/>
    </row>
    <row r="37" spans="1:6" s="244" customFormat="1">
      <c r="A37" s="100"/>
      <c r="B37" s="83"/>
      <c r="C37" s="17"/>
      <c r="D37" s="17"/>
      <c r="E37" s="83"/>
    </row>
    <row r="38" spans="1:6" s="244" customFormat="1">
      <c r="A38" s="100"/>
      <c r="B38" s="83"/>
      <c r="C38" s="17"/>
      <c r="D38" s="17"/>
      <c r="E38" s="83"/>
    </row>
    <row r="39" spans="1:6" s="244" customFormat="1">
      <c r="A39" s="100"/>
      <c r="B39" s="83"/>
      <c r="C39" s="17"/>
      <c r="D39" s="17"/>
      <c r="E39" s="83"/>
    </row>
    <row r="40" spans="1:6">
      <c r="E40" s="57"/>
      <c r="F40" s="316"/>
    </row>
    <row r="41" spans="1:6">
      <c r="E41" s="57"/>
      <c r="F41" s="316"/>
    </row>
    <row r="42" spans="1:6">
      <c r="E42" s="57"/>
      <c r="F42" s="316"/>
    </row>
    <row r="43" spans="1:6">
      <c r="E43" s="57"/>
      <c r="F43" s="316"/>
    </row>
    <row r="44" spans="1:6">
      <c r="E44" s="57"/>
      <c r="F44" s="316"/>
    </row>
    <row r="45" spans="1:6">
      <c r="E45" s="57"/>
      <c r="F45" s="316"/>
    </row>
    <row r="46" spans="1:6">
      <c r="E46" s="57"/>
      <c r="F46" s="316"/>
    </row>
    <row r="47" spans="1:6">
      <c r="E47" s="57"/>
      <c r="F47" s="316"/>
    </row>
    <row r="48" spans="1:6">
      <c r="E48" s="57"/>
      <c r="F48" s="316"/>
    </row>
    <row r="49" spans="5:6">
      <c r="E49" s="57"/>
      <c r="F49" s="316"/>
    </row>
    <row r="50" spans="5:6">
      <c r="E50" s="57"/>
      <c r="F50" s="316"/>
    </row>
    <row r="51" spans="5:6">
      <c r="E51" s="57"/>
      <c r="F51" s="316"/>
    </row>
    <row r="52" spans="5:6">
      <c r="E52" s="57"/>
      <c r="F52" s="316"/>
    </row>
    <row r="53" spans="5:6">
      <c r="E53" s="57"/>
      <c r="F53" s="316"/>
    </row>
    <row r="54" spans="5:6">
      <c r="E54" s="57"/>
      <c r="F54" s="316"/>
    </row>
    <row r="55" spans="5:6">
      <c r="E55" s="57"/>
      <c r="F55" s="316"/>
    </row>
    <row r="56" spans="5:6">
      <c r="E56" s="57"/>
      <c r="F56" s="316"/>
    </row>
    <row r="57" spans="5:6">
      <c r="E57" s="57"/>
      <c r="F57" s="316"/>
    </row>
    <row r="58" spans="5:6">
      <c r="E58" s="57"/>
      <c r="F58" s="316"/>
    </row>
    <row r="59" spans="5:6">
      <c r="E59" s="57"/>
      <c r="F59" s="316"/>
    </row>
    <row r="60" spans="5:6">
      <c r="E60" s="57"/>
      <c r="F60" s="316"/>
    </row>
    <row r="61" spans="5:6">
      <c r="E61" s="57"/>
      <c r="F61" s="316"/>
    </row>
    <row r="62" spans="5:6">
      <c r="E62" s="57" t="s">
        <v>14</v>
      </c>
      <c r="F62" s="316"/>
    </row>
    <row r="63" spans="5:6">
      <c r="E63" s="57" t="s">
        <v>15</v>
      </c>
      <c r="F63" s="316"/>
    </row>
    <row r="64" spans="5:6">
      <c r="E64" s="57"/>
      <c r="F64" s="316"/>
    </row>
    <row r="65" spans="5:6">
      <c r="E65" s="57"/>
      <c r="F65" s="316"/>
    </row>
    <row r="66" spans="5:6">
      <c r="E66" s="57"/>
      <c r="F66" s="316"/>
    </row>
    <row r="67" spans="5:6">
      <c r="E67" s="57"/>
      <c r="F67" s="316"/>
    </row>
    <row r="68" spans="5:6">
      <c r="E68" s="57"/>
      <c r="F68" s="316"/>
    </row>
    <row r="69" spans="5:6">
      <c r="E69" s="57"/>
      <c r="F69" s="316"/>
    </row>
    <row r="70" spans="5:6">
      <c r="E70" s="57"/>
      <c r="F70" s="316"/>
    </row>
    <row r="71" spans="5:6">
      <c r="E71" s="57"/>
      <c r="F71" s="316"/>
    </row>
  </sheetData>
  <sheetProtection password="C0F1" sheet="1" formatCells="0" formatColumns="0" formatRows="0" insertColumns="0" insertRows="0"/>
  <customSheetViews>
    <customSheetView guid="{1F4AFEE5-5BDD-4100-B0E9-57B262CA123C}" scale="145" showPageBreaks="1" showGridLines="0" fitToPage="1" printArea="1" view="pageBreakPreview" topLeftCell="B1">
      <selection activeCell="C11" sqref="C11"/>
      <pageMargins left="0.5" right="0.5" top="0.75" bottom="0.25" header="0.3" footer="0.3"/>
      <printOptions horizontalCentered="1"/>
      <pageSetup orientation="portrait" r:id="rId1"/>
      <headerFooter>
        <oddFooter>&amp;C&amp;A</oddFooter>
      </headerFooter>
    </customSheetView>
  </customSheetViews>
  <mergeCells count="9">
    <mergeCell ref="D31:E31"/>
    <mergeCell ref="B29:F29"/>
    <mergeCell ref="B8:C8"/>
    <mergeCell ref="C2:E2"/>
    <mergeCell ref="B3:E3"/>
    <mergeCell ref="B4:E4"/>
    <mergeCell ref="B5:E5"/>
    <mergeCell ref="A6:F6"/>
    <mergeCell ref="B7:E7"/>
  </mergeCells>
  <dataValidations count="1">
    <dataValidation type="list" allowBlank="1" showInputMessage="1" prompt="This field is to be used when filing under seal." sqref="D31:E31">
      <formula1>$E$61:$E$63</formula1>
    </dataValidation>
  </dataValidations>
  <printOptions horizontalCentered="1"/>
  <pageMargins left="0.5" right="0.5" top="0.75" bottom="0.25" header="0.3" footer="0.3"/>
  <pageSetup scale="99" orientation="portrait" r:id="rId2"/>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
  <sheetViews>
    <sheetView showGridLines="0" zoomScaleNormal="100" zoomScaleSheetLayoutView="100" workbookViewId="0">
      <selection activeCell="E19" sqref="E19"/>
    </sheetView>
  </sheetViews>
  <sheetFormatPr defaultRowHeight="15"/>
  <cols>
    <col min="1" max="1" width="3.85546875" style="329" customWidth="1"/>
    <col min="2" max="2" width="16.5703125" style="329" customWidth="1"/>
    <col min="3" max="3" width="39" style="329" customWidth="1"/>
    <col min="4" max="4" width="20.140625" style="329" customWidth="1"/>
    <col min="5" max="5" width="16.28515625" style="329" bestFit="1" customWidth="1"/>
    <col min="6" max="6" width="3" style="686" customWidth="1"/>
    <col min="7" max="16384" width="9.140625" style="329"/>
  </cols>
  <sheetData>
    <row r="1" spans="1:6">
      <c r="A1" s="328">
        <v>1</v>
      </c>
      <c r="B1" s="21"/>
      <c r="C1" s="21"/>
      <c r="D1" s="285" t="s">
        <v>149</v>
      </c>
      <c r="E1" s="303">
        <f>IF(Cover!D13&gt;0, Cover!D13,"")</f>
        <v>2011</v>
      </c>
    </row>
    <row r="2" spans="1:6">
      <c r="A2" s="328">
        <v>2</v>
      </c>
      <c r="B2" s="57" t="s">
        <v>150</v>
      </c>
      <c r="C2" s="1203" t="str">
        <f>IF(Cover!A1&gt;0, Cover!A1, "")</f>
        <v>Algonquin Water Resources of Missouri, LLC dba Liberty Utilities</v>
      </c>
      <c r="D2" s="1203"/>
      <c r="E2" s="1203"/>
    </row>
    <row r="3" spans="1:6" ht="12.75" customHeight="1">
      <c r="A3" s="328"/>
      <c r="B3" s="57"/>
      <c r="C3" s="57"/>
      <c r="D3" s="61"/>
      <c r="E3" s="61"/>
    </row>
    <row r="4" spans="1:6">
      <c r="A4" s="1171" t="s">
        <v>816</v>
      </c>
      <c r="B4" s="1171"/>
      <c r="C4" s="1171"/>
      <c r="D4" s="1171"/>
      <c r="E4" s="1171"/>
    </row>
    <row r="5" spans="1:6">
      <c r="A5" s="304"/>
      <c r="B5" s="304"/>
      <c r="C5" s="304"/>
      <c r="D5" s="304"/>
      <c r="E5" s="304"/>
    </row>
    <row r="6" spans="1:6">
      <c r="A6" s="330">
        <v>3</v>
      </c>
      <c r="B6" s="331" t="s">
        <v>650</v>
      </c>
      <c r="C6" s="332" t="s">
        <v>807</v>
      </c>
      <c r="D6" s="800">
        <f>'Page 5'!E26</f>
        <v>0</v>
      </c>
      <c r="E6" s="324"/>
    </row>
    <row r="7" spans="1:6">
      <c r="A7" s="333" t="s">
        <v>170</v>
      </c>
      <c r="B7" s="334" t="s">
        <v>655</v>
      </c>
      <c r="C7" s="334"/>
      <c r="D7" s="334"/>
      <c r="E7" s="334" t="s">
        <v>654</v>
      </c>
      <c r="F7" s="686" t="s">
        <v>170</v>
      </c>
    </row>
    <row r="8" spans="1:6">
      <c r="A8" s="353"/>
      <c r="B8" s="1213"/>
      <c r="C8" s="1214"/>
      <c r="D8" s="1215"/>
      <c r="E8" s="798"/>
      <c r="F8" s="353"/>
    </row>
    <row r="9" spans="1:6">
      <c r="A9" s="94"/>
      <c r="B9" s="1213"/>
      <c r="C9" s="1214"/>
      <c r="D9" s="1215"/>
      <c r="E9" s="798"/>
      <c r="F9" s="94"/>
    </row>
    <row r="10" spans="1:6">
      <c r="A10" s="94"/>
      <c r="B10" s="1213"/>
      <c r="C10" s="1214"/>
      <c r="D10" s="1215"/>
      <c r="E10" s="798"/>
      <c r="F10" s="94"/>
    </row>
    <row r="11" spans="1:6">
      <c r="A11" s="94"/>
      <c r="B11" s="1213"/>
      <c r="C11" s="1214"/>
      <c r="D11" s="1215"/>
      <c r="E11" s="798"/>
      <c r="F11" s="94"/>
    </row>
    <row r="12" spans="1:6">
      <c r="A12" s="94"/>
      <c r="B12" s="1213"/>
      <c r="C12" s="1214"/>
      <c r="D12" s="1215"/>
      <c r="E12" s="798"/>
      <c r="F12" s="94"/>
    </row>
    <row r="13" spans="1:6">
      <c r="A13" s="354"/>
      <c r="B13" s="1207" t="s">
        <v>669</v>
      </c>
      <c r="C13" s="1208"/>
      <c r="D13" s="1209"/>
      <c r="E13" s="799">
        <f>SUM(E8:E12)</f>
        <v>0</v>
      </c>
      <c r="F13" s="354"/>
    </row>
    <row r="14" spans="1:6" ht="30" customHeight="1">
      <c r="A14" s="333"/>
      <c r="B14" s="62"/>
      <c r="C14" s="62"/>
      <c r="D14" s="335"/>
      <c r="E14" s="337"/>
    </row>
    <row r="15" spans="1:6">
      <c r="A15" s="330">
        <v>4</v>
      </c>
      <c r="B15" s="331" t="s">
        <v>651</v>
      </c>
      <c r="C15" s="332" t="s">
        <v>808</v>
      </c>
      <c r="D15" s="800">
        <f>'Page 5'!E27</f>
        <v>170987.14</v>
      </c>
      <c r="E15" s="324"/>
    </row>
    <row r="16" spans="1:6">
      <c r="A16" s="333" t="s">
        <v>170</v>
      </c>
      <c r="B16" s="334" t="s">
        <v>655</v>
      </c>
      <c r="C16" s="334"/>
      <c r="D16" s="334"/>
      <c r="E16" s="334" t="s">
        <v>654</v>
      </c>
      <c r="F16" s="686" t="s">
        <v>170</v>
      </c>
    </row>
    <row r="17" spans="1:6">
      <c r="A17" s="353"/>
      <c r="B17" s="1213" t="s">
        <v>933</v>
      </c>
      <c r="C17" s="1214"/>
      <c r="D17" s="1215"/>
      <c r="E17" s="798">
        <v>117468.73</v>
      </c>
      <c r="F17" s="353"/>
    </row>
    <row r="18" spans="1:6">
      <c r="A18" s="94"/>
      <c r="B18" s="1213" t="s">
        <v>934</v>
      </c>
      <c r="C18" s="1214"/>
      <c r="D18" s="1215"/>
      <c r="E18" s="798">
        <f>28263.4+20882.81</f>
        <v>49146.210000000006</v>
      </c>
      <c r="F18" s="94"/>
    </row>
    <row r="19" spans="1:6">
      <c r="A19" s="94"/>
      <c r="B19" s="1213" t="s">
        <v>935</v>
      </c>
      <c r="C19" s="1214"/>
      <c r="D19" s="1215"/>
      <c r="E19" s="798">
        <v>4372.2</v>
      </c>
      <c r="F19" s="94"/>
    </row>
    <row r="20" spans="1:6">
      <c r="A20" s="94"/>
      <c r="B20" s="1213"/>
      <c r="C20" s="1214"/>
      <c r="D20" s="1215"/>
      <c r="E20" s="798"/>
      <c r="F20" s="94"/>
    </row>
    <row r="21" spans="1:6">
      <c r="A21" s="94"/>
      <c r="B21" s="1213"/>
      <c r="C21" s="1214"/>
      <c r="D21" s="1215"/>
      <c r="E21" s="798"/>
      <c r="F21" s="94"/>
    </row>
    <row r="22" spans="1:6">
      <c r="A22" s="354"/>
      <c r="B22" s="1207" t="s">
        <v>670</v>
      </c>
      <c r="C22" s="1208"/>
      <c r="D22" s="1209"/>
      <c r="E22" s="799">
        <f>SUM(E17:E21)</f>
        <v>170987.14</v>
      </c>
      <c r="F22" s="354"/>
    </row>
    <row r="23" spans="1:6" ht="30" customHeight="1"/>
    <row r="24" spans="1:6">
      <c r="A24" s="345"/>
      <c r="B24" s="346"/>
      <c r="C24" s="347"/>
      <c r="D24" s="348"/>
      <c r="E24" s="324"/>
      <c r="F24" s="55"/>
    </row>
    <row r="25" spans="1:6">
      <c r="A25" s="350"/>
      <c r="B25" s="301"/>
      <c r="C25" s="301"/>
      <c r="D25" s="301"/>
      <c r="E25" s="301"/>
      <c r="F25" s="55"/>
    </row>
    <row r="26" spans="1:6">
      <c r="A26" s="350"/>
      <c r="B26" s="1217"/>
      <c r="C26" s="1217"/>
      <c r="D26" s="1217"/>
      <c r="E26" s="351"/>
      <c r="F26" s="55"/>
    </row>
    <row r="27" spans="1:6">
      <c r="A27" s="350"/>
      <c r="B27" s="1216"/>
      <c r="C27" s="1216"/>
      <c r="D27" s="1216"/>
      <c r="E27" s="351"/>
      <c r="F27" s="55"/>
    </row>
    <row r="28" spans="1:6">
      <c r="A28" s="350"/>
      <c r="B28" s="1216"/>
      <c r="C28" s="1216"/>
      <c r="D28" s="1216"/>
      <c r="E28" s="351"/>
      <c r="F28" s="55"/>
    </row>
    <row r="29" spans="1:6">
      <c r="A29" s="350"/>
      <c r="B29" s="1216"/>
      <c r="C29" s="1216"/>
      <c r="D29" s="1216"/>
      <c r="E29" s="351"/>
      <c r="F29" s="55"/>
    </row>
    <row r="30" spans="1:6">
      <c r="A30" s="350"/>
      <c r="B30" s="1216"/>
      <c r="C30" s="1216"/>
      <c r="D30" s="1216"/>
      <c r="E30" s="351"/>
      <c r="F30" s="55"/>
    </row>
    <row r="31" spans="1:6" s="261" customFormat="1">
      <c r="A31" s="372"/>
      <c r="B31" s="1218"/>
      <c r="C31" s="1218"/>
      <c r="D31" s="1218"/>
      <c r="E31" s="374"/>
      <c r="F31" s="711"/>
    </row>
    <row r="32" spans="1:6" s="261" customFormat="1" ht="30" customHeight="1">
      <c r="A32" s="375"/>
      <c r="B32" s="375"/>
      <c r="C32" s="375"/>
      <c r="D32" s="375"/>
      <c r="E32" s="375"/>
      <c r="F32" s="711"/>
    </row>
    <row r="33" spans="1:6" s="261" customFormat="1">
      <c r="A33" s="376"/>
      <c r="B33" s="377"/>
      <c r="C33" s="378"/>
      <c r="D33" s="379"/>
      <c r="E33" s="242"/>
      <c r="F33" s="711"/>
    </row>
    <row r="34" spans="1:6" s="261" customFormat="1">
      <c r="A34" s="372"/>
      <c r="B34" s="226"/>
      <c r="C34" s="226"/>
      <c r="D34" s="226"/>
      <c r="E34" s="226"/>
      <c r="F34" s="711"/>
    </row>
    <row r="35" spans="1:6" s="261" customFormat="1">
      <c r="A35" s="372"/>
      <c r="B35" s="1219"/>
      <c r="C35" s="1219"/>
      <c r="D35" s="1219"/>
      <c r="E35" s="380"/>
      <c r="F35" s="711"/>
    </row>
    <row r="36" spans="1:6" s="261" customFormat="1">
      <c r="A36" s="372"/>
      <c r="B36" s="1218"/>
      <c r="C36" s="1218"/>
      <c r="D36" s="1218"/>
      <c r="E36" s="380"/>
      <c r="F36" s="711"/>
    </row>
    <row r="37" spans="1:6" s="261" customFormat="1">
      <c r="A37" s="372"/>
      <c r="B37" s="1218"/>
      <c r="C37" s="1218"/>
      <c r="D37" s="1218"/>
      <c r="E37" s="380"/>
      <c r="F37" s="711"/>
    </row>
    <row r="38" spans="1:6" s="261" customFormat="1">
      <c r="A38" s="372"/>
      <c r="B38" s="1218"/>
      <c r="C38" s="1218"/>
      <c r="D38" s="1218"/>
      <c r="E38" s="380"/>
      <c r="F38" s="711"/>
    </row>
    <row r="39" spans="1:6" s="261" customFormat="1">
      <c r="A39" s="372"/>
      <c r="B39" s="1218"/>
      <c r="C39" s="1218"/>
      <c r="D39" s="1218"/>
      <c r="E39" s="380"/>
      <c r="F39" s="711"/>
    </row>
    <row r="40" spans="1:6" s="261" customFormat="1">
      <c r="A40" s="372"/>
      <c r="B40" s="1218"/>
      <c r="C40" s="1218"/>
      <c r="D40" s="1218"/>
      <c r="E40" s="374"/>
      <c r="F40" s="711"/>
    </row>
    <row r="41" spans="1:6" ht="34.5" customHeight="1">
      <c r="A41" s="333"/>
      <c r="B41" s="62"/>
      <c r="C41" s="62"/>
      <c r="D41" s="62"/>
      <c r="E41" s="337"/>
    </row>
    <row r="42" spans="1:6" ht="18">
      <c r="A42" s="297"/>
      <c r="B42" s="298" t="s">
        <v>712</v>
      </c>
      <c r="C42" s="301"/>
      <c r="D42" s="1104"/>
      <c r="E42" s="1105"/>
    </row>
    <row r="43" spans="1:6">
      <c r="A43" s="299"/>
      <c r="B43" s="300" t="s">
        <v>713</v>
      </c>
      <c r="C43" s="300"/>
      <c r="D43" s="316"/>
      <c r="E43" s="302" t="s">
        <v>13</v>
      </c>
    </row>
    <row r="44" spans="1:6">
      <c r="B44" s="57"/>
      <c r="C44" s="21"/>
      <c r="D44" s="21"/>
      <c r="E44" s="21"/>
      <c r="F44" s="61"/>
    </row>
    <row r="45" spans="1:6">
      <c r="B45" s="57"/>
      <c r="C45" s="21"/>
      <c r="D45" s="21"/>
      <c r="E45" s="21"/>
      <c r="F45" s="61"/>
    </row>
    <row r="46" spans="1:6">
      <c r="B46" s="57"/>
      <c r="C46" s="21"/>
      <c r="D46" s="21"/>
      <c r="E46" s="21"/>
      <c r="F46" s="61"/>
    </row>
    <row r="47" spans="1:6">
      <c r="B47" s="57"/>
      <c r="C47" s="21"/>
      <c r="D47" s="21"/>
      <c r="E47" s="21"/>
      <c r="F47" s="61"/>
    </row>
    <row r="48" spans="1:6">
      <c r="B48" s="57"/>
      <c r="C48" s="21"/>
      <c r="D48" s="21"/>
      <c r="E48" s="21"/>
      <c r="F48" s="61"/>
    </row>
    <row r="49" spans="2:6">
      <c r="B49" s="57"/>
      <c r="C49" s="21"/>
      <c r="D49" s="21"/>
      <c r="E49" s="21"/>
      <c r="F49" s="61"/>
    </row>
    <row r="50" spans="2:6">
      <c r="B50" s="57"/>
      <c r="C50" s="21"/>
      <c r="D50" s="21"/>
      <c r="E50" s="21"/>
      <c r="F50" s="61"/>
    </row>
    <row r="51" spans="2:6">
      <c r="B51" s="57"/>
      <c r="C51" s="21"/>
      <c r="D51" s="21"/>
      <c r="E51" s="21"/>
      <c r="F51" s="61"/>
    </row>
    <row r="52" spans="2:6">
      <c r="B52" s="57"/>
      <c r="C52" s="21"/>
      <c r="D52" s="21"/>
      <c r="E52" s="21"/>
      <c r="F52" s="61"/>
    </row>
    <row r="53" spans="2:6">
      <c r="B53" s="57"/>
      <c r="C53" s="21"/>
      <c r="D53" s="21"/>
      <c r="E53" s="21"/>
      <c r="F53" s="61"/>
    </row>
    <row r="54" spans="2:6">
      <c r="B54" s="57"/>
      <c r="C54" s="21"/>
      <c r="D54" s="21"/>
      <c r="E54" s="21"/>
      <c r="F54" s="61"/>
    </row>
    <row r="55" spans="2:6">
      <c r="B55" s="57"/>
      <c r="C55" s="21"/>
      <c r="D55" s="21"/>
      <c r="E55" s="21"/>
      <c r="F55" s="61"/>
    </row>
    <row r="56" spans="2:6">
      <c r="B56" s="57"/>
      <c r="C56" s="21"/>
      <c r="D56" s="21"/>
      <c r="E56" s="21"/>
      <c r="F56" s="61"/>
    </row>
    <row r="57" spans="2:6">
      <c r="B57" s="57"/>
      <c r="C57" s="21"/>
      <c r="D57" s="21"/>
      <c r="E57" s="21"/>
      <c r="F57" s="61"/>
    </row>
    <row r="58" spans="2:6">
      <c r="B58" s="57"/>
      <c r="C58" s="21"/>
      <c r="D58" s="21"/>
      <c r="E58" s="21"/>
      <c r="F58" s="61"/>
    </row>
    <row r="59" spans="2:6">
      <c r="B59" s="57"/>
      <c r="C59" s="21"/>
      <c r="D59" s="21"/>
      <c r="E59" s="21"/>
      <c r="F59" s="61"/>
    </row>
    <row r="60" spans="2:6">
      <c r="B60" s="57"/>
      <c r="C60" s="21"/>
      <c r="D60" s="21" t="s">
        <v>14</v>
      </c>
      <c r="E60" s="21"/>
      <c r="F60" s="61"/>
    </row>
    <row r="61" spans="2:6">
      <c r="B61" s="57"/>
      <c r="C61" s="21"/>
      <c r="D61" s="21" t="s">
        <v>15</v>
      </c>
      <c r="E61" s="21"/>
      <c r="F61" s="61"/>
    </row>
  </sheetData>
  <sheetProtection password="C0F1" sheet="1" formatCells="0" formatColumns="0" formatRows="0" insertColumns="0" insertRows="0"/>
  <customSheetViews>
    <customSheetView guid="{1F4AFEE5-5BDD-4100-B0E9-57B262CA123C}" scale="115" showPageBreaks="1" showGridLines="0" fitToPage="1" printArea="1" view="pageBreakPreview">
      <pageMargins left="0.45" right="0.45" top="0.5" bottom="0.25" header="0.3" footer="0.3"/>
      <printOptions horizontalCentered="1"/>
      <pageSetup orientation="portrait" r:id="rId1"/>
      <headerFooter>
        <oddFooter>&amp;C&amp;A</oddFooter>
      </headerFooter>
    </customSheetView>
  </customSheetViews>
  <mergeCells count="27">
    <mergeCell ref="B39:D39"/>
    <mergeCell ref="B40:D40"/>
    <mergeCell ref="D42:E42"/>
    <mergeCell ref="B30:D30"/>
    <mergeCell ref="B31:D31"/>
    <mergeCell ref="B35:D35"/>
    <mergeCell ref="B36:D36"/>
    <mergeCell ref="B37:D37"/>
    <mergeCell ref="B38:D38"/>
    <mergeCell ref="B29:D29"/>
    <mergeCell ref="B12:D12"/>
    <mergeCell ref="B13:D13"/>
    <mergeCell ref="B17:D17"/>
    <mergeCell ref="B18:D18"/>
    <mergeCell ref="B19:D19"/>
    <mergeCell ref="B20:D20"/>
    <mergeCell ref="B21:D21"/>
    <mergeCell ref="B22:D22"/>
    <mergeCell ref="B26:D26"/>
    <mergeCell ref="B27:D27"/>
    <mergeCell ref="B28:D28"/>
    <mergeCell ref="B11:D11"/>
    <mergeCell ref="C2:E2"/>
    <mergeCell ref="A4:E4"/>
    <mergeCell ref="B8:D8"/>
    <mergeCell ref="B9:D9"/>
    <mergeCell ref="B10:D10"/>
  </mergeCells>
  <dataValidations count="1">
    <dataValidation type="list" allowBlank="1" showInputMessage="1" prompt="This field is to be used when filing under seal." sqref="D42:E42">
      <formula1>$D$59:$D$61</formula1>
    </dataValidation>
  </dataValidations>
  <printOptions horizontalCentered="1"/>
  <pageMargins left="0.45" right="0.45" top="0.5" bottom="0.25" header="0.3" footer="0.3"/>
  <pageSetup scale="97" orientation="portrait" r:id="rId2"/>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showGridLines="0" zoomScaleNormal="100" zoomScaleSheetLayoutView="100" workbookViewId="0">
      <selection activeCell="C9" sqref="C9"/>
    </sheetView>
  </sheetViews>
  <sheetFormatPr defaultColWidth="10.7109375" defaultRowHeight="15"/>
  <cols>
    <col min="1" max="1" width="2.7109375" style="338" customWidth="1"/>
    <col min="2" max="2" width="14.7109375" style="57" customWidth="1"/>
    <col min="3" max="3" width="44.7109375" style="57" customWidth="1"/>
    <col min="4" max="4" width="2.42578125" style="21" customWidth="1"/>
    <col min="5" max="5" width="17.28515625" style="21" customWidth="1"/>
    <col min="6" max="6" width="17.140625" style="21" customWidth="1"/>
    <col min="7" max="7" width="2.42578125" style="21" customWidth="1"/>
    <col min="8" max="8" width="9.140625" style="301" customWidth="1"/>
    <col min="9" max="250" width="9.140625" style="118" customWidth="1"/>
    <col min="251" max="251" width="2.7109375" style="118" customWidth="1"/>
    <col min="252" max="252" width="9.5703125" style="118" bestFit="1" customWidth="1"/>
    <col min="253" max="16384" width="10.7109375" style="118"/>
  </cols>
  <sheetData>
    <row r="1" spans="1:8" s="21" customFormat="1" ht="12.75">
      <c r="A1" s="117">
        <v>1</v>
      </c>
      <c r="C1" s="57"/>
      <c r="D1" s="57"/>
      <c r="E1" s="285" t="s">
        <v>149</v>
      </c>
      <c r="F1" s="286">
        <f>IF(Cover!D13&gt;0, Cover!D13, "")</f>
        <v>2011</v>
      </c>
      <c r="G1" s="68"/>
      <c r="H1" s="322"/>
    </row>
    <row r="2" spans="1:8" s="21" customFormat="1" ht="12.75">
      <c r="A2" s="117">
        <v>2</v>
      </c>
      <c r="B2" s="57" t="s">
        <v>150</v>
      </c>
      <c r="C2" s="1203" t="str">
        <f>IF(Cover!A1&gt;0, Cover!A1, " ")</f>
        <v>Algonquin Water Resources of Missouri, LLC dba Liberty Utilities</v>
      </c>
      <c r="D2" s="1203"/>
      <c r="E2" s="1203"/>
      <c r="F2" s="1203"/>
      <c r="G2" s="293"/>
      <c r="H2" s="293"/>
    </row>
    <row r="3" spans="1:8" ht="5.0999999999999996" customHeight="1">
      <c r="B3" s="1170"/>
      <c r="C3" s="1170"/>
      <c r="D3" s="1170"/>
      <c r="E3" s="1170"/>
      <c r="F3" s="1170"/>
      <c r="G3" s="57"/>
      <c r="H3" s="293"/>
    </row>
    <row r="4" spans="1:8">
      <c r="B4" s="1171" t="s">
        <v>222</v>
      </c>
      <c r="C4" s="1171"/>
      <c r="D4" s="1171"/>
      <c r="E4" s="1171"/>
      <c r="F4" s="1171"/>
      <c r="G4" s="1171"/>
      <c r="H4" s="355"/>
    </row>
    <row r="5" spans="1:8" ht="5.0999999999999996" customHeight="1" thickBot="1">
      <c r="B5" s="1224"/>
      <c r="C5" s="1224"/>
      <c r="D5" s="1224"/>
      <c r="E5" s="1224"/>
      <c r="F5" s="1224"/>
      <c r="G5" s="57"/>
      <c r="H5" s="293"/>
    </row>
    <row r="6" spans="1:8">
      <c r="B6" s="1226" t="s">
        <v>542</v>
      </c>
      <c r="C6" s="1228" t="s">
        <v>565</v>
      </c>
      <c r="D6" s="356"/>
      <c r="E6" s="1225" t="s">
        <v>223</v>
      </c>
      <c r="F6" s="1225"/>
      <c r="G6" s="357"/>
      <c r="H6" s="55"/>
    </row>
    <row r="7" spans="1:8" ht="57" customHeight="1" thickBot="1">
      <c r="B7" s="1227"/>
      <c r="C7" s="1229"/>
      <c r="D7" s="358" t="s">
        <v>170</v>
      </c>
      <c r="E7" s="729" t="s">
        <v>544</v>
      </c>
      <c r="F7" s="730" t="s">
        <v>543</v>
      </c>
      <c r="G7" s="359" t="s">
        <v>170</v>
      </c>
      <c r="H7" s="55"/>
    </row>
    <row r="8" spans="1:8" ht="21.95" customHeight="1">
      <c r="A8" s="338">
        <v>3</v>
      </c>
      <c r="B8" s="139"/>
      <c r="C8" s="143" t="s">
        <v>467</v>
      </c>
      <c r="D8" s="94"/>
      <c r="E8" s="99"/>
      <c r="F8" s="99"/>
      <c r="G8" s="720"/>
      <c r="H8" s="362"/>
    </row>
    <row r="9" spans="1:8" ht="21.95" customHeight="1">
      <c r="A9" s="338">
        <v>4</v>
      </c>
      <c r="B9" s="139"/>
      <c r="C9" s="143"/>
      <c r="D9" s="95"/>
      <c r="E9" s="99"/>
      <c r="F9" s="99"/>
      <c r="G9" s="719"/>
      <c r="H9" s="362"/>
    </row>
    <row r="10" spans="1:8" ht="21.95" customHeight="1">
      <c r="A10" s="338">
        <v>5</v>
      </c>
      <c r="B10" s="139"/>
      <c r="C10" s="143"/>
      <c r="D10" s="94"/>
      <c r="E10" s="99"/>
      <c r="F10" s="99"/>
      <c r="G10" s="720"/>
      <c r="H10" s="362"/>
    </row>
    <row r="11" spans="1:8" ht="21.95" customHeight="1">
      <c r="A11" s="338">
        <v>6</v>
      </c>
      <c r="B11" s="139"/>
      <c r="C11" s="143"/>
      <c r="D11" s="94"/>
      <c r="E11" s="99"/>
      <c r="F11" s="99"/>
      <c r="G11" s="720"/>
      <c r="H11" s="362"/>
    </row>
    <row r="12" spans="1:8" ht="21.95" customHeight="1">
      <c r="A12" s="338">
        <v>7</v>
      </c>
      <c r="B12" s="139"/>
      <c r="C12" s="143"/>
      <c r="D12" s="94"/>
      <c r="E12" s="99"/>
      <c r="F12" s="99"/>
      <c r="G12" s="720"/>
      <c r="H12" s="362"/>
    </row>
    <row r="13" spans="1:8" ht="21.95" customHeight="1">
      <c r="A13" s="338">
        <v>8</v>
      </c>
      <c r="B13" s="139"/>
      <c r="C13" s="143"/>
      <c r="D13" s="94"/>
      <c r="E13" s="99"/>
      <c r="F13" s="99"/>
      <c r="G13" s="720"/>
      <c r="H13" s="362"/>
    </row>
    <row r="14" spans="1:8" ht="21.95" customHeight="1">
      <c r="A14" s="338">
        <v>9</v>
      </c>
      <c r="B14" s="139"/>
      <c r="C14" s="143"/>
      <c r="D14" s="94"/>
      <c r="E14" s="99"/>
      <c r="F14" s="99"/>
      <c r="G14" s="720"/>
      <c r="H14" s="362"/>
    </row>
    <row r="15" spans="1:8" ht="21.95" customHeight="1">
      <c r="A15" s="338">
        <v>10</v>
      </c>
      <c r="B15" s="139"/>
      <c r="C15" s="143"/>
      <c r="D15" s="94"/>
      <c r="E15" s="99"/>
      <c r="F15" s="99"/>
      <c r="G15" s="720"/>
      <c r="H15" s="362"/>
    </row>
    <row r="16" spans="1:8" ht="21.95" customHeight="1">
      <c r="A16" s="338">
        <v>11</v>
      </c>
      <c r="B16" s="139"/>
      <c r="C16" s="143"/>
      <c r="D16" s="94"/>
      <c r="E16" s="99"/>
      <c r="F16" s="99"/>
      <c r="G16" s="720"/>
      <c r="H16" s="362"/>
    </row>
    <row r="17" spans="1:8" ht="21.95" customHeight="1">
      <c r="A17" s="338">
        <v>12</v>
      </c>
      <c r="B17" s="139"/>
      <c r="C17" s="143"/>
      <c r="D17" s="94"/>
      <c r="E17" s="99"/>
      <c r="F17" s="99"/>
      <c r="G17" s="720"/>
      <c r="H17" s="362"/>
    </row>
    <row r="18" spans="1:8" ht="21.95" customHeight="1">
      <c r="A18" s="338">
        <v>13</v>
      </c>
      <c r="B18" s="139"/>
      <c r="C18" s="143"/>
      <c r="D18" s="94"/>
      <c r="E18" s="99"/>
      <c r="F18" s="99"/>
      <c r="G18" s="720"/>
      <c r="H18" s="362"/>
    </row>
    <row r="19" spans="1:8" ht="21.95" customHeight="1">
      <c r="A19" s="338">
        <v>14</v>
      </c>
      <c r="B19" s="139"/>
      <c r="C19" s="143"/>
      <c r="D19" s="94"/>
      <c r="E19" s="99"/>
      <c r="F19" s="99"/>
      <c r="G19" s="720"/>
      <c r="H19" s="362"/>
    </row>
    <row r="20" spans="1:8" ht="21.95" customHeight="1">
      <c r="A20" s="338">
        <v>15</v>
      </c>
      <c r="B20" s="139"/>
      <c r="C20" s="143"/>
      <c r="D20" s="94"/>
      <c r="E20" s="99"/>
      <c r="F20" s="99"/>
      <c r="G20" s="720"/>
      <c r="H20" s="362"/>
    </row>
    <row r="21" spans="1:8" ht="21.95" customHeight="1">
      <c r="A21" s="338">
        <v>16</v>
      </c>
      <c r="B21" s="139"/>
      <c r="C21" s="143"/>
      <c r="D21" s="94"/>
      <c r="E21" s="99"/>
      <c r="F21" s="99"/>
      <c r="G21" s="720"/>
      <c r="H21" s="362"/>
    </row>
    <row r="22" spans="1:8" ht="21.95" customHeight="1">
      <c r="A22" s="338">
        <v>17</v>
      </c>
      <c r="B22" s="139"/>
      <c r="C22" s="143"/>
      <c r="D22" s="94"/>
      <c r="E22" s="99"/>
      <c r="F22" s="99"/>
      <c r="G22" s="720"/>
      <c r="H22" s="362"/>
    </row>
    <row r="23" spans="1:8" ht="21.95" customHeight="1">
      <c r="A23" s="338">
        <v>18</v>
      </c>
      <c r="B23" s="139"/>
      <c r="C23" s="143"/>
      <c r="D23" s="94"/>
      <c r="E23" s="99"/>
      <c r="F23" s="99"/>
      <c r="G23" s="720"/>
      <c r="H23" s="362"/>
    </row>
    <row r="24" spans="1:8" ht="21.95" customHeight="1">
      <c r="A24" s="338">
        <v>19</v>
      </c>
      <c r="B24" s="139"/>
      <c r="C24" s="143"/>
      <c r="D24" s="94"/>
      <c r="E24" s="99"/>
      <c r="F24" s="99"/>
      <c r="G24" s="720"/>
      <c r="H24" s="362"/>
    </row>
    <row r="25" spans="1:8" ht="21.95" customHeight="1">
      <c r="A25" s="338">
        <v>20</v>
      </c>
      <c r="B25" s="139"/>
      <c r="C25" s="143"/>
      <c r="D25" s="94"/>
      <c r="E25" s="99"/>
      <c r="F25" s="99"/>
      <c r="G25" s="720"/>
      <c r="H25" s="362"/>
    </row>
    <row r="26" spans="1:8" ht="21.95" customHeight="1">
      <c r="A26" s="338">
        <v>21</v>
      </c>
      <c r="B26" s="139"/>
      <c r="C26" s="143"/>
      <c r="D26" s="94"/>
      <c r="E26" s="99"/>
      <c r="F26" s="99"/>
      <c r="G26" s="720"/>
      <c r="H26" s="362"/>
    </row>
    <row r="27" spans="1:8" ht="21.95" customHeight="1">
      <c r="A27" s="338">
        <v>22</v>
      </c>
      <c r="B27" s="139"/>
      <c r="C27" s="143"/>
      <c r="D27" s="691"/>
      <c r="E27" s="99"/>
      <c r="F27" s="99"/>
      <c r="G27" s="723"/>
      <c r="H27" s="362"/>
    </row>
    <row r="28" spans="1:8" ht="21.95" customHeight="1">
      <c r="A28" s="338">
        <v>23</v>
      </c>
      <c r="B28" s="139"/>
      <c r="C28" s="143"/>
      <c r="D28" s="94"/>
      <c r="E28" s="99"/>
      <c r="F28" s="99"/>
      <c r="G28" s="720"/>
      <c r="H28" s="362"/>
    </row>
    <row r="29" spans="1:8" ht="21.95" customHeight="1">
      <c r="A29" s="338">
        <v>24</v>
      </c>
      <c r="B29" s="139"/>
      <c r="C29" s="143"/>
      <c r="D29" s="94"/>
      <c r="E29" s="99"/>
      <c r="F29" s="99"/>
      <c r="G29" s="720"/>
      <c r="H29" s="362"/>
    </row>
    <row r="30" spans="1:8" ht="21.95" customHeight="1">
      <c r="A30" s="338">
        <v>25</v>
      </c>
      <c r="B30" s="139"/>
      <c r="C30" s="143"/>
      <c r="D30" s="691"/>
      <c r="E30" s="99"/>
      <c r="F30" s="99"/>
      <c r="G30" s="723"/>
      <c r="H30" s="362"/>
    </row>
    <row r="31" spans="1:8" ht="21.95" customHeight="1">
      <c r="A31" s="338">
        <v>26</v>
      </c>
      <c r="B31" s="139"/>
      <c r="C31" s="143"/>
      <c r="D31" s="692"/>
      <c r="E31" s="99"/>
      <c r="F31" s="99"/>
      <c r="G31" s="724"/>
      <c r="H31" s="362"/>
    </row>
    <row r="32" spans="1:8" ht="21.95" customHeight="1">
      <c r="A32" s="338">
        <v>27</v>
      </c>
      <c r="B32" s="139"/>
      <c r="C32" s="143"/>
      <c r="D32" s="693"/>
      <c r="E32" s="99"/>
      <c r="F32" s="99"/>
      <c r="G32" s="725"/>
      <c r="H32" s="362"/>
    </row>
    <row r="33" spans="1:9" ht="21.95" customHeight="1">
      <c r="A33" s="338">
        <v>28</v>
      </c>
      <c r="B33" s="139"/>
      <c r="C33" s="143"/>
      <c r="D33" s="94"/>
      <c r="E33" s="99"/>
      <c r="F33" s="99"/>
      <c r="G33" s="720"/>
      <c r="H33" s="362"/>
    </row>
    <row r="34" spans="1:9" ht="21.95" customHeight="1">
      <c r="A34" s="338">
        <v>29</v>
      </c>
      <c r="B34" s="139"/>
      <c r="C34" s="143"/>
      <c r="D34" s="94"/>
      <c r="E34" s="99"/>
      <c r="F34" s="99"/>
      <c r="G34" s="720"/>
      <c r="H34" s="362"/>
    </row>
    <row r="35" spans="1:9" ht="21.95" customHeight="1">
      <c r="A35" s="338">
        <v>30</v>
      </c>
      <c r="B35" s="139"/>
      <c r="C35" s="143"/>
      <c r="D35" s="94"/>
      <c r="E35" s="102"/>
      <c r="F35" s="102"/>
      <c r="G35" s="720"/>
      <c r="H35" s="362"/>
    </row>
    <row r="36" spans="1:9" ht="21.95" customHeight="1" thickBot="1">
      <c r="A36" s="338">
        <v>31</v>
      </c>
      <c r="B36" s="360"/>
      <c r="C36" s="211" t="s">
        <v>711</v>
      </c>
      <c r="D36" s="94"/>
      <c r="E36" s="225">
        <f>SUM(E8:E35)</f>
        <v>0</v>
      </c>
      <c r="F36" s="225">
        <f>SUM(F8:F35)</f>
        <v>0</v>
      </c>
      <c r="G36" s="720"/>
      <c r="H36" s="362"/>
    </row>
    <row r="37" spans="1:9" ht="13.5" customHeight="1" thickTop="1" thickBot="1">
      <c r="B37" s="696"/>
      <c r="C37" s="726"/>
      <c r="D37" s="365"/>
      <c r="E37" s="727" t="s">
        <v>228</v>
      </c>
      <c r="F37" s="728" t="s">
        <v>229</v>
      </c>
      <c r="G37" s="366"/>
      <c r="H37" s="367"/>
    </row>
    <row r="38" spans="1:9" s="371" customFormat="1" ht="5.0999999999999996" customHeight="1" thickBot="1">
      <c r="A38" s="368"/>
      <c r="B38" s="1220"/>
      <c r="C38" s="1220"/>
      <c r="D38" s="1220"/>
      <c r="E38" s="1220"/>
      <c r="F38" s="1220"/>
      <c r="G38" s="369"/>
      <c r="H38" s="370"/>
    </row>
    <row r="39" spans="1:9" s="93" customFormat="1" ht="18.75" thickBot="1">
      <c r="A39" s="100"/>
      <c r="B39" s="275"/>
      <c r="C39" s="226"/>
      <c r="D39" s="17"/>
      <c r="E39" s="1221"/>
      <c r="F39" s="1222"/>
      <c r="G39" s="17"/>
      <c r="H39" s="226"/>
    </row>
    <row r="40" spans="1:9" s="93" customFormat="1" ht="10.5" customHeight="1">
      <c r="A40" s="228"/>
      <c r="B40" s="277" t="s">
        <v>713</v>
      </c>
      <c r="C40" s="277"/>
      <c r="D40" s="17"/>
      <c r="E40" s="1223" t="s">
        <v>13</v>
      </c>
      <c r="F40" s="1223"/>
      <c r="G40" s="17"/>
      <c r="H40" s="226"/>
    </row>
    <row r="41" spans="1:9" s="93" customFormat="1">
      <c r="A41" s="100"/>
      <c r="B41" s="83"/>
      <c r="C41" s="83"/>
      <c r="D41" s="17"/>
      <c r="G41" s="101"/>
      <c r="H41" s="103"/>
      <c r="I41" s="101"/>
    </row>
    <row r="42" spans="1:9">
      <c r="F42" s="57"/>
    </row>
    <row r="43" spans="1:9">
      <c r="F43" s="57"/>
    </row>
    <row r="44" spans="1:9">
      <c r="F44" s="57"/>
    </row>
    <row r="45" spans="1:9">
      <c r="F45" s="57"/>
    </row>
    <row r="46" spans="1:9">
      <c r="F46" s="57"/>
    </row>
    <row r="47" spans="1:9">
      <c r="F47" s="57"/>
    </row>
    <row r="48" spans="1:9">
      <c r="F48" s="57"/>
    </row>
    <row r="49" spans="5:6">
      <c r="F49" s="57"/>
    </row>
    <row r="50" spans="5:6">
      <c r="F50" s="57"/>
    </row>
    <row r="51" spans="5:6">
      <c r="F51" s="57"/>
    </row>
    <row r="52" spans="5:6">
      <c r="F52" s="57"/>
    </row>
    <row r="53" spans="5:6">
      <c r="F53" s="57"/>
    </row>
    <row r="54" spans="5:6">
      <c r="F54" s="57"/>
    </row>
    <row r="55" spans="5:6">
      <c r="E55" s="21" t="s">
        <v>14</v>
      </c>
      <c r="F55" s="57"/>
    </row>
    <row r="56" spans="5:6">
      <c r="E56" s="21" t="s">
        <v>15</v>
      </c>
      <c r="F56" s="57"/>
    </row>
    <row r="57" spans="5:6">
      <c r="F57" s="57"/>
    </row>
    <row r="58" spans="5:6">
      <c r="F58" s="57"/>
    </row>
    <row r="59" spans="5:6">
      <c r="F59" s="57"/>
    </row>
  </sheetData>
  <sheetProtection password="C0F1" sheet="1" formatCells="0" formatColumns="0" formatRows="0" insertColumns="0" insertRows="0"/>
  <customSheetViews>
    <customSheetView guid="{1F4AFEE5-5BDD-4100-B0E9-57B262CA123C}" scale="145" showPageBreaks="1" showGridLines="0" fitToPage="1" printArea="1" view="pageBreakPreview">
      <selection activeCell="C11" sqref="C11"/>
      <pageMargins left="0.45" right="0.45" top="0.5" bottom="0.25" header="0.3" footer="0.3"/>
      <printOptions horizontalCentered="1"/>
      <pageSetup scale="94" orientation="portrait" r:id="rId1"/>
      <headerFooter>
        <oddFooter>&amp;C&amp;A</oddFooter>
      </headerFooter>
    </customSheetView>
  </customSheetViews>
  <mergeCells count="10">
    <mergeCell ref="B3:F3"/>
    <mergeCell ref="C2:F2"/>
    <mergeCell ref="B38:F38"/>
    <mergeCell ref="E39:F39"/>
    <mergeCell ref="E40:F40"/>
    <mergeCell ref="B4:G4"/>
    <mergeCell ref="B5:F5"/>
    <mergeCell ref="E6:F6"/>
    <mergeCell ref="B6:B7"/>
    <mergeCell ref="C6:C7"/>
  </mergeCells>
  <dataValidations count="1">
    <dataValidation type="list" allowBlank="1" showInputMessage="1" sqref="E39:F39">
      <formula1>$E$54:$E$56</formula1>
    </dataValidation>
  </dataValidations>
  <printOptions horizontalCentered="1"/>
  <pageMargins left="0.45" right="0.45" top="0.5" bottom="0.25" header="0.3" footer="0.3"/>
  <pageSetup scale="94" orientation="portrait" r:id="rId2"/>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showGridLines="0" zoomScaleNormal="100" zoomScaleSheetLayoutView="100" workbookViewId="0">
      <selection activeCell="B28" sqref="B28"/>
    </sheetView>
  </sheetViews>
  <sheetFormatPr defaultColWidth="18.5703125" defaultRowHeight="15"/>
  <cols>
    <col min="1" max="1" width="4.140625" style="117" customWidth="1"/>
    <col min="2" max="2" width="41.7109375" style="394" customWidth="1"/>
    <col min="3" max="3" width="17.7109375" style="394" customWidth="1"/>
    <col min="4" max="4" width="16.85546875" style="389" customWidth="1"/>
    <col min="5" max="5" width="17.140625" style="389" customWidth="1"/>
    <col min="6" max="6" width="18.7109375" style="389" customWidth="1"/>
    <col min="7" max="7" width="1.7109375" style="389" customWidth="1"/>
    <col min="8" max="8" width="3.28515625" style="404" customWidth="1"/>
    <col min="9" max="9" width="3.140625" style="404" customWidth="1"/>
    <col min="10" max="247" width="9.140625" style="389" customWidth="1"/>
    <col min="248" max="248" width="3.28515625" style="389" bestFit="1" customWidth="1"/>
    <col min="249" max="249" width="2.7109375" style="389" customWidth="1"/>
    <col min="250" max="250" width="14.7109375" style="389" customWidth="1"/>
    <col min="251" max="16384" width="18.5703125" style="389"/>
  </cols>
  <sheetData>
    <row r="1" spans="1:14">
      <c r="B1" s="1238" t="s">
        <v>230</v>
      </c>
      <c r="C1" s="1238"/>
      <c r="D1" s="1238"/>
      <c r="E1" s="1238"/>
      <c r="F1" s="1238"/>
      <c r="H1" s="390">
        <v>2</v>
      </c>
      <c r="I1" s="390">
        <v>1</v>
      </c>
      <c r="J1" s="391"/>
    </row>
    <row r="2" spans="1:14" ht="8.1" customHeight="1">
      <c r="B2" s="1233"/>
      <c r="C2" s="1233"/>
      <c r="D2" s="1233"/>
      <c r="E2" s="1233"/>
      <c r="F2" s="1233"/>
      <c r="H2" s="1239" t="s">
        <v>231</v>
      </c>
      <c r="I2" s="1240" t="s">
        <v>149</v>
      </c>
    </row>
    <row r="3" spans="1:14" ht="41.25" customHeight="1">
      <c r="B3" s="1241" t="s">
        <v>566</v>
      </c>
      <c r="C3" s="1241"/>
      <c r="D3" s="1241"/>
      <c r="E3" s="1241"/>
      <c r="F3" s="1241"/>
      <c r="H3" s="1239"/>
      <c r="I3" s="1240"/>
    </row>
    <row r="4" spans="1:14" ht="21.75" customHeight="1" thickBot="1">
      <c r="B4" s="1233" t="s">
        <v>10</v>
      </c>
      <c r="C4" s="1233"/>
      <c r="D4" s="1233"/>
      <c r="E4" s="1233"/>
      <c r="F4" s="1233"/>
      <c r="H4" s="1239"/>
      <c r="I4" s="1240"/>
      <c r="J4" s="392"/>
      <c r="K4" s="392"/>
      <c r="L4" s="392"/>
      <c r="M4" s="392"/>
      <c r="N4" s="392"/>
    </row>
    <row r="5" spans="1:14" s="394" customFormat="1">
      <c r="A5" s="393"/>
      <c r="B5" s="1245" t="s">
        <v>548</v>
      </c>
      <c r="C5" s="1242" t="s">
        <v>232</v>
      </c>
      <c r="D5" s="1243"/>
      <c r="E5" s="1243"/>
      <c r="F5" s="1244"/>
      <c r="H5" s="1239"/>
      <c r="I5" s="1240"/>
    </row>
    <row r="6" spans="1:14" s="394" customFormat="1" ht="44.25" customHeight="1" thickBot="1">
      <c r="A6" s="393"/>
      <c r="B6" s="1246"/>
      <c r="C6" s="395" t="s">
        <v>545</v>
      </c>
      <c r="D6" s="395" t="s">
        <v>567</v>
      </c>
      <c r="E6" s="395" t="s">
        <v>546</v>
      </c>
      <c r="F6" s="396" t="s">
        <v>547</v>
      </c>
      <c r="H6" s="1237" t="str">
        <f>IF(Cover!A1&gt;0, Cover!A1, "")</f>
        <v>Algonquin Water Resources of Missouri, LLC dba Liberty Utilities</v>
      </c>
      <c r="I6" s="1240"/>
    </row>
    <row r="7" spans="1:14" ht="21" customHeight="1">
      <c r="A7" s="397">
        <v>3</v>
      </c>
      <c r="B7" s="157" t="s">
        <v>847</v>
      </c>
      <c r="C7" s="159"/>
      <c r="D7" s="159"/>
      <c r="E7" s="159"/>
      <c r="F7" s="160"/>
      <c r="H7" s="1237"/>
      <c r="I7" s="1240"/>
    </row>
    <row r="8" spans="1:14" ht="21" customHeight="1">
      <c r="A8" s="397">
        <v>4</v>
      </c>
      <c r="B8" s="157"/>
      <c r="C8" s="159"/>
      <c r="D8" s="159"/>
      <c r="E8" s="159"/>
      <c r="F8" s="160"/>
      <c r="H8" s="1237"/>
      <c r="I8" s="1240"/>
    </row>
    <row r="9" spans="1:14" ht="21" customHeight="1">
      <c r="A9" s="397">
        <v>5</v>
      </c>
      <c r="B9" s="157"/>
      <c r="C9" s="159"/>
      <c r="D9" s="159"/>
      <c r="E9" s="159"/>
      <c r="F9" s="160"/>
      <c r="H9" s="1237"/>
      <c r="I9" s="1240"/>
    </row>
    <row r="10" spans="1:14" ht="21" customHeight="1">
      <c r="A10" s="397">
        <v>6</v>
      </c>
      <c r="B10" s="158"/>
      <c r="C10" s="161"/>
      <c r="D10" s="161"/>
      <c r="E10" s="161"/>
      <c r="F10" s="160"/>
      <c r="H10" s="1237"/>
      <c r="I10" s="1240"/>
    </row>
    <row r="11" spans="1:14" ht="21" customHeight="1">
      <c r="A11" s="397">
        <v>7</v>
      </c>
      <c r="B11" s="158"/>
      <c r="C11" s="161"/>
      <c r="D11" s="161"/>
      <c r="E11" s="161"/>
      <c r="F11" s="160"/>
      <c r="H11" s="1237"/>
      <c r="I11" s="1240"/>
    </row>
    <row r="12" spans="1:14" ht="21" customHeight="1">
      <c r="A12" s="397">
        <v>8</v>
      </c>
      <c r="B12" s="158"/>
      <c r="C12" s="161"/>
      <c r="D12" s="161"/>
      <c r="E12" s="161"/>
      <c r="F12" s="160"/>
      <c r="H12" s="1237"/>
      <c r="I12" s="1240"/>
    </row>
    <row r="13" spans="1:14" ht="21" customHeight="1">
      <c r="A13" s="397">
        <v>9</v>
      </c>
      <c r="B13" s="158"/>
      <c r="C13" s="161"/>
      <c r="D13" s="161"/>
      <c r="E13" s="161"/>
      <c r="F13" s="160"/>
      <c r="H13" s="1237"/>
      <c r="I13" s="1240"/>
    </row>
    <row r="14" spans="1:14" ht="21" customHeight="1">
      <c r="A14" s="397">
        <v>10</v>
      </c>
      <c r="B14" s="158"/>
      <c r="C14" s="161"/>
      <c r="D14" s="161"/>
      <c r="E14" s="161"/>
      <c r="F14" s="160"/>
      <c r="H14" s="1237"/>
      <c r="I14" s="1240"/>
    </row>
    <row r="15" spans="1:14" ht="21" customHeight="1">
      <c r="A15" s="397">
        <v>11</v>
      </c>
      <c r="B15" s="158"/>
      <c r="C15" s="161"/>
      <c r="D15" s="161"/>
      <c r="E15" s="161"/>
      <c r="F15" s="160"/>
      <c r="H15" s="1237"/>
      <c r="I15" s="1240"/>
    </row>
    <row r="16" spans="1:14" ht="21" customHeight="1">
      <c r="A16" s="397">
        <v>12</v>
      </c>
      <c r="B16" s="158"/>
      <c r="C16" s="161"/>
      <c r="D16" s="161"/>
      <c r="E16" s="161"/>
      <c r="F16" s="160"/>
      <c r="H16" s="1237"/>
      <c r="I16" s="1240"/>
    </row>
    <row r="17" spans="1:9" ht="21" customHeight="1">
      <c r="A17" s="397">
        <v>13</v>
      </c>
      <c r="B17" s="158"/>
      <c r="C17" s="161"/>
      <c r="D17" s="161"/>
      <c r="E17" s="161"/>
      <c r="F17" s="160"/>
      <c r="H17" s="1237"/>
      <c r="I17" s="1240"/>
    </row>
    <row r="18" spans="1:9" ht="21" customHeight="1">
      <c r="A18" s="397">
        <v>14</v>
      </c>
      <c r="B18" s="158"/>
      <c r="C18" s="161"/>
      <c r="D18" s="161"/>
      <c r="E18" s="161"/>
      <c r="F18" s="160"/>
      <c r="H18" s="1237"/>
      <c r="I18" s="1240"/>
    </row>
    <row r="19" spans="1:9" ht="21" customHeight="1">
      <c r="A19" s="398">
        <v>15</v>
      </c>
      <c r="B19" s="158"/>
      <c r="C19" s="161"/>
      <c r="D19" s="161"/>
      <c r="E19" s="161"/>
      <c r="F19" s="160"/>
      <c r="H19" s="1237"/>
      <c r="I19" s="1240"/>
    </row>
    <row r="20" spans="1:9" ht="21" customHeight="1">
      <c r="A20" s="397">
        <v>16</v>
      </c>
      <c r="B20" s="158"/>
      <c r="C20" s="161"/>
      <c r="D20" s="161"/>
      <c r="E20" s="161"/>
      <c r="F20" s="160"/>
      <c r="H20" s="1237"/>
      <c r="I20" s="1240"/>
    </row>
    <row r="21" spans="1:9" ht="21" customHeight="1">
      <c r="A21" s="398">
        <v>17</v>
      </c>
      <c r="B21" s="158"/>
      <c r="C21" s="161"/>
      <c r="D21" s="161"/>
      <c r="E21" s="161"/>
      <c r="F21" s="160"/>
      <c r="H21" s="1237"/>
      <c r="I21" s="1240"/>
    </row>
    <row r="22" spans="1:9" ht="21" customHeight="1">
      <c r="A22" s="398">
        <v>18</v>
      </c>
      <c r="B22" s="158"/>
      <c r="C22" s="162"/>
      <c r="D22" s="162"/>
      <c r="E22" s="162"/>
      <c r="F22" s="163"/>
      <c r="H22" s="1237"/>
      <c r="I22" s="1240"/>
    </row>
    <row r="23" spans="1:9" ht="21" customHeight="1" thickBot="1">
      <c r="A23" s="398">
        <v>19</v>
      </c>
      <c r="B23" s="399" t="s">
        <v>233</v>
      </c>
      <c r="C23" s="225">
        <f>SUM(C7:C22)</f>
        <v>0</v>
      </c>
      <c r="D23" s="225">
        <f>SUM(D7:D22)</f>
        <v>0</v>
      </c>
      <c r="E23" s="225">
        <f>SUM(E7:E22)</f>
        <v>0</v>
      </c>
      <c r="F23" s="227">
        <f>SUM(F7:F22)</f>
        <v>0</v>
      </c>
      <c r="H23" s="1237"/>
      <c r="I23" s="1240"/>
    </row>
    <row r="24" spans="1:9" ht="12" customHeight="1" thickTop="1" thickBot="1">
      <c r="A24" s="1230" t="s">
        <v>234</v>
      </c>
      <c r="B24" s="400"/>
      <c r="C24" s="401"/>
      <c r="D24" s="402" t="s">
        <v>235</v>
      </c>
      <c r="E24" s="402" t="s">
        <v>236</v>
      </c>
      <c r="F24" s="403"/>
      <c r="H24" s="1237"/>
      <c r="I24" s="1232">
        <f>IF(Cover!D13&gt;0, Cover!D13, "")</f>
        <v>2011</v>
      </c>
    </row>
    <row r="25" spans="1:9" ht="8.1" customHeight="1">
      <c r="A25" s="1230"/>
      <c r="B25" s="1233"/>
      <c r="C25" s="1233"/>
      <c r="D25" s="1233"/>
      <c r="E25" s="1233"/>
      <c r="F25" s="1233"/>
      <c r="H25" s="1237"/>
      <c r="I25" s="1232"/>
    </row>
    <row r="26" spans="1:9" ht="18">
      <c r="A26" s="1230"/>
      <c r="B26" s="1234"/>
      <c r="C26" s="1234"/>
      <c r="D26" s="1234"/>
      <c r="E26" s="1235"/>
      <c r="F26" s="1236"/>
      <c r="H26" s="1237"/>
      <c r="I26" s="1232"/>
    </row>
    <row r="27" spans="1:9" s="97" customFormat="1">
      <c r="A27" s="228"/>
      <c r="B27" s="277" t="s">
        <v>713</v>
      </c>
      <c r="C27" s="104"/>
      <c r="E27" s="1231" t="s">
        <v>13</v>
      </c>
      <c r="F27" s="1231"/>
      <c r="H27" s="105"/>
      <c r="I27" s="105"/>
    </row>
    <row r="28" spans="1:9" s="97" customFormat="1">
      <c r="A28" s="92"/>
      <c r="B28" s="104"/>
      <c r="C28" s="104"/>
      <c r="H28" s="105"/>
      <c r="I28" s="105"/>
    </row>
    <row r="29" spans="1:9" s="97" customFormat="1">
      <c r="A29" s="92"/>
      <c r="B29" s="104"/>
      <c r="C29" s="104"/>
      <c r="E29" s="381"/>
      <c r="F29" s="382"/>
      <c r="H29" s="105"/>
      <c r="I29" s="105"/>
    </row>
    <row r="30" spans="1:9" s="97" customFormat="1">
      <c r="A30" s="92"/>
      <c r="B30" s="104"/>
      <c r="C30" s="104"/>
      <c r="E30" s="381"/>
      <c r="F30" s="382"/>
      <c r="H30" s="105"/>
      <c r="I30" s="105"/>
    </row>
    <row r="31" spans="1:9" s="97" customFormat="1">
      <c r="A31" s="92"/>
      <c r="B31" s="104"/>
      <c r="C31" s="104"/>
      <c r="E31" s="381"/>
      <c r="F31" s="382"/>
      <c r="H31" s="105"/>
      <c r="I31" s="105"/>
    </row>
    <row r="32" spans="1:9" s="97" customFormat="1">
      <c r="A32" s="92"/>
      <c r="B32" s="104"/>
      <c r="C32" s="104"/>
      <c r="E32" s="381"/>
      <c r="F32" s="382"/>
      <c r="H32" s="105"/>
      <c r="I32" s="105"/>
    </row>
    <row r="33" spans="5:6">
      <c r="E33" s="334"/>
      <c r="F33" s="405"/>
    </row>
    <row r="34" spans="5:6">
      <c r="E34" s="334"/>
      <c r="F34" s="405"/>
    </row>
    <row r="35" spans="5:6">
      <c r="E35" s="334"/>
      <c r="F35" s="405"/>
    </row>
    <row r="36" spans="5:6">
      <c r="E36" s="334"/>
      <c r="F36" s="405"/>
    </row>
    <row r="37" spans="5:6">
      <c r="E37" s="334"/>
      <c r="F37" s="405"/>
    </row>
    <row r="38" spans="5:6">
      <c r="E38" s="334"/>
      <c r="F38" s="405"/>
    </row>
    <row r="39" spans="5:6">
      <c r="E39" s="334"/>
      <c r="F39" s="405"/>
    </row>
    <row r="40" spans="5:6">
      <c r="E40" s="334"/>
      <c r="F40" s="405"/>
    </row>
    <row r="41" spans="5:6">
      <c r="E41" s="334"/>
      <c r="F41" s="405"/>
    </row>
    <row r="42" spans="5:6">
      <c r="E42" s="334" t="s">
        <v>14</v>
      </c>
      <c r="F42" s="405"/>
    </row>
    <row r="43" spans="5:6">
      <c r="E43" s="334" t="s">
        <v>15</v>
      </c>
      <c r="F43" s="405"/>
    </row>
    <row r="44" spans="5:6">
      <c r="E44" s="334"/>
      <c r="F44" s="405"/>
    </row>
    <row r="45" spans="5:6">
      <c r="E45" s="334"/>
      <c r="F45" s="405"/>
    </row>
    <row r="46" spans="5:6">
      <c r="E46" s="334"/>
      <c r="F46" s="405"/>
    </row>
  </sheetData>
  <sheetProtection password="C0F1" sheet="1" formatCells="0" formatColumns="0" formatRows="0" insertColumns="0" insertRows="0"/>
  <customSheetViews>
    <customSheetView guid="{1F4AFEE5-5BDD-4100-B0E9-57B262CA123C}" scale="115" showPageBreaks="1" showGridLines="0" fitToPage="1" printArea="1" view="pageBreakPreview">
      <pageMargins left="0.5" right="0.5" top="0.75" bottom="0.25" header="0.3" footer="0.3"/>
      <printOptions horizontalCentered="1"/>
      <pageSetup orientation="landscape" r:id="rId1"/>
      <headerFooter>
        <oddFooter>&amp;C&amp;A</oddFooter>
      </headerFooter>
    </customSheetView>
  </customSheetViews>
  <mergeCells count="15">
    <mergeCell ref="B1:F1"/>
    <mergeCell ref="B2:F2"/>
    <mergeCell ref="H2:H5"/>
    <mergeCell ref="I2:I23"/>
    <mergeCell ref="B3:F3"/>
    <mergeCell ref="B4:F4"/>
    <mergeCell ref="C5:F5"/>
    <mergeCell ref="B5:B6"/>
    <mergeCell ref="A24:A26"/>
    <mergeCell ref="E27:F27"/>
    <mergeCell ref="I24:I26"/>
    <mergeCell ref="B25:F25"/>
    <mergeCell ref="B26:D26"/>
    <mergeCell ref="E26:F26"/>
    <mergeCell ref="H6:H26"/>
  </mergeCells>
  <dataValidations count="1">
    <dataValidation type="list" allowBlank="1" showInputMessage="1" prompt="This field is to be used when filing under seal." sqref="E26:F26">
      <formula1>$E$41:$E$43</formula1>
    </dataValidation>
  </dataValidations>
  <printOptions horizontalCentered="1"/>
  <pageMargins left="0.5" right="0.5" top="0.75" bottom="0.25" header="0.3" footer="0.3"/>
  <pageSetup orientation="landscape"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showGridLines="0" zoomScaleNormal="100" zoomScaleSheetLayoutView="100" workbookViewId="0">
      <selection activeCell="C8" sqref="C8"/>
    </sheetView>
  </sheetViews>
  <sheetFormatPr defaultColWidth="3.5703125" defaultRowHeight="15"/>
  <cols>
    <col min="1" max="1" width="5.42578125" style="117" customWidth="1"/>
    <col min="2" max="2" width="45.85546875" style="174" customWidth="1"/>
    <col min="3" max="3" width="17.7109375" style="174" customWidth="1"/>
    <col min="4" max="4" width="18.42578125" style="118" customWidth="1"/>
    <col min="5" max="5" width="18.140625" style="118" customWidth="1"/>
    <col min="6" max="6" width="17.42578125" style="118" customWidth="1"/>
    <col min="7" max="7" width="1.7109375" style="118" customWidth="1"/>
    <col min="8" max="8" width="3.28515625" style="327" customWidth="1"/>
    <col min="9" max="9" width="3.140625" style="327" customWidth="1"/>
    <col min="10" max="247" width="9.140625" style="118" customWidth="1"/>
    <col min="248" max="248" width="3.5703125" style="118" bestFit="1"/>
    <col min="249" max="16384" width="3.5703125" style="118"/>
  </cols>
  <sheetData>
    <row r="1" spans="1:9">
      <c r="A1" s="398"/>
      <c r="B1" s="1171" t="s">
        <v>237</v>
      </c>
      <c r="C1" s="1171"/>
      <c r="D1" s="1171"/>
      <c r="E1" s="1171"/>
      <c r="F1" s="1171"/>
      <c r="H1" s="406">
        <v>2</v>
      </c>
      <c r="I1" s="406">
        <v>1</v>
      </c>
    </row>
    <row r="2" spans="1:9" ht="8.1" customHeight="1">
      <c r="A2" s="398"/>
      <c r="B2" s="57"/>
      <c r="H2" s="1248" t="s">
        <v>231</v>
      </c>
      <c r="I2" s="1240" t="s">
        <v>149</v>
      </c>
    </row>
    <row r="3" spans="1:9" ht="55.5" customHeight="1">
      <c r="A3" s="398"/>
      <c r="B3" s="1172" t="s">
        <v>568</v>
      </c>
      <c r="C3" s="1249"/>
      <c r="D3" s="1249"/>
      <c r="E3" s="1249"/>
      <c r="F3" s="1249"/>
      <c r="H3" s="1248"/>
      <c r="I3" s="1240"/>
    </row>
    <row r="4" spans="1:9" ht="8.1" customHeight="1" thickBot="1">
      <c r="A4" s="398"/>
      <c r="H4" s="1248"/>
      <c r="I4" s="1240"/>
    </row>
    <row r="5" spans="1:9">
      <c r="A5" s="397"/>
      <c r="B5" s="1259" t="s">
        <v>569</v>
      </c>
      <c r="C5" s="1250" t="s">
        <v>238</v>
      </c>
      <c r="D5" s="1251"/>
      <c r="E5" s="1251"/>
      <c r="F5" s="1252"/>
      <c r="H5" s="1248"/>
      <c r="I5" s="1240"/>
    </row>
    <row r="6" spans="1:9">
      <c r="A6" s="397"/>
      <c r="B6" s="1260"/>
      <c r="C6" s="1256" t="s">
        <v>224</v>
      </c>
      <c r="D6" s="1257"/>
      <c r="E6" s="1256" t="s">
        <v>225</v>
      </c>
      <c r="F6" s="1258"/>
      <c r="H6" s="1255" t="str">
        <f>IF(Cover!A1&gt;0, Cover!A1, "")</f>
        <v>Algonquin Water Resources of Missouri, LLC dba Liberty Utilities</v>
      </c>
      <c r="I6" s="1240"/>
    </row>
    <row r="7" spans="1:9" ht="38.25" customHeight="1" thickBot="1">
      <c r="A7" s="398"/>
      <c r="B7" s="1261"/>
      <c r="C7" s="408" t="s">
        <v>570</v>
      </c>
      <c r="D7" s="408" t="s">
        <v>573</v>
      </c>
      <c r="E7" s="408" t="s">
        <v>571</v>
      </c>
      <c r="F7" s="700" t="s">
        <v>572</v>
      </c>
      <c r="H7" s="1255"/>
      <c r="I7" s="1240"/>
    </row>
    <row r="8" spans="1:9" ht="21.95" customHeight="1">
      <c r="A8" s="398">
        <v>3</v>
      </c>
      <c r="B8" s="165" t="s">
        <v>1043</v>
      </c>
      <c r="C8" s="142">
        <f>396119.89+16504.25+2434.65+587.6</f>
        <v>415646.39</v>
      </c>
      <c r="D8" s="142">
        <v>95413.2</v>
      </c>
      <c r="E8" s="142">
        <f>120633.09+8273.05</f>
        <v>128906.14</v>
      </c>
      <c r="F8" s="238">
        <v>88824.98</v>
      </c>
      <c r="H8" s="1255"/>
      <c r="I8" s="1240"/>
    </row>
    <row r="9" spans="1:9" ht="21.95" customHeight="1">
      <c r="A9" s="398">
        <v>4</v>
      </c>
      <c r="B9" s="165"/>
      <c r="C9" s="142"/>
      <c r="D9" s="142"/>
      <c r="E9" s="142"/>
      <c r="F9" s="238"/>
      <c r="H9" s="1255"/>
      <c r="I9" s="1240"/>
    </row>
    <row r="10" spans="1:9" ht="21.95" customHeight="1">
      <c r="A10" s="398">
        <v>5</v>
      </c>
      <c r="B10" s="165"/>
      <c r="C10" s="142"/>
      <c r="D10" s="142"/>
      <c r="E10" s="142"/>
      <c r="F10" s="238"/>
      <c r="H10" s="1255"/>
      <c r="I10" s="1240"/>
    </row>
    <row r="11" spans="1:9" ht="21.95" customHeight="1">
      <c r="A11" s="398">
        <v>6</v>
      </c>
      <c r="B11" s="165"/>
      <c r="C11" s="142"/>
      <c r="D11" s="142"/>
      <c r="E11" s="142"/>
      <c r="F11" s="238"/>
      <c r="H11" s="1255"/>
      <c r="I11" s="1240"/>
    </row>
    <row r="12" spans="1:9" ht="21.95" customHeight="1">
      <c r="A12" s="398">
        <v>7</v>
      </c>
      <c r="B12" s="165"/>
      <c r="C12" s="142"/>
      <c r="D12" s="142"/>
      <c r="E12" s="142"/>
      <c r="F12" s="238"/>
      <c r="H12" s="1255"/>
      <c r="I12" s="1240"/>
    </row>
    <row r="13" spans="1:9" ht="21.95" customHeight="1">
      <c r="A13" s="398">
        <v>8</v>
      </c>
      <c r="B13" s="165"/>
      <c r="C13" s="142"/>
      <c r="D13" s="142"/>
      <c r="E13" s="142"/>
      <c r="F13" s="238"/>
      <c r="H13" s="1255"/>
      <c r="I13" s="1240"/>
    </row>
    <row r="14" spans="1:9" ht="21.95" customHeight="1">
      <c r="A14" s="398">
        <v>9</v>
      </c>
      <c r="B14" s="165"/>
      <c r="C14" s="142"/>
      <c r="D14" s="142"/>
      <c r="E14" s="142"/>
      <c r="F14" s="238"/>
      <c r="H14" s="1255"/>
      <c r="I14" s="1240"/>
    </row>
    <row r="15" spans="1:9" ht="21.95" customHeight="1">
      <c r="A15" s="398">
        <v>10</v>
      </c>
      <c r="B15" s="165"/>
      <c r="C15" s="142"/>
      <c r="D15" s="142"/>
      <c r="E15" s="142"/>
      <c r="F15" s="238"/>
      <c r="H15" s="1255"/>
      <c r="I15" s="1240"/>
    </row>
    <row r="16" spans="1:9" ht="21.95" customHeight="1">
      <c r="A16" s="398">
        <v>11</v>
      </c>
      <c r="B16" s="165"/>
      <c r="C16" s="142"/>
      <c r="D16" s="142"/>
      <c r="E16" s="142"/>
      <c r="F16" s="238"/>
      <c r="H16" s="1255"/>
      <c r="I16" s="1240"/>
    </row>
    <row r="17" spans="1:9" ht="21.95" customHeight="1">
      <c r="A17" s="398">
        <v>12</v>
      </c>
      <c r="B17" s="165"/>
      <c r="C17" s="142"/>
      <c r="D17" s="142"/>
      <c r="E17" s="142"/>
      <c r="F17" s="238"/>
      <c r="H17" s="1255"/>
      <c r="I17" s="1240"/>
    </row>
    <row r="18" spans="1:9" ht="21.95" customHeight="1">
      <c r="A18" s="398">
        <v>13</v>
      </c>
      <c r="B18" s="165"/>
      <c r="C18" s="142"/>
      <c r="D18" s="142"/>
      <c r="E18" s="142"/>
      <c r="F18" s="238"/>
      <c r="H18" s="1255"/>
      <c r="I18" s="1240"/>
    </row>
    <row r="19" spans="1:9" ht="21.95" customHeight="1">
      <c r="A19" s="398">
        <v>14</v>
      </c>
      <c r="B19" s="165"/>
      <c r="C19" s="142"/>
      <c r="D19" s="142"/>
      <c r="E19" s="142"/>
      <c r="F19" s="238"/>
      <c r="H19" s="1255"/>
      <c r="I19" s="1240"/>
    </row>
    <row r="20" spans="1:9" ht="21.95" customHeight="1">
      <c r="A20" s="398">
        <v>15</v>
      </c>
      <c r="B20" s="165"/>
      <c r="C20" s="142"/>
      <c r="D20" s="142"/>
      <c r="E20" s="142"/>
      <c r="F20" s="238"/>
      <c r="H20" s="1255"/>
      <c r="I20" s="1240"/>
    </row>
    <row r="21" spans="1:9" ht="21.95" customHeight="1">
      <c r="A21" s="398">
        <v>16</v>
      </c>
      <c r="B21" s="165"/>
      <c r="C21" s="142"/>
      <c r="D21" s="142"/>
      <c r="E21" s="142"/>
      <c r="F21" s="238"/>
      <c r="H21" s="1255"/>
      <c r="I21" s="1240"/>
    </row>
    <row r="22" spans="1:9" ht="21.95" customHeight="1">
      <c r="A22" s="398">
        <v>17</v>
      </c>
      <c r="B22" s="165"/>
      <c r="C22" s="142"/>
      <c r="D22" s="142"/>
      <c r="E22" s="142"/>
      <c r="F22" s="238"/>
      <c r="H22" s="1255"/>
      <c r="I22" s="1240"/>
    </row>
    <row r="23" spans="1:9" ht="27.75" customHeight="1">
      <c r="A23" s="398">
        <v>18</v>
      </c>
      <c r="B23" s="165"/>
      <c r="C23" s="145"/>
      <c r="D23" s="145"/>
      <c r="E23" s="145"/>
      <c r="F23" s="164"/>
      <c r="H23" s="1255"/>
      <c r="I23" s="1240"/>
    </row>
    <row r="24" spans="1:9" ht="21.95" customHeight="1" thickBot="1">
      <c r="A24" s="398">
        <v>19</v>
      </c>
      <c r="B24" s="695" t="s">
        <v>233</v>
      </c>
      <c r="C24" s="225">
        <f>SUM(C8:C23)</f>
        <v>415646.39</v>
      </c>
      <c r="D24" s="225">
        <f>SUM(D8:D23)</f>
        <v>95413.2</v>
      </c>
      <c r="E24" s="225">
        <f>SUM(E8:E23)</f>
        <v>128906.14</v>
      </c>
      <c r="F24" s="227">
        <f>SUM(F8:F23)</f>
        <v>88824.98</v>
      </c>
      <c r="H24" s="1255"/>
      <c r="I24" s="1240"/>
    </row>
    <row r="25" spans="1:9" ht="16.5" customHeight="1" thickTop="1" thickBot="1">
      <c r="A25" s="1247" t="s">
        <v>239</v>
      </c>
      <c r="B25" s="696"/>
      <c r="C25" s="409" t="s">
        <v>235</v>
      </c>
      <c r="D25" s="410"/>
      <c r="E25" s="409" t="s">
        <v>236</v>
      </c>
      <c r="F25" s="411"/>
      <c r="H25" s="1255"/>
      <c r="I25" s="1253">
        <f>IF(Cover!D13&gt;0, Cover!D13, "")</f>
        <v>2011</v>
      </c>
    </row>
    <row r="26" spans="1:9" ht="8.1" customHeight="1">
      <c r="A26" s="1247"/>
      <c r="B26" s="1254"/>
      <c r="C26" s="1254"/>
      <c r="D26" s="1254"/>
      <c r="E26" s="1254"/>
      <c r="F26" s="1254"/>
      <c r="H26" s="1255"/>
      <c r="I26" s="1253"/>
    </row>
    <row r="27" spans="1:9" ht="18" customHeight="1">
      <c r="A27" s="1247"/>
      <c r="B27" s="412"/>
      <c r="C27" s="412"/>
      <c r="D27" s="412"/>
      <c r="E27" s="1104"/>
      <c r="F27" s="1105"/>
      <c r="H27" s="1255"/>
      <c r="I27" s="1253"/>
    </row>
    <row r="28" spans="1:9" s="93" customFormat="1">
      <c r="A28" s="228"/>
      <c r="B28" s="277" t="s">
        <v>713</v>
      </c>
      <c r="C28" s="237"/>
      <c r="E28" s="1231" t="s">
        <v>13</v>
      </c>
      <c r="F28" s="1231"/>
      <c r="H28" s="101"/>
      <c r="I28" s="101"/>
    </row>
    <row r="29" spans="1:9" s="93" customFormat="1">
      <c r="A29" s="92"/>
      <c r="B29" s="237"/>
      <c r="C29" s="237"/>
      <c r="H29" s="101"/>
      <c r="I29" s="101"/>
    </row>
    <row r="30" spans="1:9" s="93" customFormat="1">
      <c r="A30" s="92"/>
      <c r="B30" s="237"/>
      <c r="C30" s="237"/>
      <c r="E30" s="17"/>
      <c r="F30" s="83"/>
      <c r="H30" s="101"/>
      <c r="I30" s="101"/>
    </row>
    <row r="31" spans="1:9" s="93" customFormat="1">
      <c r="A31" s="92"/>
      <c r="B31" s="237"/>
      <c r="C31" s="237"/>
      <c r="E31" s="17"/>
      <c r="F31" s="83"/>
      <c r="H31" s="101"/>
      <c r="I31" s="101"/>
    </row>
    <row r="32" spans="1:9" s="93" customFormat="1">
      <c r="A32" s="92"/>
      <c r="B32" s="237"/>
      <c r="C32" s="237"/>
      <c r="E32" s="17"/>
      <c r="F32" s="83"/>
      <c r="H32" s="101"/>
      <c r="I32" s="101"/>
    </row>
    <row r="33" spans="1:9" s="93" customFormat="1">
      <c r="A33" s="92"/>
      <c r="B33" s="237"/>
      <c r="C33" s="237"/>
      <c r="E33" s="17"/>
      <c r="F33" s="83"/>
      <c r="H33" s="101"/>
      <c r="I33" s="101"/>
    </row>
    <row r="34" spans="1:9">
      <c r="E34" s="21"/>
      <c r="F34" s="57"/>
    </row>
    <row r="35" spans="1:9">
      <c r="E35" s="21"/>
      <c r="F35" s="57"/>
    </row>
    <row r="36" spans="1:9">
      <c r="E36" s="21"/>
      <c r="F36" s="57"/>
    </row>
    <row r="37" spans="1:9">
      <c r="E37" s="21"/>
      <c r="F37" s="57"/>
    </row>
    <row r="38" spans="1:9">
      <c r="E38" s="21"/>
      <c r="F38" s="57"/>
    </row>
    <row r="39" spans="1:9">
      <c r="E39" s="21"/>
      <c r="F39" s="57"/>
    </row>
    <row r="40" spans="1:9">
      <c r="E40" s="21"/>
      <c r="F40" s="57"/>
    </row>
    <row r="41" spans="1:9">
      <c r="E41" s="21"/>
      <c r="F41" s="57"/>
    </row>
    <row r="42" spans="1:9">
      <c r="E42" s="21"/>
      <c r="F42" s="57"/>
    </row>
    <row r="43" spans="1:9">
      <c r="E43" s="21" t="s">
        <v>14</v>
      </c>
      <c r="F43" s="57"/>
    </row>
    <row r="44" spans="1:9">
      <c r="E44" s="21" t="s">
        <v>15</v>
      </c>
      <c r="F44" s="57"/>
    </row>
    <row r="45" spans="1:9">
      <c r="E45" s="21"/>
      <c r="F45" s="57"/>
    </row>
    <row r="46" spans="1:9">
      <c r="E46" s="21"/>
      <c r="F46" s="57"/>
    </row>
    <row r="56" spans="8:8">
      <c r="H56" s="413"/>
    </row>
  </sheetData>
  <sheetProtection password="C0F1" sheet="1" formatCells="0" formatColumns="0" formatRows="0" insertColumns="0" insertRows="0"/>
  <customSheetViews>
    <customSheetView guid="{1F4AFEE5-5BDD-4100-B0E9-57B262CA123C}" showPageBreaks="1" showGridLines="0" fitToPage="1" printArea="1" view="pageBreakPreview">
      <selection activeCell="B11" sqref="B11"/>
      <pageMargins left="0.5" right="0.5" top="0.65" bottom="0.25" header="0.3" footer="0.3"/>
      <printOptions horizontalCentered="1"/>
      <pageSetup scale="95" orientation="landscape" r:id="rId1"/>
      <headerFooter>
        <oddFooter>&amp;C&amp;A</oddFooter>
      </headerFooter>
    </customSheetView>
  </customSheetViews>
  <mergeCells count="14">
    <mergeCell ref="A25:A27"/>
    <mergeCell ref="B1:F1"/>
    <mergeCell ref="H2:H5"/>
    <mergeCell ref="E28:F28"/>
    <mergeCell ref="I2:I24"/>
    <mergeCell ref="B3:F3"/>
    <mergeCell ref="C5:F5"/>
    <mergeCell ref="I25:I27"/>
    <mergeCell ref="B26:F26"/>
    <mergeCell ref="E27:F27"/>
    <mergeCell ref="H6:H27"/>
    <mergeCell ref="C6:D6"/>
    <mergeCell ref="E6:F6"/>
    <mergeCell ref="B5:B7"/>
  </mergeCells>
  <dataValidations count="1">
    <dataValidation type="list" allowBlank="1" showInputMessage="1" prompt="To be used when filing under seal._x000a_" sqref="E27:F27">
      <formula1>$E$42:$E$44</formula1>
    </dataValidation>
  </dataValidations>
  <printOptions horizontalCentered="1"/>
  <pageMargins left="0.5" right="0.5" top="0.65" bottom="0.25" header="0.3" footer="0.3"/>
  <pageSetup scale="95" orientation="landscape" r:id="rId2"/>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9"/>
  <sheetViews>
    <sheetView showGridLines="0" topLeftCell="A40" zoomScaleNormal="100" zoomScaleSheetLayoutView="100" workbookViewId="0">
      <selection activeCell="A44" sqref="A44:B44"/>
    </sheetView>
  </sheetViews>
  <sheetFormatPr defaultRowHeight="15"/>
  <cols>
    <col min="1" max="1" width="8.42578125" style="814" customWidth="1"/>
    <col min="2" max="2" width="94.140625" style="814" customWidth="1"/>
    <col min="3" max="16384" width="9.140625" style="814"/>
  </cols>
  <sheetData>
    <row r="1" spans="1:2" s="24" customFormat="1" ht="18">
      <c r="A1" s="1135" t="s">
        <v>16</v>
      </c>
      <c r="B1" s="1135"/>
    </row>
    <row r="2" spans="1:2" s="24" customFormat="1" ht="6" customHeight="1">
      <c r="A2" s="25"/>
      <c r="B2" s="25"/>
    </row>
    <row r="3" spans="1:2" s="24" customFormat="1" ht="15.75">
      <c r="A3" s="1119" t="s">
        <v>17</v>
      </c>
      <c r="B3" s="1119"/>
    </row>
    <row r="4" spans="1:2" s="24" customFormat="1" ht="66" customHeight="1">
      <c r="A4" s="1133" t="s">
        <v>820</v>
      </c>
      <c r="B4" s="1133"/>
    </row>
    <row r="5" spans="1:2" s="24" customFormat="1" ht="48" customHeight="1">
      <c r="A5" s="1136" t="s">
        <v>723</v>
      </c>
      <c r="B5" s="1136"/>
    </row>
    <row r="6" spans="1:2" s="24" customFormat="1" ht="60.75" customHeight="1">
      <c r="A6" s="1136" t="s">
        <v>821</v>
      </c>
      <c r="B6" s="1136"/>
    </row>
    <row r="7" spans="1:2" ht="46.5" customHeight="1">
      <c r="A7" s="1136" t="s">
        <v>724</v>
      </c>
      <c r="B7" s="1136"/>
    </row>
    <row r="8" spans="1:2" s="24" customFormat="1" ht="30.75" customHeight="1">
      <c r="A8" s="1136" t="s">
        <v>725</v>
      </c>
      <c r="B8" s="1136"/>
    </row>
    <row r="9" spans="1:2" s="24" customFormat="1" ht="45.75" customHeight="1">
      <c r="A9" s="1136" t="s">
        <v>726</v>
      </c>
      <c r="B9" s="1136"/>
    </row>
    <row r="10" spans="1:2" s="24" customFormat="1" ht="44.25" customHeight="1">
      <c r="A10" s="1136" t="s">
        <v>727</v>
      </c>
      <c r="B10" s="1136"/>
    </row>
    <row r="11" spans="1:2" s="24" customFormat="1" ht="30" customHeight="1">
      <c r="A11" s="1133" t="s">
        <v>18</v>
      </c>
      <c r="B11" s="1133"/>
    </row>
    <row r="12" spans="1:2" s="24" customFormat="1" ht="9" customHeight="1">
      <c r="A12" s="26"/>
      <c r="B12" s="26"/>
    </row>
    <row r="13" spans="1:2" s="24" customFormat="1" ht="15.75">
      <c r="A13" s="1119" t="s">
        <v>19</v>
      </c>
      <c r="B13" s="1119"/>
    </row>
    <row r="14" spans="1:2" s="24" customFormat="1" ht="92.25" customHeight="1">
      <c r="A14" s="1121" t="s">
        <v>20</v>
      </c>
      <c r="B14" s="1121"/>
    </row>
    <row r="15" spans="1:2" s="24" customFormat="1" ht="21.75" customHeight="1">
      <c r="A15" s="1128" t="s">
        <v>21</v>
      </c>
      <c r="B15" s="1128"/>
    </row>
    <row r="16" spans="1:2" s="24" customFormat="1" ht="75.75" customHeight="1">
      <c r="A16" s="1115" t="s">
        <v>728</v>
      </c>
      <c r="B16" s="1115"/>
    </row>
    <row r="17" spans="1:3" s="24" customFormat="1" ht="15.75" customHeight="1">
      <c r="A17" s="1128" t="s">
        <v>22</v>
      </c>
      <c r="B17" s="1128"/>
    </row>
    <row r="18" spans="1:3" s="24" customFormat="1" ht="125.25" customHeight="1">
      <c r="A18" s="1123" t="s">
        <v>23</v>
      </c>
      <c r="B18" s="1123"/>
      <c r="C18" s="27"/>
    </row>
    <row r="19" spans="1:3" s="24" customFormat="1" ht="12.75" customHeight="1">
      <c r="A19" s="1134" t="s">
        <v>24</v>
      </c>
      <c r="B19" s="1134"/>
      <c r="C19" s="27"/>
    </row>
    <row r="20" spans="1:3" s="24" customFormat="1" ht="10.5" customHeight="1">
      <c r="A20" s="1131" t="s">
        <v>25</v>
      </c>
      <c r="B20" s="1131"/>
    </row>
    <row r="21" spans="1:3" s="24" customFormat="1" ht="17.25" customHeight="1">
      <c r="A21" s="1119" t="s">
        <v>26</v>
      </c>
      <c r="B21" s="1119"/>
    </row>
    <row r="22" spans="1:3" s="24" customFormat="1" ht="15.75" customHeight="1">
      <c r="A22" s="1127" t="s">
        <v>27</v>
      </c>
      <c r="B22" s="1127"/>
    </row>
    <row r="23" spans="1:3" s="24" customFormat="1" ht="108" customHeight="1">
      <c r="A23" s="1123" t="s">
        <v>28</v>
      </c>
      <c r="B23" s="1123"/>
    </row>
    <row r="24" spans="1:3" s="24" customFormat="1" ht="15.75" customHeight="1">
      <c r="A24" s="1128" t="s">
        <v>29</v>
      </c>
      <c r="B24" s="1128"/>
    </row>
    <row r="25" spans="1:3" s="24" customFormat="1" ht="107.25" customHeight="1">
      <c r="A25" s="1123" t="s">
        <v>30</v>
      </c>
      <c r="B25" s="1123"/>
    </row>
    <row r="26" spans="1:3" s="6" customFormat="1" ht="38.25" customHeight="1">
      <c r="A26" s="1129" t="s">
        <v>31</v>
      </c>
      <c r="B26" s="1129"/>
    </row>
    <row r="27" spans="1:3" s="30" customFormat="1" ht="15.75">
      <c r="A27" s="29" t="s">
        <v>32</v>
      </c>
      <c r="B27" s="29" t="s">
        <v>33</v>
      </c>
    </row>
    <row r="28" spans="1:3" ht="121.5" customHeight="1">
      <c r="A28" s="31" t="s">
        <v>34</v>
      </c>
      <c r="B28" s="232" t="s">
        <v>35</v>
      </c>
    </row>
    <row r="29" spans="1:3" ht="174" customHeight="1">
      <c r="A29" s="31"/>
      <c r="B29" s="232" t="s">
        <v>36</v>
      </c>
    </row>
    <row r="30" spans="1:3" ht="15.75">
      <c r="A30" s="32" t="s">
        <v>37</v>
      </c>
      <c r="B30" s="31"/>
    </row>
    <row r="31" spans="1:3" ht="30" customHeight="1">
      <c r="A31" s="32"/>
      <c r="B31" s="233" t="s">
        <v>38</v>
      </c>
    </row>
    <row r="32" spans="1:3" ht="93.75" customHeight="1">
      <c r="A32" s="30"/>
      <c r="B32" s="233" t="s">
        <v>39</v>
      </c>
    </row>
    <row r="33" spans="1:2" s="1" customFormat="1" ht="23.25" customHeight="1">
      <c r="A33" s="1130" t="s">
        <v>40</v>
      </c>
      <c r="B33" s="1130"/>
    </row>
    <row r="34" spans="1:2" s="24" customFormat="1" ht="15" customHeight="1">
      <c r="A34" s="1131" t="s">
        <v>41</v>
      </c>
      <c r="B34" s="1131"/>
    </row>
    <row r="35" spans="1:2" s="30" customFormat="1" ht="15.75">
      <c r="A35" s="33" t="s">
        <v>42</v>
      </c>
      <c r="B35" s="33"/>
    </row>
    <row r="36" spans="1:2" s="35" customFormat="1" ht="16.5">
      <c r="A36" s="34" t="s">
        <v>32</v>
      </c>
      <c r="B36" s="34" t="s">
        <v>33</v>
      </c>
    </row>
    <row r="37" spans="1:2" ht="36.75" customHeight="1">
      <c r="A37" s="1132" t="s">
        <v>43</v>
      </c>
      <c r="B37" s="1132"/>
    </row>
    <row r="38" spans="1:2" ht="150" customHeight="1">
      <c r="A38" s="30"/>
      <c r="B38" s="233" t="s">
        <v>44</v>
      </c>
    </row>
    <row r="39" spans="1:2" ht="114" customHeight="1">
      <c r="A39" s="30"/>
      <c r="B39" s="233" t="s">
        <v>45</v>
      </c>
    </row>
    <row r="40" spans="1:2" s="24" customFormat="1" ht="33" customHeight="1">
      <c r="A40" s="1122" t="s">
        <v>46</v>
      </c>
      <c r="B40" s="1122"/>
    </row>
    <row r="41" spans="1:2" s="24" customFormat="1" ht="33.75" customHeight="1">
      <c r="A41" s="1118" t="s">
        <v>47</v>
      </c>
      <c r="B41" s="1118"/>
    </row>
    <row r="42" spans="1:2" s="24" customFormat="1" ht="98.25" customHeight="1">
      <c r="A42" s="1123" t="s">
        <v>48</v>
      </c>
      <c r="B42" s="1123"/>
    </row>
    <row r="43" spans="1:2" s="24" customFormat="1" ht="20.25">
      <c r="A43" s="1124" t="s">
        <v>262</v>
      </c>
      <c r="B43" s="1124"/>
    </row>
    <row r="44" spans="1:2" s="24" customFormat="1" ht="262.5" customHeight="1">
      <c r="A44" s="1123" t="s">
        <v>49</v>
      </c>
      <c r="B44" s="1123"/>
    </row>
    <row r="45" spans="1:2" s="24" customFormat="1" ht="12.75">
      <c r="A45" s="1116" t="s">
        <v>50</v>
      </c>
      <c r="B45" s="1116"/>
    </row>
    <row r="46" spans="1:2" s="24" customFormat="1" ht="27" customHeight="1">
      <c r="A46" s="1119" t="s">
        <v>51</v>
      </c>
      <c r="B46" s="1119"/>
    </row>
    <row r="47" spans="1:2" s="24" customFormat="1" ht="18.75" customHeight="1">
      <c r="A47" s="1125" t="s">
        <v>52</v>
      </c>
      <c r="B47" s="1125"/>
    </row>
    <row r="48" spans="1:2" s="24" customFormat="1" ht="27" customHeight="1">
      <c r="A48" s="1126" t="s">
        <v>53</v>
      </c>
      <c r="B48" s="1126"/>
    </row>
    <row r="49" spans="1:256" s="24" customFormat="1" ht="114" customHeight="1">
      <c r="A49" s="1112" t="s">
        <v>54</v>
      </c>
      <c r="B49" s="1112"/>
    </row>
    <row r="50" spans="1:256" s="24" customFormat="1" ht="54.75" customHeight="1">
      <c r="A50" s="1121" t="s">
        <v>55</v>
      </c>
      <c r="B50" s="1121"/>
    </row>
    <row r="51" spans="1:256" s="24" customFormat="1" ht="48" customHeight="1">
      <c r="A51" s="1121" t="s">
        <v>56</v>
      </c>
      <c r="B51" s="1121"/>
    </row>
    <row r="52" spans="1:256" s="24" customFormat="1" ht="48.75" customHeight="1">
      <c r="A52" s="1112" t="s">
        <v>729</v>
      </c>
      <c r="B52" s="1112"/>
    </row>
    <row r="53" spans="1:256" s="24" customFormat="1" ht="18">
      <c r="A53" s="1117" t="s">
        <v>57</v>
      </c>
      <c r="B53" s="1117"/>
      <c r="C53" s="1120"/>
      <c r="D53" s="1120"/>
      <c r="E53" s="1120"/>
      <c r="F53" s="1120"/>
      <c r="G53" s="1120"/>
      <c r="H53" s="1120"/>
      <c r="I53" s="1120"/>
      <c r="J53" s="1120"/>
      <c r="K53" s="1120"/>
      <c r="L53" s="1120"/>
      <c r="M53" s="1120"/>
      <c r="N53" s="1120"/>
      <c r="O53" s="1120"/>
      <c r="P53" s="1120"/>
      <c r="Q53" s="1120"/>
      <c r="R53" s="1120"/>
      <c r="S53" s="1120"/>
      <c r="T53" s="1120"/>
      <c r="U53" s="1120"/>
      <c r="V53" s="1120"/>
      <c r="W53" s="1120"/>
      <c r="X53" s="1120"/>
      <c r="Y53" s="1120"/>
      <c r="Z53" s="1120"/>
      <c r="AA53" s="1120"/>
      <c r="AB53" s="1120"/>
      <c r="AC53" s="1120"/>
      <c r="AD53" s="1120"/>
      <c r="AE53" s="1120"/>
      <c r="AF53" s="1120"/>
      <c r="AG53" s="1120"/>
      <c r="AH53" s="1120"/>
      <c r="AI53" s="1120"/>
      <c r="AJ53" s="1120"/>
      <c r="AK53" s="1120"/>
      <c r="AL53" s="1120"/>
      <c r="AM53" s="1120"/>
      <c r="AN53" s="1120"/>
      <c r="AO53" s="1120"/>
      <c r="AP53" s="1120"/>
      <c r="AQ53" s="1120"/>
      <c r="AR53" s="1120"/>
      <c r="AS53" s="1120"/>
      <c r="AT53" s="1120"/>
      <c r="AU53" s="1120"/>
      <c r="AV53" s="1120"/>
      <c r="AW53" s="1120"/>
      <c r="AX53" s="1120"/>
      <c r="AY53" s="1120"/>
      <c r="AZ53" s="1120"/>
      <c r="BA53" s="1120"/>
      <c r="BB53" s="1120"/>
      <c r="BC53" s="1120"/>
      <c r="BD53" s="1120"/>
      <c r="BE53" s="1120"/>
      <c r="BF53" s="1120"/>
      <c r="BG53" s="1120"/>
      <c r="BH53" s="1120"/>
      <c r="BI53" s="1120"/>
      <c r="BJ53" s="1120"/>
      <c r="BK53" s="1120"/>
      <c r="BL53" s="1120"/>
      <c r="BM53" s="1120"/>
      <c r="BN53" s="1120"/>
      <c r="BO53" s="1120"/>
      <c r="BP53" s="1120"/>
      <c r="BQ53" s="1120"/>
      <c r="BR53" s="1120"/>
      <c r="BS53" s="1120"/>
      <c r="BT53" s="1120"/>
      <c r="BU53" s="1120"/>
      <c r="BV53" s="1120"/>
      <c r="BW53" s="1120"/>
      <c r="BX53" s="1120"/>
      <c r="BY53" s="1120"/>
      <c r="BZ53" s="1120"/>
      <c r="CA53" s="1120"/>
      <c r="CB53" s="1120"/>
      <c r="CC53" s="1120"/>
      <c r="CD53" s="1120"/>
      <c r="CE53" s="1120"/>
      <c r="CF53" s="1120"/>
      <c r="CG53" s="1120"/>
      <c r="CH53" s="1120"/>
      <c r="CI53" s="1120"/>
      <c r="CJ53" s="1120"/>
      <c r="CK53" s="1120"/>
      <c r="CL53" s="1120"/>
      <c r="CM53" s="1120"/>
      <c r="CN53" s="1120"/>
      <c r="CO53" s="1120"/>
      <c r="CP53" s="1120"/>
      <c r="CQ53" s="1120"/>
      <c r="CR53" s="1120"/>
      <c r="CS53" s="1120"/>
      <c r="CT53" s="1120"/>
      <c r="CU53" s="1120"/>
      <c r="CV53" s="1120"/>
      <c r="CW53" s="1120"/>
      <c r="CX53" s="1120"/>
      <c r="CY53" s="1120"/>
      <c r="CZ53" s="1120"/>
      <c r="DA53" s="1120"/>
      <c r="DB53" s="1120"/>
      <c r="DC53" s="1120"/>
      <c r="DD53" s="1120"/>
      <c r="DE53" s="1120"/>
      <c r="DF53" s="1120"/>
      <c r="DG53" s="1120"/>
      <c r="DH53" s="1120"/>
      <c r="DI53" s="1120"/>
      <c r="DJ53" s="1120"/>
      <c r="DK53" s="1120"/>
      <c r="DL53" s="1120"/>
      <c r="DM53" s="1120"/>
      <c r="DN53" s="1120"/>
      <c r="DO53" s="1120"/>
      <c r="DP53" s="1120"/>
      <c r="DQ53" s="1120"/>
      <c r="DR53" s="1120"/>
      <c r="DS53" s="1120"/>
      <c r="DT53" s="1120"/>
      <c r="DU53" s="1120"/>
      <c r="DV53" s="1120"/>
      <c r="DW53" s="1120"/>
      <c r="DX53" s="1120"/>
      <c r="DY53" s="1120"/>
      <c r="DZ53" s="1120"/>
      <c r="EA53" s="1120"/>
      <c r="EB53" s="1120"/>
      <c r="EC53" s="1120"/>
      <c r="ED53" s="1120"/>
      <c r="EE53" s="1120"/>
      <c r="EF53" s="1120"/>
      <c r="EG53" s="1120"/>
      <c r="EH53" s="1120"/>
      <c r="EI53" s="1120"/>
      <c r="EJ53" s="1120"/>
      <c r="EK53" s="1120"/>
      <c r="EL53" s="1120"/>
      <c r="EM53" s="1120"/>
      <c r="EN53" s="1120"/>
      <c r="EO53" s="1120"/>
      <c r="EP53" s="1120"/>
      <c r="EQ53" s="1120"/>
      <c r="ER53" s="1120"/>
      <c r="ES53" s="1120"/>
      <c r="ET53" s="1120"/>
      <c r="EU53" s="1120"/>
      <c r="EV53" s="1120"/>
      <c r="EW53" s="1120"/>
      <c r="EX53" s="1120"/>
      <c r="EY53" s="1120"/>
      <c r="EZ53" s="1120"/>
      <c r="FA53" s="1120"/>
      <c r="FB53" s="1120"/>
      <c r="FC53" s="1120"/>
      <c r="FD53" s="1120"/>
      <c r="FE53" s="1120"/>
      <c r="FF53" s="1120"/>
      <c r="FG53" s="1120"/>
      <c r="FH53" s="1120"/>
      <c r="FI53" s="1120"/>
      <c r="FJ53" s="1120"/>
      <c r="FK53" s="1120"/>
      <c r="FL53" s="1120"/>
      <c r="FM53" s="1120"/>
      <c r="FN53" s="1120"/>
      <c r="FO53" s="1120"/>
      <c r="FP53" s="1120"/>
      <c r="FQ53" s="1120"/>
      <c r="FR53" s="1120"/>
      <c r="FS53" s="1120"/>
      <c r="FT53" s="1120"/>
      <c r="FU53" s="1120"/>
      <c r="FV53" s="1120"/>
      <c r="FW53" s="1120"/>
      <c r="FX53" s="1120"/>
      <c r="FY53" s="1120"/>
      <c r="FZ53" s="1120"/>
      <c r="GA53" s="1120"/>
      <c r="GB53" s="1120"/>
      <c r="GC53" s="1120"/>
      <c r="GD53" s="1120"/>
      <c r="GE53" s="1120"/>
      <c r="GF53" s="1120"/>
      <c r="GG53" s="1120"/>
      <c r="GH53" s="1120"/>
      <c r="GI53" s="1120"/>
      <c r="GJ53" s="1120"/>
      <c r="GK53" s="1120"/>
      <c r="GL53" s="1120"/>
      <c r="GM53" s="1120"/>
      <c r="GN53" s="1120"/>
      <c r="GO53" s="1120"/>
      <c r="GP53" s="1120"/>
      <c r="GQ53" s="1120"/>
      <c r="GR53" s="1120"/>
      <c r="GS53" s="1120"/>
      <c r="GT53" s="1120"/>
      <c r="GU53" s="1120"/>
      <c r="GV53" s="1120"/>
      <c r="GW53" s="1120"/>
      <c r="GX53" s="1120"/>
      <c r="GY53" s="1120"/>
      <c r="GZ53" s="1120"/>
      <c r="HA53" s="1120"/>
      <c r="HB53" s="1120"/>
      <c r="HC53" s="1120"/>
      <c r="HD53" s="1120"/>
      <c r="HE53" s="1120"/>
      <c r="HF53" s="1120"/>
      <c r="HG53" s="1120"/>
      <c r="HH53" s="1120"/>
      <c r="HI53" s="1120"/>
      <c r="HJ53" s="1120"/>
      <c r="HK53" s="1120"/>
      <c r="HL53" s="1120"/>
      <c r="HM53" s="1120"/>
      <c r="HN53" s="1120"/>
      <c r="HO53" s="1120"/>
      <c r="HP53" s="1120"/>
      <c r="HQ53" s="1120"/>
      <c r="HR53" s="1120"/>
      <c r="HS53" s="1120"/>
      <c r="HT53" s="1120"/>
      <c r="HU53" s="1120"/>
      <c r="HV53" s="1120"/>
      <c r="HW53" s="1120"/>
      <c r="HX53" s="1120"/>
      <c r="HY53" s="1120"/>
      <c r="HZ53" s="1120"/>
      <c r="IA53" s="1120"/>
      <c r="IB53" s="1120"/>
      <c r="IC53" s="1120"/>
      <c r="ID53" s="1120"/>
      <c r="IE53" s="1120"/>
      <c r="IF53" s="1120"/>
      <c r="IG53" s="1120"/>
      <c r="IH53" s="1120"/>
      <c r="II53" s="1120"/>
      <c r="IJ53" s="1120"/>
      <c r="IK53" s="1120"/>
      <c r="IL53" s="1120"/>
      <c r="IM53" s="1120"/>
    </row>
    <row r="54" spans="1:256" s="24" customFormat="1" ht="31.5" customHeight="1">
      <c r="A54" s="1114" t="s">
        <v>58</v>
      </c>
      <c r="B54" s="1114"/>
    </row>
    <row r="55" spans="1:256" s="24" customFormat="1" ht="21" customHeight="1">
      <c r="A55" s="1115" t="s">
        <v>59</v>
      </c>
      <c r="B55" s="1115"/>
    </row>
    <row r="56" spans="1:256" s="24" customFormat="1" ht="339.75" customHeight="1">
      <c r="A56" s="1112" t="s">
        <v>822</v>
      </c>
      <c r="B56" s="1112"/>
    </row>
    <row r="57" spans="1:256" s="24" customFormat="1" ht="33.75" customHeight="1">
      <c r="A57" s="1118" t="s">
        <v>823</v>
      </c>
      <c r="B57" s="1118"/>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7"/>
      <c r="GB57" s="27"/>
      <c r="GC57" s="27"/>
      <c r="GD57" s="27"/>
      <c r="GE57" s="27"/>
      <c r="GF57" s="27"/>
      <c r="GG57" s="27"/>
      <c r="GH57" s="27"/>
      <c r="GI57" s="27"/>
      <c r="GJ57" s="27"/>
      <c r="GK57" s="27"/>
      <c r="GL57" s="27"/>
      <c r="GM57" s="27"/>
      <c r="GN57" s="27"/>
      <c r="GO57" s="27"/>
      <c r="GP57" s="27"/>
      <c r="GQ57" s="27"/>
      <c r="GR57" s="27"/>
      <c r="GS57" s="27"/>
      <c r="GT57" s="27"/>
      <c r="GU57" s="27"/>
      <c r="GV57" s="27"/>
      <c r="GW57" s="27"/>
      <c r="GX57" s="27"/>
      <c r="GY57" s="27"/>
      <c r="GZ57" s="27"/>
      <c r="HA57" s="27"/>
      <c r="HB57" s="27"/>
      <c r="HC57" s="27"/>
      <c r="HD57" s="27"/>
      <c r="HE57" s="27"/>
      <c r="HF57" s="27"/>
      <c r="HG57" s="27"/>
      <c r="HH57" s="27"/>
      <c r="HI57" s="27"/>
      <c r="HJ57" s="27"/>
      <c r="HK57" s="27"/>
      <c r="HL57" s="27"/>
      <c r="HM57" s="27"/>
      <c r="HN57" s="27"/>
      <c r="HO57" s="27"/>
      <c r="HP57" s="27"/>
      <c r="HQ57" s="27"/>
      <c r="HR57" s="27"/>
      <c r="HS57" s="27"/>
      <c r="HT57" s="27"/>
      <c r="HU57" s="27"/>
      <c r="HV57" s="27"/>
      <c r="HW57" s="27"/>
      <c r="HX57" s="27"/>
      <c r="HY57" s="27"/>
      <c r="HZ57" s="27"/>
      <c r="IA57" s="27"/>
      <c r="IB57" s="27"/>
      <c r="IC57" s="27"/>
      <c r="ID57" s="27"/>
      <c r="IE57" s="27"/>
      <c r="IF57" s="27"/>
      <c r="IG57" s="27"/>
      <c r="IH57" s="27"/>
      <c r="II57" s="27"/>
      <c r="IJ57" s="27"/>
      <c r="IK57" s="27"/>
      <c r="IL57" s="27"/>
      <c r="IM57" s="27"/>
    </row>
    <row r="58" spans="1:256" s="37" customFormat="1" ht="12.75">
      <c r="A58" s="1116" t="s">
        <v>60</v>
      </c>
      <c r="B58" s="1116"/>
    </row>
    <row r="59" spans="1:256" s="24" customFormat="1" ht="15.75">
      <c r="A59" s="1119" t="s">
        <v>61</v>
      </c>
      <c r="B59" s="1119"/>
    </row>
    <row r="60" spans="1:256" s="24" customFormat="1" ht="32.1" customHeight="1">
      <c r="A60" s="1117" t="s">
        <v>62</v>
      </c>
      <c r="B60" s="1117"/>
      <c r="C60" s="1117"/>
      <c r="D60" s="1117"/>
      <c r="E60" s="1117"/>
      <c r="F60" s="1117"/>
      <c r="G60" s="1117"/>
      <c r="H60" s="1117"/>
      <c r="I60" s="1117"/>
      <c r="J60" s="1117"/>
      <c r="K60" s="1117"/>
      <c r="L60" s="1117"/>
      <c r="M60" s="1117"/>
      <c r="N60" s="1117"/>
      <c r="O60" s="1117"/>
      <c r="P60" s="1117"/>
      <c r="Q60" s="1117"/>
      <c r="R60" s="1117"/>
      <c r="S60" s="1117"/>
      <c r="T60" s="1117"/>
      <c r="U60" s="1117"/>
      <c r="V60" s="1117"/>
      <c r="W60" s="1117"/>
      <c r="X60" s="1117"/>
      <c r="Y60" s="1117"/>
      <c r="Z60" s="1117"/>
      <c r="AA60" s="1117"/>
      <c r="AB60" s="1117"/>
      <c r="AC60" s="1117"/>
      <c r="AD60" s="1117"/>
      <c r="AE60" s="1117"/>
      <c r="AF60" s="1117"/>
      <c r="AG60" s="1117"/>
      <c r="AH60" s="1117"/>
      <c r="AI60" s="1117"/>
      <c r="AJ60" s="1117"/>
      <c r="AK60" s="1117"/>
      <c r="AL60" s="1117"/>
      <c r="AM60" s="1117"/>
      <c r="AN60" s="1117"/>
      <c r="AO60" s="1117"/>
      <c r="AP60" s="1117"/>
      <c r="AQ60" s="1117"/>
      <c r="AR60" s="1117"/>
      <c r="AS60" s="1117"/>
      <c r="AT60" s="1117"/>
      <c r="AU60" s="1117"/>
      <c r="AV60" s="1117"/>
      <c r="AW60" s="1117"/>
      <c r="AX60" s="1117"/>
      <c r="AY60" s="1117"/>
      <c r="AZ60" s="1117"/>
      <c r="BA60" s="1117"/>
      <c r="BB60" s="1117"/>
      <c r="BC60" s="1117"/>
      <c r="BD60" s="1117"/>
      <c r="BE60" s="1117"/>
      <c r="BF60" s="1117"/>
      <c r="BG60" s="1117"/>
      <c r="BH60" s="1117"/>
      <c r="BI60" s="1117"/>
      <c r="BJ60" s="1117"/>
      <c r="BK60" s="1117"/>
      <c r="BL60" s="1117"/>
      <c r="BM60" s="1117"/>
      <c r="BN60" s="1117"/>
      <c r="BO60" s="1117"/>
      <c r="BP60" s="1117"/>
      <c r="BQ60" s="1117"/>
      <c r="BR60" s="1117"/>
      <c r="BS60" s="1117"/>
      <c r="BT60" s="1117"/>
      <c r="BU60" s="1117"/>
      <c r="BV60" s="1117"/>
      <c r="BW60" s="1117"/>
      <c r="BX60" s="1117"/>
      <c r="BY60" s="1117"/>
      <c r="BZ60" s="1117"/>
      <c r="CA60" s="1117"/>
      <c r="CB60" s="1117"/>
      <c r="CC60" s="1117"/>
      <c r="CD60" s="1117"/>
      <c r="CE60" s="1117"/>
      <c r="CF60" s="1117"/>
      <c r="CG60" s="1117"/>
      <c r="CH60" s="1117"/>
      <c r="CI60" s="1117"/>
      <c r="CJ60" s="1117"/>
      <c r="CK60" s="1117"/>
      <c r="CL60" s="1117"/>
      <c r="CM60" s="1117"/>
      <c r="CN60" s="1117"/>
      <c r="CO60" s="1117"/>
      <c r="CP60" s="1117"/>
      <c r="CQ60" s="1117"/>
      <c r="CR60" s="1117"/>
      <c r="CS60" s="1117"/>
      <c r="CT60" s="1117"/>
      <c r="CU60" s="1117"/>
      <c r="CV60" s="1117"/>
      <c r="CW60" s="1117"/>
      <c r="CX60" s="1117"/>
      <c r="CY60" s="1117"/>
      <c r="CZ60" s="1117"/>
      <c r="DA60" s="1117"/>
      <c r="DB60" s="1117"/>
      <c r="DC60" s="1117"/>
      <c r="DD60" s="1117"/>
      <c r="DE60" s="1117"/>
      <c r="DF60" s="1117"/>
      <c r="DG60" s="1117"/>
      <c r="DH60" s="1117"/>
      <c r="DI60" s="1117"/>
      <c r="DJ60" s="1117"/>
      <c r="DK60" s="1117"/>
      <c r="DL60" s="1117"/>
      <c r="DM60" s="1117"/>
      <c r="DN60" s="1117"/>
      <c r="DO60" s="1117"/>
      <c r="DP60" s="1117"/>
      <c r="DQ60" s="1117"/>
      <c r="DR60" s="1117"/>
      <c r="DS60" s="1117"/>
      <c r="DT60" s="1117"/>
      <c r="DU60" s="1117"/>
      <c r="DV60" s="1117"/>
      <c r="DW60" s="1117"/>
      <c r="DX60" s="1117"/>
      <c r="DY60" s="1117"/>
      <c r="DZ60" s="1117"/>
      <c r="EA60" s="1117"/>
      <c r="EB60" s="1117"/>
      <c r="EC60" s="1117"/>
      <c r="ED60" s="1117"/>
      <c r="EE60" s="1117"/>
      <c r="EF60" s="1117"/>
      <c r="EG60" s="1117"/>
      <c r="EH60" s="1117"/>
      <c r="EI60" s="1117"/>
      <c r="EJ60" s="1117"/>
      <c r="EK60" s="1117"/>
      <c r="EL60" s="1117"/>
      <c r="EM60" s="1117"/>
      <c r="EN60" s="1117"/>
      <c r="EO60" s="1117"/>
      <c r="EP60" s="1117"/>
      <c r="EQ60" s="1117"/>
      <c r="ER60" s="1117"/>
      <c r="ES60" s="1117"/>
      <c r="ET60" s="1117"/>
      <c r="EU60" s="1117"/>
      <c r="EV60" s="1117"/>
      <c r="EW60" s="1117"/>
      <c r="EX60" s="1117"/>
      <c r="EY60" s="1117"/>
      <c r="EZ60" s="1117"/>
      <c r="FA60" s="1117"/>
      <c r="FB60" s="1117"/>
      <c r="FC60" s="1117"/>
      <c r="FD60" s="1117"/>
      <c r="FE60" s="1117"/>
      <c r="FF60" s="1117"/>
      <c r="FG60" s="1117"/>
      <c r="FH60" s="1117"/>
      <c r="FI60" s="1117"/>
      <c r="FJ60" s="1117"/>
      <c r="FK60" s="1117"/>
      <c r="FL60" s="1117"/>
      <c r="FM60" s="1117"/>
      <c r="FN60" s="1117"/>
      <c r="FO60" s="1117"/>
      <c r="FP60" s="1117"/>
      <c r="FQ60" s="1117"/>
      <c r="FR60" s="1117"/>
      <c r="FS60" s="1117"/>
      <c r="FT60" s="1117"/>
      <c r="FU60" s="1117"/>
      <c r="FV60" s="1117"/>
      <c r="FW60" s="1117"/>
      <c r="FX60" s="1117"/>
      <c r="FY60" s="1117"/>
      <c r="FZ60" s="1117"/>
      <c r="GA60" s="1117"/>
      <c r="GB60" s="1117"/>
      <c r="GC60" s="1117"/>
      <c r="GD60" s="1117"/>
      <c r="GE60" s="1117"/>
      <c r="GF60" s="1117"/>
      <c r="GG60" s="1117"/>
      <c r="GH60" s="1117"/>
      <c r="GI60" s="1117"/>
      <c r="GJ60" s="1117"/>
      <c r="GK60" s="1117"/>
      <c r="GL60" s="1117"/>
      <c r="GM60" s="1117"/>
      <c r="GN60" s="1117"/>
      <c r="GO60" s="1117"/>
      <c r="GP60" s="1117"/>
      <c r="GQ60" s="1117"/>
      <c r="GR60" s="1117"/>
      <c r="GS60" s="1117"/>
      <c r="GT60" s="1117"/>
      <c r="GU60" s="1117"/>
      <c r="GV60" s="1117"/>
      <c r="GW60" s="1117"/>
      <c r="GX60" s="1117"/>
      <c r="GY60" s="1117"/>
      <c r="GZ60" s="1117"/>
      <c r="HA60" s="1117"/>
      <c r="HB60" s="1117"/>
      <c r="HC60" s="1117"/>
      <c r="HD60" s="1117"/>
      <c r="HE60" s="1117"/>
      <c r="HF60" s="1117"/>
      <c r="HG60" s="1117"/>
      <c r="HH60" s="1117"/>
      <c r="HI60" s="1117"/>
      <c r="HJ60" s="1117"/>
      <c r="HK60" s="1117"/>
      <c r="HL60" s="1117"/>
      <c r="HM60" s="1117"/>
      <c r="HN60" s="1117"/>
      <c r="HO60" s="1117"/>
      <c r="HP60" s="1117"/>
      <c r="HQ60" s="1117"/>
      <c r="HR60" s="1117"/>
      <c r="HS60" s="1117"/>
      <c r="HT60" s="1117"/>
      <c r="HU60" s="1117"/>
      <c r="HV60" s="1117"/>
      <c r="HW60" s="1117"/>
      <c r="HX60" s="1117"/>
      <c r="HY60" s="1117"/>
      <c r="HZ60" s="1117"/>
      <c r="IA60" s="1117"/>
      <c r="IB60" s="1117"/>
      <c r="IC60" s="1117"/>
      <c r="ID60" s="1117"/>
      <c r="IE60" s="1117"/>
      <c r="IF60" s="1117"/>
      <c r="IG60" s="1117"/>
      <c r="IH60" s="1117"/>
      <c r="II60" s="1117"/>
      <c r="IJ60" s="1117"/>
      <c r="IK60" s="1117"/>
      <c r="IL60" s="1117"/>
      <c r="IM60" s="1117"/>
      <c r="IN60" s="1117"/>
      <c r="IO60" s="1117"/>
      <c r="IP60" s="1117"/>
      <c r="IQ60" s="1117"/>
      <c r="IR60" s="1117"/>
      <c r="IS60" s="1117"/>
      <c r="IT60" s="1117"/>
      <c r="IU60" s="1117"/>
      <c r="IV60" s="1117"/>
    </row>
    <row r="61" spans="1:256" s="24" customFormat="1" ht="51" customHeight="1">
      <c r="A61" s="1113" t="s">
        <v>63</v>
      </c>
      <c r="B61" s="1113"/>
    </row>
    <row r="62" spans="1:256" s="24" customFormat="1" ht="51" customHeight="1">
      <c r="A62" s="1113" t="s">
        <v>64</v>
      </c>
      <c r="B62" s="1113"/>
    </row>
    <row r="63" spans="1:256" s="24" customFormat="1" ht="45.75" customHeight="1">
      <c r="A63" s="1117" t="s">
        <v>65</v>
      </c>
      <c r="B63" s="1117"/>
      <c r="C63" s="1117"/>
      <c r="D63" s="1117"/>
      <c r="E63" s="1117"/>
      <c r="F63" s="1117"/>
      <c r="G63" s="1117"/>
      <c r="H63" s="1117"/>
      <c r="I63" s="1117"/>
      <c r="J63" s="1117"/>
      <c r="K63" s="1117"/>
      <c r="L63" s="1117"/>
      <c r="M63" s="1117"/>
      <c r="N63" s="1117"/>
      <c r="O63" s="1117"/>
      <c r="P63" s="1117"/>
      <c r="Q63" s="1117"/>
      <c r="R63" s="1117"/>
      <c r="S63" s="1117"/>
      <c r="T63" s="1117"/>
      <c r="U63" s="1117"/>
      <c r="V63" s="1117"/>
      <c r="W63" s="1117"/>
      <c r="X63" s="1117"/>
      <c r="Y63" s="1117"/>
      <c r="Z63" s="1117"/>
      <c r="AA63" s="1117"/>
      <c r="AB63" s="1117"/>
      <c r="AC63" s="1117"/>
      <c r="AD63" s="1117"/>
      <c r="AE63" s="1117"/>
      <c r="AF63" s="1117"/>
      <c r="AG63" s="1117"/>
      <c r="AH63" s="1117"/>
      <c r="AI63" s="1117"/>
      <c r="AJ63" s="1117"/>
      <c r="AK63" s="1117"/>
      <c r="AL63" s="1117"/>
      <c r="AM63" s="1117"/>
      <c r="AN63" s="1117"/>
      <c r="AO63" s="1117"/>
      <c r="AP63" s="1117"/>
      <c r="AQ63" s="1117"/>
      <c r="AR63" s="1117"/>
      <c r="AS63" s="1117"/>
      <c r="AT63" s="1117"/>
      <c r="AU63" s="1117"/>
      <c r="AV63" s="1117"/>
      <c r="AW63" s="1117"/>
      <c r="AX63" s="1117"/>
      <c r="AY63" s="1117"/>
      <c r="AZ63" s="1117"/>
      <c r="BA63" s="1117"/>
      <c r="BB63" s="1117"/>
      <c r="BC63" s="1117"/>
      <c r="BD63" s="1117"/>
      <c r="BE63" s="1117"/>
      <c r="BF63" s="1117"/>
      <c r="BG63" s="1117"/>
      <c r="BH63" s="1117"/>
      <c r="BI63" s="1117"/>
      <c r="BJ63" s="1117"/>
      <c r="BK63" s="1117"/>
      <c r="BL63" s="1117"/>
      <c r="BM63" s="1117"/>
      <c r="BN63" s="1117"/>
      <c r="BO63" s="1117"/>
      <c r="BP63" s="1117"/>
      <c r="BQ63" s="1117"/>
      <c r="BR63" s="1117"/>
      <c r="BS63" s="1117"/>
      <c r="BT63" s="1117"/>
      <c r="BU63" s="1117"/>
      <c r="BV63" s="1117"/>
      <c r="BW63" s="1117"/>
      <c r="BX63" s="1117"/>
      <c r="BY63" s="1117"/>
      <c r="BZ63" s="1117"/>
      <c r="CA63" s="1117"/>
      <c r="CB63" s="1117"/>
      <c r="CC63" s="1117"/>
      <c r="CD63" s="1117"/>
      <c r="CE63" s="1117"/>
      <c r="CF63" s="1117"/>
      <c r="CG63" s="1117"/>
      <c r="CH63" s="1117"/>
      <c r="CI63" s="1117"/>
      <c r="CJ63" s="1117"/>
      <c r="CK63" s="1117"/>
      <c r="CL63" s="1117"/>
      <c r="CM63" s="1117"/>
      <c r="CN63" s="1117"/>
      <c r="CO63" s="1117"/>
      <c r="CP63" s="1117"/>
      <c r="CQ63" s="1117"/>
      <c r="CR63" s="1117"/>
      <c r="CS63" s="1117"/>
      <c r="CT63" s="1117"/>
      <c r="CU63" s="1117"/>
      <c r="CV63" s="1117"/>
      <c r="CW63" s="1117"/>
      <c r="CX63" s="1117"/>
      <c r="CY63" s="1117"/>
      <c r="CZ63" s="1117"/>
      <c r="DA63" s="1117"/>
      <c r="DB63" s="1117"/>
      <c r="DC63" s="1117"/>
      <c r="DD63" s="1117"/>
      <c r="DE63" s="1117"/>
      <c r="DF63" s="1117"/>
      <c r="DG63" s="1117"/>
      <c r="DH63" s="1117"/>
      <c r="DI63" s="1117"/>
      <c r="DJ63" s="1117"/>
      <c r="DK63" s="1117"/>
      <c r="DL63" s="1117"/>
      <c r="DM63" s="1117"/>
      <c r="DN63" s="1117"/>
      <c r="DO63" s="1117"/>
      <c r="DP63" s="1117"/>
      <c r="DQ63" s="1117"/>
      <c r="DR63" s="1117"/>
      <c r="DS63" s="1117"/>
      <c r="DT63" s="1117"/>
      <c r="DU63" s="1117"/>
      <c r="DV63" s="1117"/>
      <c r="DW63" s="1117"/>
      <c r="DX63" s="1117"/>
      <c r="DY63" s="1117"/>
      <c r="DZ63" s="1117"/>
      <c r="EA63" s="1117"/>
      <c r="EB63" s="1117"/>
      <c r="EC63" s="1117"/>
      <c r="ED63" s="1117"/>
      <c r="EE63" s="1117"/>
      <c r="EF63" s="1117"/>
      <c r="EG63" s="1117"/>
      <c r="EH63" s="1117"/>
      <c r="EI63" s="1117"/>
      <c r="EJ63" s="1117"/>
      <c r="EK63" s="1117"/>
      <c r="EL63" s="1117"/>
      <c r="EM63" s="1117"/>
      <c r="EN63" s="1117"/>
      <c r="EO63" s="1117"/>
      <c r="EP63" s="1117"/>
      <c r="EQ63" s="1117"/>
      <c r="ER63" s="1117"/>
      <c r="ES63" s="1117"/>
      <c r="ET63" s="1117"/>
      <c r="EU63" s="1117"/>
      <c r="EV63" s="1117"/>
      <c r="EW63" s="1117"/>
      <c r="EX63" s="1117"/>
      <c r="EY63" s="1117"/>
      <c r="EZ63" s="1117"/>
      <c r="FA63" s="1117"/>
      <c r="FB63" s="1117"/>
      <c r="FC63" s="1117"/>
      <c r="FD63" s="1117"/>
      <c r="FE63" s="1117"/>
      <c r="FF63" s="1117"/>
      <c r="FG63" s="1117"/>
      <c r="FH63" s="1117"/>
      <c r="FI63" s="1117"/>
      <c r="FJ63" s="1117"/>
      <c r="FK63" s="1117"/>
      <c r="FL63" s="1117"/>
      <c r="FM63" s="1117"/>
      <c r="FN63" s="1117"/>
      <c r="FO63" s="1117"/>
      <c r="FP63" s="1117"/>
      <c r="FQ63" s="1117"/>
      <c r="FR63" s="1117"/>
      <c r="FS63" s="1117"/>
      <c r="FT63" s="1117"/>
      <c r="FU63" s="1117"/>
      <c r="FV63" s="1117"/>
      <c r="FW63" s="1117"/>
      <c r="FX63" s="1117"/>
      <c r="FY63" s="1117"/>
      <c r="FZ63" s="1117"/>
      <c r="GA63" s="1117"/>
      <c r="GB63" s="1117"/>
      <c r="GC63" s="1117"/>
      <c r="GD63" s="1117"/>
      <c r="GE63" s="1117"/>
      <c r="GF63" s="1117"/>
      <c r="GG63" s="1117"/>
      <c r="GH63" s="1117"/>
      <c r="GI63" s="1117"/>
      <c r="GJ63" s="1117"/>
      <c r="GK63" s="1117"/>
      <c r="GL63" s="1117"/>
      <c r="GM63" s="1117"/>
      <c r="GN63" s="1117"/>
      <c r="GO63" s="1117"/>
      <c r="GP63" s="1117"/>
      <c r="GQ63" s="1117"/>
      <c r="GR63" s="1117"/>
      <c r="GS63" s="1117"/>
      <c r="GT63" s="1117"/>
      <c r="GU63" s="1117"/>
      <c r="GV63" s="1117"/>
      <c r="GW63" s="1117"/>
      <c r="GX63" s="1117"/>
      <c r="GY63" s="1117"/>
      <c r="GZ63" s="1117"/>
      <c r="HA63" s="1117"/>
      <c r="HB63" s="1117"/>
      <c r="HC63" s="1117"/>
      <c r="HD63" s="1117"/>
      <c r="HE63" s="1117"/>
      <c r="HF63" s="1117"/>
      <c r="HG63" s="1117"/>
      <c r="HH63" s="1117"/>
      <c r="HI63" s="1117"/>
      <c r="HJ63" s="1117"/>
      <c r="HK63" s="1117"/>
      <c r="HL63" s="1117"/>
      <c r="HM63" s="1117"/>
      <c r="HN63" s="1117"/>
      <c r="HO63" s="1117"/>
      <c r="HP63" s="1117"/>
      <c r="HQ63" s="1117"/>
      <c r="HR63" s="1117"/>
      <c r="HS63" s="1117"/>
      <c r="HT63" s="1117"/>
      <c r="HU63" s="1117"/>
      <c r="HV63" s="1117"/>
      <c r="HW63" s="1117"/>
      <c r="HX63" s="1117"/>
      <c r="HY63" s="1117"/>
      <c r="HZ63" s="1117"/>
      <c r="IA63" s="1117"/>
      <c r="IB63" s="1117"/>
      <c r="IC63" s="1117"/>
      <c r="ID63" s="1117"/>
      <c r="IE63" s="1117"/>
      <c r="IF63" s="1117"/>
      <c r="IG63" s="1117"/>
      <c r="IH63" s="1117"/>
      <c r="II63" s="1117"/>
      <c r="IJ63" s="1117"/>
      <c r="IK63" s="1117"/>
      <c r="IL63" s="1117"/>
      <c r="IM63" s="1117"/>
      <c r="IN63" s="1117"/>
      <c r="IO63" s="1117"/>
      <c r="IP63" s="1117"/>
      <c r="IQ63" s="1117"/>
      <c r="IR63" s="1117"/>
      <c r="IS63" s="1117"/>
      <c r="IT63" s="1117"/>
      <c r="IU63" s="1117"/>
      <c r="IV63" s="1117"/>
    </row>
    <row r="64" spans="1:256" s="24" customFormat="1" ht="30" customHeight="1">
      <c r="A64" s="1113" t="s">
        <v>66</v>
      </c>
      <c r="B64" s="1113"/>
    </row>
    <row r="65" spans="1:3" s="24" customFormat="1" ht="71.25" customHeight="1">
      <c r="A65" s="1113" t="s">
        <v>67</v>
      </c>
      <c r="B65" s="1113"/>
    </row>
    <row r="66" spans="1:3" s="24" customFormat="1" ht="28.5" customHeight="1">
      <c r="A66" s="1113" t="s">
        <v>68</v>
      </c>
      <c r="B66" s="1113"/>
    </row>
    <row r="67" spans="1:3" s="24" customFormat="1" ht="54.75" customHeight="1">
      <c r="A67" s="1112" t="s">
        <v>69</v>
      </c>
      <c r="B67" s="1112"/>
    </row>
    <row r="68" spans="1:3" s="24" customFormat="1" ht="30" customHeight="1">
      <c r="A68" s="1113" t="s">
        <v>730</v>
      </c>
      <c r="B68" s="1113"/>
    </row>
    <row r="69" spans="1:3" s="24" customFormat="1" ht="26.25" customHeight="1">
      <c r="A69" s="1113" t="s">
        <v>70</v>
      </c>
      <c r="B69" s="1113"/>
      <c r="C69" s="38"/>
    </row>
    <row r="70" spans="1:3" s="24" customFormat="1" ht="91.5" customHeight="1">
      <c r="A70" s="1114" t="s">
        <v>71</v>
      </c>
      <c r="B70" s="1114"/>
    </row>
    <row r="71" spans="1:3" s="24" customFormat="1" ht="43.5" customHeight="1">
      <c r="A71" s="36"/>
      <c r="B71" s="36"/>
    </row>
    <row r="72" spans="1:3" s="24" customFormat="1" ht="205.5" customHeight="1">
      <c r="A72" s="1115"/>
      <c r="B72" s="1115"/>
    </row>
    <row r="73" spans="1:3" s="24" customFormat="1" ht="12.75">
      <c r="A73" s="1116" t="s">
        <v>72</v>
      </c>
      <c r="B73" s="1116"/>
    </row>
    <row r="74" spans="1:3" s="24" customFormat="1">
      <c r="A74" s="39"/>
      <c r="B74" s="40"/>
    </row>
    <row r="75" spans="1:3" s="24" customFormat="1">
      <c r="A75" s="40"/>
      <c r="B75" s="40"/>
    </row>
    <row r="76" spans="1:3" s="24" customFormat="1">
      <c r="A76" s="41"/>
      <c r="B76" s="40"/>
    </row>
    <row r="77" spans="1:3" s="24" customFormat="1">
      <c r="A77" s="41"/>
      <c r="B77" s="40"/>
    </row>
    <row r="78" spans="1:3" s="24" customFormat="1">
      <c r="A78" s="40"/>
      <c r="B78" s="40"/>
    </row>
    <row r="79" spans="1:3" s="24" customFormat="1">
      <c r="A79" s="1111"/>
      <c r="B79" s="1111"/>
    </row>
  </sheetData>
  <sheetProtection password="C0F1" sheet="1"/>
  <customSheetViews>
    <customSheetView guid="{1F4AFEE5-5BDD-4100-B0E9-57B262CA123C}" scale="115" showPageBreaks="1" showGridLines="0" printArea="1" view="pageBreakPreview" topLeftCell="A10">
      <selection activeCell="A10" sqref="A10:B10"/>
      <rowBreaks count="4" manualBreakCount="4">
        <brk id="20" max="1" man="1"/>
        <brk id="34" max="1" man="1"/>
        <brk id="45" max="1" man="1"/>
        <brk id="58" max="1" man="1"/>
      </rowBreaks>
      <pageMargins left="0.5" right="0.5" top="0.75" bottom="0.5" header="0.3" footer="0.3"/>
      <printOptions horizontalCentered="1"/>
      <pageSetup scale="91" fitToHeight="6" orientation="portrait" r:id="rId1"/>
    </customSheetView>
  </customSheetViews>
  <mergeCells count="338">
    <mergeCell ref="A1:B1"/>
    <mergeCell ref="A3:B3"/>
    <mergeCell ref="A4:B4"/>
    <mergeCell ref="A5:B5"/>
    <mergeCell ref="A6:B6"/>
    <mergeCell ref="A7:B7"/>
    <mergeCell ref="A8:B8"/>
    <mergeCell ref="A9:B9"/>
    <mergeCell ref="A10:B10"/>
    <mergeCell ref="A11:B11"/>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33:B33"/>
    <mergeCell ref="A34:B34"/>
    <mergeCell ref="A37:B37"/>
    <mergeCell ref="A40:B40"/>
    <mergeCell ref="A41:B41"/>
    <mergeCell ref="A42:B42"/>
    <mergeCell ref="A43:B43"/>
    <mergeCell ref="A44:B44"/>
    <mergeCell ref="A45:B45"/>
    <mergeCell ref="A46:B46"/>
    <mergeCell ref="A47:B47"/>
    <mergeCell ref="A49:B49"/>
    <mergeCell ref="A48:B48"/>
    <mergeCell ref="A50:B50"/>
    <mergeCell ref="A51:B51"/>
    <mergeCell ref="A52:B52"/>
    <mergeCell ref="A53:B53"/>
    <mergeCell ref="C53:M53"/>
    <mergeCell ref="N53:X53"/>
    <mergeCell ref="Y53:AI53"/>
    <mergeCell ref="AJ53:AT53"/>
    <mergeCell ref="AU53:BE53"/>
    <mergeCell ref="HO53:HY53"/>
    <mergeCell ref="HZ53:IJ53"/>
    <mergeCell ref="IK53:IM53"/>
    <mergeCell ref="A54:B54"/>
    <mergeCell ref="A55:B55"/>
    <mergeCell ref="A56:B56"/>
    <mergeCell ref="FA53:FK53"/>
    <mergeCell ref="FL53:FV53"/>
    <mergeCell ref="FW53:GG53"/>
    <mergeCell ref="GH53:GR53"/>
    <mergeCell ref="BF53:BP53"/>
    <mergeCell ref="BQ53:CA53"/>
    <mergeCell ref="CB53:CL53"/>
    <mergeCell ref="GS53:HC53"/>
    <mergeCell ref="HD53:HN53"/>
    <mergeCell ref="CM53:CW53"/>
    <mergeCell ref="CX53:DH53"/>
    <mergeCell ref="DI53:DS53"/>
    <mergeCell ref="DT53:ED53"/>
    <mergeCell ref="EE53:EO53"/>
    <mergeCell ref="EP53:EZ53"/>
    <mergeCell ref="A57:B57"/>
    <mergeCell ref="A58:B58"/>
    <mergeCell ref="A59:B59"/>
    <mergeCell ref="A60:B60"/>
    <mergeCell ref="C60:D60"/>
    <mergeCell ref="E60:F60"/>
    <mergeCell ref="G60:H60"/>
    <mergeCell ref="I60:J60"/>
    <mergeCell ref="K60:L60"/>
    <mergeCell ref="M60:N60"/>
    <mergeCell ref="O60:P60"/>
    <mergeCell ref="Q60:R60"/>
    <mergeCell ref="S60:T60"/>
    <mergeCell ref="U60:V60"/>
    <mergeCell ref="W60:X60"/>
    <mergeCell ref="Y60:Z60"/>
    <mergeCell ref="AA60:AB60"/>
    <mergeCell ref="AC60:AD60"/>
    <mergeCell ref="AE60:AF60"/>
    <mergeCell ref="AG60:AH60"/>
    <mergeCell ref="AI60:AJ60"/>
    <mergeCell ref="AK60:AL60"/>
    <mergeCell ref="AM60:AN60"/>
    <mergeCell ref="AO60:AP60"/>
    <mergeCell ref="AQ60:AR60"/>
    <mergeCell ref="AS60:AT60"/>
    <mergeCell ref="AU60:AV60"/>
    <mergeCell ref="AW60:AX60"/>
    <mergeCell ref="AY60:AZ60"/>
    <mergeCell ref="BA60:BB60"/>
    <mergeCell ref="BC60:BD60"/>
    <mergeCell ref="BE60:BF60"/>
    <mergeCell ref="BG60:BH60"/>
    <mergeCell ref="BI60:BJ60"/>
    <mergeCell ref="BK60:BL60"/>
    <mergeCell ref="BM60:BN60"/>
    <mergeCell ref="BO60:BP60"/>
    <mergeCell ref="BQ60:BR60"/>
    <mergeCell ref="BS60:BT60"/>
    <mergeCell ref="BU60:BV60"/>
    <mergeCell ref="BW60:BX60"/>
    <mergeCell ref="BY60:BZ60"/>
    <mergeCell ref="CA60:CB60"/>
    <mergeCell ref="CC60:CD60"/>
    <mergeCell ref="CE60:CF60"/>
    <mergeCell ref="CG60:CH60"/>
    <mergeCell ref="CI60:CJ60"/>
    <mergeCell ref="CK60:CL60"/>
    <mergeCell ref="CM60:CN60"/>
    <mergeCell ref="CO60:CP60"/>
    <mergeCell ref="CQ60:CR60"/>
    <mergeCell ref="CS60:CT60"/>
    <mergeCell ref="CU60:CV60"/>
    <mergeCell ref="CW60:CX60"/>
    <mergeCell ref="CY60:CZ60"/>
    <mergeCell ref="DA60:DB60"/>
    <mergeCell ref="DC60:DD60"/>
    <mergeCell ref="DE60:DF60"/>
    <mergeCell ref="DG60:DH60"/>
    <mergeCell ref="DI60:DJ60"/>
    <mergeCell ref="DK60:DL60"/>
    <mergeCell ref="DM60:DN60"/>
    <mergeCell ref="DO60:DP60"/>
    <mergeCell ref="DQ60:DR60"/>
    <mergeCell ref="DS60:DT60"/>
    <mergeCell ref="DU60:DV60"/>
    <mergeCell ref="DW60:DX60"/>
    <mergeCell ref="DY60:DZ60"/>
    <mergeCell ref="EA60:EB60"/>
    <mergeCell ref="EC60:ED60"/>
    <mergeCell ref="EE60:EF60"/>
    <mergeCell ref="EG60:EH60"/>
    <mergeCell ref="EI60:EJ60"/>
    <mergeCell ref="EK60:EL60"/>
    <mergeCell ref="EM60:EN60"/>
    <mergeCell ref="EO60:EP60"/>
    <mergeCell ref="EQ60:ER60"/>
    <mergeCell ref="ES60:ET60"/>
    <mergeCell ref="EU60:EV60"/>
    <mergeCell ref="EW60:EX60"/>
    <mergeCell ref="EY60:EZ60"/>
    <mergeCell ref="FA60:FB60"/>
    <mergeCell ref="FC60:FD60"/>
    <mergeCell ref="FE60:FF60"/>
    <mergeCell ref="FG60:FH60"/>
    <mergeCell ref="FI60:FJ60"/>
    <mergeCell ref="FK60:FL60"/>
    <mergeCell ref="FM60:FN60"/>
    <mergeCell ref="FO60:FP60"/>
    <mergeCell ref="FQ60:FR60"/>
    <mergeCell ref="FS60:FT60"/>
    <mergeCell ref="FU60:FV60"/>
    <mergeCell ref="FW60:FX60"/>
    <mergeCell ref="FY60:FZ60"/>
    <mergeCell ref="GA60:GB60"/>
    <mergeCell ref="GC60:GD60"/>
    <mergeCell ref="GE60:GF60"/>
    <mergeCell ref="GG60:GH60"/>
    <mergeCell ref="GI60:GJ60"/>
    <mergeCell ref="GK60:GL60"/>
    <mergeCell ref="GM60:GN60"/>
    <mergeCell ref="GO60:GP60"/>
    <mergeCell ref="GQ60:GR60"/>
    <mergeCell ref="GS60:GT60"/>
    <mergeCell ref="GU60:GV60"/>
    <mergeCell ref="GW60:GX60"/>
    <mergeCell ref="GY60:GZ60"/>
    <mergeCell ref="HA60:HB60"/>
    <mergeCell ref="IM60:IN60"/>
    <mergeCell ref="IO60:IP60"/>
    <mergeCell ref="IQ60:IR60"/>
    <mergeCell ref="IS60:IT60"/>
    <mergeCell ref="IU60:IV60"/>
    <mergeCell ref="A61:B61"/>
    <mergeCell ref="IA60:IB60"/>
    <mergeCell ref="IC60:ID60"/>
    <mergeCell ref="IE60:IF60"/>
    <mergeCell ref="IG60:IH60"/>
    <mergeCell ref="HC60:HD60"/>
    <mergeCell ref="HE60:HF60"/>
    <mergeCell ref="HG60:HH60"/>
    <mergeCell ref="HI60:HJ60"/>
    <mergeCell ref="HK60:HL60"/>
    <mergeCell ref="HM60:HN60"/>
    <mergeCell ref="II60:IJ60"/>
    <mergeCell ref="IK60:IL60"/>
    <mergeCell ref="HO60:HP60"/>
    <mergeCell ref="HQ60:HR60"/>
    <mergeCell ref="HS60:HT60"/>
    <mergeCell ref="HU60:HV60"/>
    <mergeCell ref="HW60:HX60"/>
    <mergeCell ref="HY60:HZ60"/>
    <mergeCell ref="A62:B62"/>
    <mergeCell ref="A63:B63"/>
    <mergeCell ref="C63:D63"/>
    <mergeCell ref="E63:F63"/>
    <mergeCell ref="G63:H63"/>
    <mergeCell ref="I63:J63"/>
    <mergeCell ref="K63:L63"/>
    <mergeCell ref="M63:N63"/>
    <mergeCell ref="O63:P63"/>
    <mergeCell ref="Q63:R63"/>
    <mergeCell ref="S63:T63"/>
    <mergeCell ref="U63:V63"/>
    <mergeCell ref="W63:X63"/>
    <mergeCell ref="Y63:Z63"/>
    <mergeCell ref="AA63:AB63"/>
    <mergeCell ref="AC63:AD63"/>
    <mergeCell ref="AE63:AF63"/>
    <mergeCell ref="AG63:AH63"/>
    <mergeCell ref="AI63:AJ63"/>
    <mergeCell ref="AK63:AL63"/>
    <mergeCell ref="AM63:AN63"/>
    <mergeCell ref="AO63:AP63"/>
    <mergeCell ref="AQ63:AR63"/>
    <mergeCell ref="AS63:AT63"/>
    <mergeCell ref="AU63:AV63"/>
    <mergeCell ref="AW63:AX63"/>
    <mergeCell ref="AY63:AZ63"/>
    <mergeCell ref="BA63:BB63"/>
    <mergeCell ref="BC63:BD63"/>
    <mergeCell ref="BE63:BF63"/>
    <mergeCell ref="BG63:BH63"/>
    <mergeCell ref="BI63:BJ63"/>
    <mergeCell ref="BK63:BL63"/>
    <mergeCell ref="BM63:BN63"/>
    <mergeCell ref="BO63:BP63"/>
    <mergeCell ref="BQ63:BR63"/>
    <mergeCell ref="BS63:BT63"/>
    <mergeCell ref="BU63:BV63"/>
    <mergeCell ref="BW63:BX63"/>
    <mergeCell ref="BY63:BZ63"/>
    <mergeCell ref="CA63:CB63"/>
    <mergeCell ref="CC63:CD63"/>
    <mergeCell ref="CE63:CF63"/>
    <mergeCell ref="CG63:CH63"/>
    <mergeCell ref="CI63:CJ63"/>
    <mergeCell ref="CK63:CL63"/>
    <mergeCell ref="CM63:CN63"/>
    <mergeCell ref="CO63:CP63"/>
    <mergeCell ref="CQ63:CR63"/>
    <mergeCell ref="CS63:CT63"/>
    <mergeCell ref="CU63:CV63"/>
    <mergeCell ref="CW63:CX63"/>
    <mergeCell ref="CY63:CZ63"/>
    <mergeCell ref="DA63:DB63"/>
    <mergeCell ref="DC63:DD63"/>
    <mergeCell ref="DE63:DF63"/>
    <mergeCell ref="DG63:DH63"/>
    <mergeCell ref="DI63:DJ63"/>
    <mergeCell ref="DK63:DL63"/>
    <mergeCell ref="DM63:DN63"/>
    <mergeCell ref="DO63:DP63"/>
    <mergeCell ref="DQ63:DR63"/>
    <mergeCell ref="DS63:DT63"/>
    <mergeCell ref="DU63:DV63"/>
    <mergeCell ref="DW63:DX63"/>
    <mergeCell ref="DY63:DZ63"/>
    <mergeCell ref="EA63:EB63"/>
    <mergeCell ref="EC63:ED63"/>
    <mergeCell ref="EE63:EF63"/>
    <mergeCell ref="EG63:EH63"/>
    <mergeCell ref="EI63:EJ63"/>
    <mergeCell ref="EK63:EL63"/>
    <mergeCell ref="EM63:EN63"/>
    <mergeCell ref="EO63:EP63"/>
    <mergeCell ref="EQ63:ER63"/>
    <mergeCell ref="ES63:ET63"/>
    <mergeCell ref="EU63:EV63"/>
    <mergeCell ref="EW63:EX63"/>
    <mergeCell ref="EY63:EZ63"/>
    <mergeCell ref="FA63:FB63"/>
    <mergeCell ref="FC63:FD63"/>
    <mergeCell ref="GM63:GN63"/>
    <mergeCell ref="FE63:FF63"/>
    <mergeCell ref="FG63:FH63"/>
    <mergeCell ref="FI63:FJ63"/>
    <mergeCell ref="FK63:FL63"/>
    <mergeCell ref="FM63:FN63"/>
    <mergeCell ref="FO63:FP63"/>
    <mergeCell ref="FQ63:FR63"/>
    <mergeCell ref="FS63:FT63"/>
    <mergeCell ref="FU63:FV63"/>
    <mergeCell ref="IU63:IV63"/>
    <mergeCell ref="A64:B64"/>
    <mergeCell ref="A65:B65"/>
    <mergeCell ref="A66:B66"/>
    <mergeCell ref="IE63:IF63"/>
    <mergeCell ref="IG63:IH63"/>
    <mergeCell ref="II63:IJ63"/>
    <mergeCell ref="IK63:IL63"/>
    <mergeCell ref="HG63:HH63"/>
    <mergeCell ref="HI63:HJ63"/>
    <mergeCell ref="HK63:HL63"/>
    <mergeCell ref="HM63:HN63"/>
    <mergeCell ref="HO63:HP63"/>
    <mergeCell ref="HQ63:HR63"/>
    <mergeCell ref="IM63:IN63"/>
    <mergeCell ref="IO63:IP63"/>
    <mergeCell ref="HS63:HT63"/>
    <mergeCell ref="HU63:HV63"/>
    <mergeCell ref="HW63:HX63"/>
    <mergeCell ref="HY63:HZ63"/>
    <mergeCell ref="IA63:IB63"/>
    <mergeCell ref="IC63:ID63"/>
    <mergeCell ref="GO63:GP63"/>
    <mergeCell ref="GQ63:GR63"/>
    <mergeCell ref="A79:B79"/>
    <mergeCell ref="A67:B67"/>
    <mergeCell ref="A68:B68"/>
    <mergeCell ref="A69:B69"/>
    <mergeCell ref="A70:B70"/>
    <mergeCell ref="A72:B72"/>
    <mergeCell ref="A73:B73"/>
    <mergeCell ref="IQ63:IR63"/>
    <mergeCell ref="IS63:IT63"/>
    <mergeCell ref="GS63:GT63"/>
    <mergeCell ref="GU63:GV63"/>
    <mergeCell ref="GW63:GX63"/>
    <mergeCell ref="GY63:GZ63"/>
    <mergeCell ref="HA63:HB63"/>
    <mergeCell ref="HC63:HD63"/>
    <mergeCell ref="HE63:HF63"/>
    <mergeCell ref="FW63:FX63"/>
    <mergeCell ref="FY63:FZ63"/>
    <mergeCell ref="GA63:GB63"/>
    <mergeCell ref="GC63:GD63"/>
    <mergeCell ref="GE63:GF63"/>
    <mergeCell ref="GG63:GH63"/>
    <mergeCell ref="GI63:GJ63"/>
    <mergeCell ref="GK63:GL63"/>
  </mergeCells>
  <printOptions horizontalCentered="1"/>
  <pageMargins left="0.5" right="0.5" top="0.75" bottom="0.5" header="0.3" footer="0.3"/>
  <pageSetup scale="91" fitToHeight="6" orientation="portrait" r:id="rId2"/>
  <rowBreaks count="4" manualBreakCount="4">
    <brk id="20" max="1" man="1"/>
    <brk id="34" max="1" man="1"/>
    <brk id="45" max="1" man="1"/>
    <brk id="58" max="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topLeftCell="A28" zoomScale="85" zoomScaleNormal="85" workbookViewId="0">
      <selection activeCell="A39" sqref="A39"/>
    </sheetView>
  </sheetViews>
  <sheetFormatPr defaultRowHeight="15"/>
  <cols>
    <col min="1" max="1" width="35.85546875" bestFit="1" customWidth="1"/>
    <col min="2" max="2" width="4.42578125" customWidth="1"/>
    <col min="3" max="3" width="15.5703125" customWidth="1"/>
    <col min="4" max="4" width="18.42578125" customWidth="1"/>
    <col min="5" max="5" width="17.28515625" customWidth="1"/>
    <col min="6" max="6" width="21.28515625" customWidth="1"/>
  </cols>
  <sheetData>
    <row r="1" spans="1:6">
      <c r="A1" s="864" t="s">
        <v>1024</v>
      </c>
      <c r="C1" s="1256" t="s">
        <v>224</v>
      </c>
      <c r="D1" s="1257"/>
      <c r="E1" s="1256" t="s">
        <v>225</v>
      </c>
      <c r="F1" s="1258"/>
    </row>
    <row r="2" spans="1:6" ht="30.75" thickBot="1">
      <c r="C2" s="408" t="s">
        <v>570</v>
      </c>
      <c r="D2" s="408" t="s">
        <v>573</v>
      </c>
      <c r="E2" s="408" t="s">
        <v>571</v>
      </c>
      <c r="F2" s="854" t="s">
        <v>572</v>
      </c>
    </row>
    <row r="3" spans="1:6" s="865" customFormat="1">
      <c r="C3" s="874"/>
      <c r="D3" s="874"/>
      <c r="E3" s="874"/>
      <c r="F3" s="874"/>
    </row>
    <row r="4" spans="1:6">
      <c r="A4" s="867" t="s">
        <v>1029</v>
      </c>
      <c r="C4" s="868">
        <v>1186.29</v>
      </c>
      <c r="D4" s="870"/>
      <c r="E4" s="870">
        <v>1220.17</v>
      </c>
      <c r="F4" s="869"/>
    </row>
    <row r="5" spans="1:6">
      <c r="A5" s="848" t="s">
        <v>959</v>
      </c>
      <c r="C5" s="869">
        <v>72.599999999999994</v>
      </c>
      <c r="D5" s="870"/>
      <c r="E5" s="870"/>
      <c r="F5" s="870"/>
    </row>
    <row r="6" spans="1:6">
      <c r="A6" s="867" t="s">
        <v>940</v>
      </c>
      <c r="C6" s="868">
        <v>34.39</v>
      </c>
      <c r="D6" s="870"/>
      <c r="E6" s="870"/>
      <c r="F6" s="869"/>
    </row>
    <row r="7" spans="1:6">
      <c r="A7" s="867" t="s">
        <v>941</v>
      </c>
      <c r="C7" s="868">
        <v>7.85</v>
      </c>
      <c r="D7" s="870"/>
      <c r="E7" s="870"/>
      <c r="F7" s="869">
        <v>284.43</v>
      </c>
    </row>
    <row r="8" spans="1:6">
      <c r="A8" s="848" t="s">
        <v>960</v>
      </c>
      <c r="C8" s="869">
        <v>878.43999999999994</v>
      </c>
      <c r="D8" s="870"/>
      <c r="E8" s="870"/>
      <c r="F8" s="870"/>
    </row>
    <row r="9" spans="1:6">
      <c r="A9" s="848" t="s">
        <v>961</v>
      </c>
      <c r="C9" s="869">
        <v>1808.03</v>
      </c>
      <c r="D9" s="870"/>
      <c r="E9" s="870"/>
      <c r="F9" s="870"/>
    </row>
    <row r="10" spans="1:6">
      <c r="A10" s="867" t="s">
        <v>942</v>
      </c>
      <c r="C10" s="868">
        <v>1850.54</v>
      </c>
      <c r="D10" s="870"/>
      <c r="E10" s="870"/>
      <c r="F10" s="869"/>
    </row>
    <row r="11" spans="1:6">
      <c r="A11" s="867" t="s">
        <v>1025</v>
      </c>
      <c r="C11" s="868">
        <v>714.44999999999993</v>
      </c>
      <c r="D11" s="870"/>
      <c r="E11" s="870">
        <v>433</v>
      </c>
      <c r="F11" s="869"/>
    </row>
    <row r="12" spans="1:6">
      <c r="A12" s="867" t="s">
        <v>943</v>
      </c>
      <c r="C12" s="868">
        <v>609.64</v>
      </c>
      <c r="D12" s="870"/>
      <c r="E12" s="870">
        <v>127.19</v>
      </c>
      <c r="F12" s="869"/>
    </row>
    <row r="13" spans="1:6">
      <c r="A13" s="867" t="s">
        <v>944</v>
      </c>
      <c r="C13" s="868">
        <v>50</v>
      </c>
      <c r="D13" s="870"/>
      <c r="E13" s="870"/>
      <c r="F13" s="869"/>
    </row>
    <row r="14" spans="1:6">
      <c r="A14" s="848" t="s">
        <v>962</v>
      </c>
      <c r="C14" s="869">
        <v>288.02999999999997</v>
      </c>
      <c r="D14" s="870"/>
      <c r="E14" s="870"/>
      <c r="F14" s="870"/>
    </row>
    <row r="15" spans="1:6">
      <c r="A15" s="867" t="s">
        <v>945</v>
      </c>
      <c r="C15" s="868">
        <v>226.10000000000002</v>
      </c>
      <c r="D15" s="870"/>
      <c r="E15" s="870"/>
      <c r="F15" s="869"/>
    </row>
    <row r="16" spans="1:6">
      <c r="A16" s="867" t="s">
        <v>946</v>
      </c>
      <c r="C16" s="868">
        <v>111.77</v>
      </c>
      <c r="D16" s="870"/>
      <c r="E16" s="870"/>
      <c r="F16" s="869"/>
    </row>
    <row r="17" spans="1:6">
      <c r="A17" s="848" t="s">
        <v>963</v>
      </c>
      <c r="C17" s="869">
        <v>1600</v>
      </c>
      <c r="D17" s="870"/>
      <c r="E17" s="870"/>
      <c r="F17" s="870"/>
    </row>
    <row r="18" spans="1:6">
      <c r="A18" s="848" t="s">
        <v>964</v>
      </c>
      <c r="C18" s="869">
        <v>1665.4</v>
      </c>
      <c r="D18" s="870"/>
      <c r="E18" s="870"/>
      <c r="F18" s="870"/>
    </row>
    <row r="19" spans="1:6">
      <c r="A19" s="848" t="s">
        <v>965</v>
      </c>
      <c r="C19" s="869">
        <v>20326.88</v>
      </c>
      <c r="D19" s="870"/>
      <c r="E19" s="870"/>
      <c r="F19" s="870"/>
    </row>
    <row r="20" spans="1:6">
      <c r="A20" s="848" t="s">
        <v>966</v>
      </c>
      <c r="C20" s="869">
        <v>161.80000000000001</v>
      </c>
      <c r="D20" s="870"/>
      <c r="E20" s="870"/>
      <c r="F20" s="870"/>
    </row>
    <row r="21" spans="1:6">
      <c r="A21" s="867" t="s">
        <v>947</v>
      </c>
      <c r="C21" s="870"/>
      <c r="D21" s="869">
        <v>10247.870000000001</v>
      </c>
      <c r="E21" s="870"/>
      <c r="F21" s="869"/>
    </row>
    <row r="22" spans="1:6">
      <c r="A22" s="848" t="s">
        <v>967</v>
      </c>
      <c r="C22" s="869">
        <v>23.11</v>
      </c>
      <c r="D22" s="870"/>
      <c r="E22" s="870"/>
      <c r="F22" s="870"/>
    </row>
    <row r="23" spans="1:6">
      <c r="A23" s="848" t="s">
        <v>968</v>
      </c>
      <c r="C23" s="869">
        <v>2540.29</v>
      </c>
      <c r="D23" s="870"/>
      <c r="E23" s="870"/>
      <c r="F23" s="870"/>
    </row>
    <row r="24" spans="1:6">
      <c r="A24" s="848" t="s">
        <v>969</v>
      </c>
      <c r="C24" s="869">
        <v>119.5</v>
      </c>
      <c r="D24" s="870"/>
      <c r="E24" s="870"/>
      <c r="F24" s="870"/>
    </row>
    <row r="25" spans="1:6">
      <c r="A25" s="867" t="s">
        <v>948</v>
      </c>
      <c r="C25" s="868">
        <v>56.71</v>
      </c>
      <c r="D25" s="870"/>
      <c r="E25" s="870">
        <f>79.2+34.22</f>
        <v>113.42</v>
      </c>
      <c r="F25" s="869"/>
    </row>
    <row r="26" spans="1:6">
      <c r="A26" s="867" t="s">
        <v>949</v>
      </c>
      <c r="C26" s="868">
        <v>1079.2800000000002</v>
      </c>
      <c r="D26" s="870"/>
      <c r="E26" s="870"/>
      <c r="F26" s="869"/>
    </row>
    <row r="27" spans="1:6">
      <c r="A27" s="866" t="s">
        <v>1036</v>
      </c>
      <c r="C27" s="870"/>
      <c r="D27" s="870"/>
      <c r="E27" s="870">
        <v>8074.33</v>
      </c>
      <c r="F27" s="870"/>
    </row>
    <row r="28" spans="1:6">
      <c r="A28" s="866" t="s">
        <v>1033</v>
      </c>
      <c r="C28" s="870"/>
      <c r="D28" s="870"/>
      <c r="E28" s="870">
        <v>651</v>
      </c>
      <c r="F28" s="869">
        <v>12000</v>
      </c>
    </row>
    <row r="29" spans="1:6">
      <c r="A29" s="867" t="s">
        <v>950</v>
      </c>
      <c r="C29" s="868">
        <v>17.5</v>
      </c>
      <c r="D29" s="870"/>
      <c r="E29" s="870">
        <v>52.5</v>
      </c>
      <c r="F29" s="869"/>
    </row>
    <row r="30" spans="1:6">
      <c r="A30" s="848" t="s">
        <v>970</v>
      </c>
      <c r="C30" s="869">
        <v>5.81</v>
      </c>
      <c r="D30" s="870"/>
      <c r="E30" s="870"/>
      <c r="F30" s="870"/>
    </row>
    <row r="31" spans="1:6">
      <c r="A31" s="848" t="s">
        <v>971</v>
      </c>
      <c r="C31" s="869">
        <v>595</v>
      </c>
      <c r="D31" s="870"/>
      <c r="E31" s="870"/>
      <c r="F31" s="870"/>
    </row>
    <row r="32" spans="1:6">
      <c r="A32" s="866" t="s">
        <v>1034</v>
      </c>
      <c r="C32" s="870"/>
      <c r="D32" s="870"/>
      <c r="E32" s="870"/>
      <c r="F32" s="869">
        <v>748</v>
      </c>
    </row>
    <row r="33" spans="1:6">
      <c r="A33" s="867" t="s">
        <v>951</v>
      </c>
      <c r="C33" s="868">
        <v>681.43999999999994</v>
      </c>
      <c r="D33" s="870"/>
      <c r="E33" s="870">
        <v>323.44</v>
      </c>
      <c r="F33" s="869"/>
    </row>
    <row r="34" spans="1:6">
      <c r="A34" s="848" t="s">
        <v>972</v>
      </c>
      <c r="C34" s="869">
        <v>26.85</v>
      </c>
      <c r="D34" s="870"/>
      <c r="E34" s="870"/>
      <c r="F34" s="870"/>
    </row>
    <row r="35" spans="1:6">
      <c r="A35" s="867" t="s">
        <v>952</v>
      </c>
      <c r="C35" s="868">
        <v>35</v>
      </c>
      <c r="D35" s="870"/>
      <c r="E35" s="870"/>
      <c r="F35" s="869"/>
    </row>
    <row r="36" spans="1:6">
      <c r="A36" s="866" t="s">
        <v>1035</v>
      </c>
      <c r="C36" s="870"/>
      <c r="D36" s="870"/>
      <c r="E36" s="870"/>
      <c r="F36" s="869">
        <v>809.2</v>
      </c>
    </row>
    <row r="37" spans="1:6" s="1042" customFormat="1">
      <c r="A37" s="866" t="s">
        <v>1229</v>
      </c>
      <c r="C37" s="870">
        <v>111377.44</v>
      </c>
      <c r="D37" s="870"/>
      <c r="E37" s="870">
        <v>17654</v>
      </c>
      <c r="F37" s="869"/>
    </row>
    <row r="38" spans="1:6" s="1042" customFormat="1">
      <c r="A38" s="866" t="s">
        <v>1230</v>
      </c>
      <c r="C38" s="870">
        <v>139892.39000000001</v>
      </c>
      <c r="D38" s="870"/>
      <c r="E38" s="870">
        <v>8181.81</v>
      </c>
      <c r="F38" s="869"/>
    </row>
    <row r="39" spans="1:6">
      <c r="A39" s="866" t="s">
        <v>1230</v>
      </c>
      <c r="C39" s="868"/>
      <c r="D39" s="869">
        <f>6951.92+8068.93</f>
        <v>15020.85</v>
      </c>
      <c r="E39" s="870"/>
      <c r="F39" s="869">
        <f>3151.28+89.6</f>
        <v>3240.88</v>
      </c>
    </row>
    <row r="40" spans="1:6">
      <c r="A40" s="848" t="s">
        <v>973</v>
      </c>
      <c r="C40" s="869">
        <v>635.73</v>
      </c>
      <c r="D40" s="870"/>
      <c r="E40" s="870"/>
      <c r="F40" s="870"/>
    </row>
    <row r="41" spans="1:6" s="865" customFormat="1">
      <c r="A41" s="848" t="s">
        <v>974</v>
      </c>
      <c r="C41" s="869">
        <v>300.38</v>
      </c>
      <c r="D41" s="870"/>
      <c r="E41" s="870"/>
      <c r="F41" s="870"/>
    </row>
    <row r="42" spans="1:6" s="865" customFormat="1">
      <c r="A42" s="848" t="s">
        <v>1038</v>
      </c>
      <c r="C42" s="869"/>
      <c r="D42" s="870">
        <f>48995.62-8068.93</f>
        <v>40926.69</v>
      </c>
      <c r="E42" s="870"/>
      <c r="F42" s="870">
        <v>51274.06</v>
      </c>
    </row>
    <row r="43" spans="1:6" s="865" customFormat="1">
      <c r="A43" s="867" t="s">
        <v>1027</v>
      </c>
      <c r="C43" s="868">
        <v>2127.14</v>
      </c>
      <c r="D43" s="870"/>
      <c r="E43" s="870"/>
      <c r="F43" s="869"/>
    </row>
    <row r="44" spans="1:6" s="865" customFormat="1">
      <c r="A44" s="848" t="s">
        <v>975</v>
      </c>
      <c r="C44" s="869">
        <v>1333.25</v>
      </c>
      <c r="D44" s="870"/>
      <c r="E44" s="870"/>
      <c r="F44" s="870"/>
    </row>
    <row r="45" spans="1:6" s="865" customFormat="1">
      <c r="A45" s="867" t="s">
        <v>1028</v>
      </c>
      <c r="C45" s="868">
        <v>328.09</v>
      </c>
      <c r="D45" s="870"/>
      <c r="E45" s="870">
        <f>250+328.09</f>
        <v>578.08999999999992</v>
      </c>
      <c r="F45" s="869"/>
    </row>
    <row r="46" spans="1:6" s="865" customFormat="1">
      <c r="A46" s="866" t="s">
        <v>1037</v>
      </c>
      <c r="C46" s="870"/>
      <c r="D46" s="870"/>
      <c r="E46" s="870">
        <v>978</v>
      </c>
      <c r="F46" s="870"/>
    </row>
    <row r="47" spans="1:6" s="865" customFormat="1">
      <c r="A47" s="848" t="s">
        <v>976</v>
      </c>
      <c r="C47" s="869">
        <v>26.13</v>
      </c>
      <c r="D47" s="870"/>
      <c r="E47" s="870"/>
      <c r="F47" s="870"/>
    </row>
    <row r="48" spans="1:6" s="865" customFormat="1">
      <c r="A48" s="848" t="s">
        <v>977</v>
      </c>
      <c r="C48" s="869">
        <v>1622.65</v>
      </c>
      <c r="D48" s="870"/>
      <c r="E48" s="870"/>
      <c r="F48" s="870"/>
    </row>
    <row r="49" spans="1:6" s="865" customFormat="1">
      <c r="A49" s="848" t="s">
        <v>978</v>
      </c>
      <c r="C49" s="869">
        <v>355.85</v>
      </c>
      <c r="D49" s="870"/>
      <c r="E49" s="870"/>
      <c r="F49" s="870"/>
    </row>
    <row r="50" spans="1:6" s="865" customFormat="1">
      <c r="A50" s="848" t="s">
        <v>979</v>
      </c>
      <c r="C50" s="869">
        <v>19.259999999999998</v>
      </c>
      <c r="D50" s="870"/>
      <c r="E50" s="870"/>
      <c r="F50" s="870"/>
    </row>
    <row r="51" spans="1:6" s="865" customFormat="1">
      <c r="A51" s="848" t="s">
        <v>980</v>
      </c>
      <c r="C51" s="869">
        <v>373.79999999999995</v>
      </c>
      <c r="D51" s="870"/>
      <c r="E51" s="870"/>
      <c r="F51" s="870"/>
    </row>
    <row r="52" spans="1:6" s="865" customFormat="1">
      <c r="A52" s="867" t="s">
        <v>953</v>
      </c>
      <c r="C52" s="868">
        <v>500.14000000000004</v>
      </c>
      <c r="D52" s="870"/>
      <c r="E52" s="870"/>
      <c r="F52" s="869"/>
    </row>
    <row r="53" spans="1:6" s="865" customFormat="1">
      <c r="A53" s="867" t="s">
        <v>1031</v>
      </c>
      <c r="C53" s="868">
        <v>1041.02</v>
      </c>
      <c r="D53" s="870"/>
      <c r="E53" s="870"/>
      <c r="F53" s="869"/>
    </row>
    <row r="54" spans="1:6" s="865" customFormat="1">
      <c r="A54" s="867" t="s">
        <v>954</v>
      </c>
      <c r="C54" s="868">
        <v>55884.55</v>
      </c>
      <c r="D54" s="870">
        <v>12231.63</v>
      </c>
      <c r="E54" s="870">
        <v>23662.2</v>
      </c>
      <c r="F54" s="869">
        <v>1898.03</v>
      </c>
    </row>
    <row r="55" spans="1:6" s="865" customFormat="1">
      <c r="A55" s="848" t="s">
        <v>981</v>
      </c>
      <c r="C55" s="869">
        <v>105.44</v>
      </c>
      <c r="D55" s="870"/>
      <c r="E55" s="870"/>
      <c r="F55" s="870"/>
    </row>
    <row r="56" spans="1:6" s="865" customFormat="1">
      <c r="A56" s="867" t="s">
        <v>955</v>
      </c>
      <c r="C56" s="868">
        <v>1783.6</v>
      </c>
      <c r="D56" s="870"/>
      <c r="E56" s="870">
        <f>1301.24+86.82+578.2</f>
        <v>1966.26</v>
      </c>
      <c r="F56" s="869"/>
    </row>
    <row r="57" spans="1:6" s="865" customFormat="1">
      <c r="A57" s="867" t="s">
        <v>956</v>
      </c>
      <c r="C57" s="868">
        <v>575.9</v>
      </c>
      <c r="D57" s="870"/>
      <c r="E57" s="870">
        <f>299.95+101.4+18.44</f>
        <v>419.79</v>
      </c>
      <c r="F57" s="869"/>
    </row>
    <row r="58" spans="1:6" s="865" customFormat="1">
      <c r="A58" s="848" t="s">
        <v>982</v>
      </c>
      <c r="C58" s="869">
        <v>242.9</v>
      </c>
      <c r="D58" s="870"/>
      <c r="E58" s="870"/>
      <c r="F58" s="870"/>
    </row>
    <row r="59" spans="1:6" s="865" customFormat="1">
      <c r="A59" s="867" t="s">
        <v>1026</v>
      </c>
      <c r="C59" s="868">
        <v>55982.13</v>
      </c>
      <c r="D59" s="870">
        <v>13878.81</v>
      </c>
      <c r="E59" s="870">
        <v>63938.49</v>
      </c>
      <c r="F59" s="869">
        <v>18570.38</v>
      </c>
    </row>
    <row r="60" spans="1:6" s="865" customFormat="1">
      <c r="A60" s="867" t="s">
        <v>1030</v>
      </c>
      <c r="C60" s="868">
        <v>1772.58</v>
      </c>
      <c r="D60" s="870"/>
      <c r="E60" s="870">
        <f>532.45</f>
        <v>532.45000000000005</v>
      </c>
      <c r="F60" s="869"/>
    </row>
    <row r="61" spans="1:6" s="865" customFormat="1">
      <c r="A61" s="848" t="s">
        <v>957</v>
      </c>
      <c r="C61" s="869">
        <v>878.15</v>
      </c>
      <c r="D61" s="870"/>
      <c r="E61" s="870"/>
      <c r="F61" s="870"/>
    </row>
    <row r="62" spans="1:6" s="865" customFormat="1">
      <c r="A62" s="848" t="s">
        <v>983</v>
      </c>
      <c r="C62" s="869">
        <v>36.799999999999997</v>
      </c>
      <c r="D62" s="870"/>
      <c r="E62" s="870"/>
      <c r="F62" s="870"/>
    </row>
    <row r="63" spans="1:6" s="865" customFormat="1">
      <c r="A63" s="848" t="s">
        <v>984</v>
      </c>
      <c r="C63" s="869">
        <v>487.5</v>
      </c>
      <c r="D63" s="870"/>
      <c r="E63" s="870"/>
      <c r="F63" s="870"/>
    </row>
    <row r="64" spans="1:6" s="865" customFormat="1">
      <c r="A64" s="848" t="s">
        <v>985</v>
      </c>
      <c r="C64" s="869">
        <v>844.75</v>
      </c>
      <c r="D64" s="870"/>
      <c r="E64" s="870"/>
      <c r="F64" s="870"/>
    </row>
    <row r="65" spans="1:6" s="865" customFormat="1">
      <c r="A65" s="848" t="s">
        <v>986</v>
      </c>
      <c r="C65" s="869">
        <v>346.12</v>
      </c>
      <c r="D65" s="870"/>
      <c r="E65" s="870"/>
      <c r="F65" s="870"/>
    </row>
    <row r="66" spans="1:6" s="865" customFormat="1">
      <c r="A66" s="866" t="s">
        <v>1032</v>
      </c>
      <c r="C66" s="870"/>
      <c r="D66" s="869">
        <v>3107.35</v>
      </c>
      <c r="E66" s="870"/>
      <c r="F66" s="869"/>
    </row>
    <row r="67" spans="1:6">
      <c r="A67" s="871" t="s">
        <v>958</v>
      </c>
      <c r="C67" s="872">
        <f>SUM(C4:C66)</f>
        <v>415646.39000000013</v>
      </c>
      <c r="D67" s="872">
        <f>SUM(D4:D66)</f>
        <v>95413.200000000012</v>
      </c>
      <c r="E67" s="872">
        <f>SUM(E4:E66)</f>
        <v>128906.14</v>
      </c>
      <c r="F67" s="872">
        <f>SUM(F4:F66)</f>
        <v>88824.98000000001</v>
      </c>
    </row>
    <row r="68" spans="1:6">
      <c r="C68" s="873"/>
    </row>
    <row r="69" spans="1:6">
      <c r="C69" s="870"/>
      <c r="D69" s="870"/>
      <c r="E69" s="870"/>
      <c r="F69" s="870"/>
    </row>
    <row r="70" spans="1:6">
      <c r="E70" s="870"/>
    </row>
    <row r="71" spans="1:6">
      <c r="E71" s="870"/>
    </row>
    <row r="72" spans="1:6">
      <c r="E72" s="870"/>
    </row>
    <row r="74" spans="1:6">
      <c r="E74" s="870"/>
    </row>
  </sheetData>
  <mergeCells count="2">
    <mergeCell ref="C1:D1"/>
    <mergeCell ref="E1:F1"/>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showGridLines="0" zoomScaleNormal="100" zoomScaleSheetLayoutView="100" workbookViewId="0">
      <selection activeCell="D8" sqref="D8"/>
    </sheetView>
  </sheetViews>
  <sheetFormatPr defaultRowHeight="15"/>
  <cols>
    <col min="1" max="1" width="3.42578125" style="117" bestFit="1" customWidth="1"/>
    <col min="2" max="2" width="14.28515625" style="174" customWidth="1"/>
    <col min="3" max="3" width="64.28515625" style="118" customWidth="1"/>
    <col min="4" max="4" width="15.28515625" style="118" customWidth="1"/>
    <col min="5" max="5" width="16.7109375" style="174" customWidth="1"/>
    <col min="6" max="6" width="9.140625" style="174"/>
    <col min="7" max="250" width="9.140625" style="118"/>
    <col min="251" max="251" width="3.42578125" style="118" bestFit="1" customWidth="1"/>
    <col min="252" max="16384" width="9.140625" style="118"/>
  </cols>
  <sheetData>
    <row r="1" spans="1:8" s="21" customFormat="1" ht="12.75">
      <c r="A1" s="117">
        <v>1</v>
      </c>
      <c r="C1" s="57"/>
      <c r="D1" s="285" t="s">
        <v>149</v>
      </c>
      <c r="E1" s="303">
        <f>IF(Cover!D13&gt;0, Cover!D13,"")</f>
        <v>2011</v>
      </c>
    </row>
    <row r="2" spans="1:8" s="21" customFormat="1" ht="12.75">
      <c r="A2" s="117">
        <v>2</v>
      </c>
      <c r="B2" s="57" t="s">
        <v>150</v>
      </c>
      <c r="C2" s="1203" t="str">
        <f>IF(Cover!A1&gt;0, Cover!A1, "")</f>
        <v>Algonquin Water Resources of Missouri, LLC dba Liberty Utilities</v>
      </c>
      <c r="D2" s="1203"/>
      <c r="E2" s="1203"/>
    </row>
    <row r="3" spans="1:8" s="21" customFormat="1" ht="5.0999999999999996" customHeight="1">
      <c r="A3" s="117"/>
      <c r="B3" s="1170"/>
      <c r="C3" s="1170"/>
      <c r="D3" s="1170"/>
      <c r="E3" s="1170"/>
    </row>
    <row r="4" spans="1:8">
      <c r="B4" s="1171" t="s">
        <v>240</v>
      </c>
      <c r="C4" s="1171"/>
      <c r="D4" s="1171"/>
      <c r="E4" s="1171"/>
      <c r="F4" s="70"/>
    </row>
    <row r="5" spans="1:8" ht="75.75" customHeight="1">
      <c r="B5" s="1249" t="s">
        <v>574</v>
      </c>
      <c r="C5" s="1249"/>
      <c r="D5" s="1249"/>
      <c r="E5" s="1249"/>
    </row>
    <row r="6" spans="1:8" ht="8.1" customHeight="1" thickBot="1">
      <c r="B6" s="1273"/>
      <c r="C6" s="1273"/>
      <c r="D6" s="1273"/>
      <c r="E6" s="1273"/>
    </row>
    <row r="7" spans="1:8" ht="30.75" thickBot="1">
      <c r="B7" s="1274" t="s">
        <v>193</v>
      </c>
      <c r="C7" s="1275"/>
      <c r="D7" s="414" t="s">
        <v>241</v>
      </c>
      <c r="E7" s="415" t="s">
        <v>242</v>
      </c>
      <c r="F7" s="118"/>
    </row>
    <row r="8" spans="1:8" ht="21" customHeight="1">
      <c r="A8" s="117">
        <v>3</v>
      </c>
      <c r="B8" s="416" t="s">
        <v>243</v>
      </c>
      <c r="C8" s="417"/>
      <c r="D8" s="1063">
        <f>+'Page 9b'!I5</f>
        <v>910248</v>
      </c>
      <c r="E8" s="1064">
        <f>+'Page 9b'!J5</f>
        <v>299258</v>
      </c>
      <c r="F8" s="118"/>
    </row>
    <row r="9" spans="1:8" ht="21" customHeight="1">
      <c r="A9" s="117">
        <v>4</v>
      </c>
      <c r="B9" s="418" t="s">
        <v>245</v>
      </c>
      <c r="C9" s="419" t="s">
        <v>244</v>
      </c>
      <c r="D9" s="166"/>
      <c r="E9" s="167"/>
      <c r="F9" s="118"/>
    </row>
    <row r="10" spans="1:8" ht="21" customHeight="1">
      <c r="A10" s="117">
        <v>5</v>
      </c>
      <c r="B10" s="151" t="s">
        <v>1059</v>
      </c>
      <c r="C10" s="144"/>
      <c r="D10" s="166">
        <v>2707</v>
      </c>
      <c r="E10" s="167"/>
      <c r="F10" s="118"/>
    </row>
    <row r="11" spans="1:8" ht="21" customHeight="1">
      <c r="A11" s="117">
        <v>6</v>
      </c>
      <c r="B11" s="151" t="s">
        <v>1060</v>
      </c>
      <c r="C11" s="144"/>
      <c r="D11" s="168">
        <v>2427</v>
      </c>
      <c r="E11" s="167"/>
      <c r="F11" s="118"/>
    </row>
    <row r="12" spans="1:8" ht="21" customHeight="1">
      <c r="A12" s="117">
        <v>7</v>
      </c>
      <c r="B12" s="151" t="s">
        <v>1061</v>
      </c>
      <c r="C12" s="144"/>
      <c r="D12" s="168"/>
      <c r="E12" s="169">
        <v>18483</v>
      </c>
      <c r="F12" s="118"/>
    </row>
    <row r="13" spans="1:8" ht="21" customHeight="1">
      <c r="A13" s="117">
        <v>8</v>
      </c>
      <c r="B13" s="151"/>
      <c r="C13" s="144"/>
      <c r="D13" s="168"/>
      <c r="E13" s="169"/>
      <c r="F13" s="423"/>
      <c r="G13" s="423"/>
      <c r="H13" s="423"/>
    </row>
    <row r="14" spans="1:8" ht="21" customHeight="1">
      <c r="A14" s="117">
        <v>10</v>
      </c>
      <c r="B14" s="1271" t="s">
        <v>246</v>
      </c>
      <c r="C14" s="1272"/>
      <c r="D14" s="342">
        <f>SUM(D9:D13)</f>
        <v>5134</v>
      </c>
      <c r="E14" s="342">
        <f>SUM(E9:E13)</f>
        <v>18483</v>
      </c>
      <c r="F14" s="425"/>
      <c r="G14" s="426"/>
      <c r="H14" s="423"/>
    </row>
    <row r="15" spans="1:8" ht="21" customHeight="1">
      <c r="A15" s="117">
        <v>11</v>
      </c>
      <c r="B15" s="418" t="s">
        <v>247</v>
      </c>
      <c r="C15" s="421" t="s">
        <v>248</v>
      </c>
      <c r="D15" s="168"/>
      <c r="E15" s="169"/>
      <c r="F15" s="426"/>
      <c r="G15" s="426"/>
      <c r="H15" s="423"/>
    </row>
    <row r="16" spans="1:8" ht="21" customHeight="1">
      <c r="A16" s="117">
        <v>12</v>
      </c>
      <c r="B16" s="151"/>
      <c r="C16" s="144"/>
      <c r="D16" s="168"/>
      <c r="E16" s="169"/>
      <c r="F16" s="118"/>
    </row>
    <row r="17" spans="1:7" ht="21" customHeight="1">
      <c r="A17" s="117">
        <v>13</v>
      </c>
      <c r="B17" s="151"/>
      <c r="C17" s="144"/>
      <c r="D17" s="168"/>
      <c r="E17" s="169"/>
      <c r="F17" s="118"/>
    </row>
    <row r="18" spans="1:7" ht="21" customHeight="1">
      <c r="A18" s="117">
        <v>14</v>
      </c>
      <c r="B18" s="319" t="s">
        <v>249</v>
      </c>
      <c r="C18" s="309"/>
      <c r="D18" s="168"/>
      <c r="E18" s="169"/>
      <c r="F18" s="118"/>
    </row>
    <row r="19" spans="1:7" ht="21" customHeight="1">
      <c r="A19" s="117">
        <v>15</v>
      </c>
      <c r="B19" s="151"/>
      <c r="C19" s="144"/>
      <c r="D19" s="168"/>
      <c r="E19" s="169"/>
      <c r="F19" s="118"/>
    </row>
    <row r="20" spans="1:7" ht="21" customHeight="1">
      <c r="A20" s="117">
        <v>16</v>
      </c>
      <c r="B20" s="1271" t="s">
        <v>250</v>
      </c>
      <c r="C20" s="1272"/>
      <c r="D20" s="342">
        <f>SUM(D15:E19)</f>
        <v>0</v>
      </c>
      <c r="E20" s="424">
        <f>SUM(E15:F19)</f>
        <v>0</v>
      </c>
      <c r="F20" s="118"/>
    </row>
    <row r="21" spans="1:7" ht="21" customHeight="1">
      <c r="A21" s="117">
        <v>17</v>
      </c>
      <c r="B21" s="420" t="s">
        <v>251</v>
      </c>
      <c r="C21" s="421"/>
      <c r="D21" s="342">
        <f>D8+D14-D20</f>
        <v>915382</v>
      </c>
      <c r="E21" s="424">
        <f>E8+E14-E20</f>
        <v>317741</v>
      </c>
      <c r="F21" s="118"/>
    </row>
    <row r="22" spans="1:7" ht="15.75" thickBot="1">
      <c r="B22" s="427"/>
      <c r="C22" s="428"/>
      <c r="D22" s="429" t="s">
        <v>252</v>
      </c>
      <c r="E22" s="430" t="s">
        <v>252</v>
      </c>
      <c r="F22" s="118"/>
    </row>
    <row r="23" spans="1:7" ht="8.1" customHeight="1">
      <c r="B23" s="1254"/>
      <c r="C23" s="1254"/>
      <c r="D23" s="1254"/>
      <c r="E23" s="1254"/>
      <c r="F23" s="118"/>
    </row>
    <row r="24" spans="1:7">
      <c r="B24" s="1267" t="s">
        <v>253</v>
      </c>
      <c r="C24" s="1267"/>
      <c r="D24" s="1267"/>
      <c r="E24" s="1267"/>
      <c r="F24" s="118"/>
    </row>
    <row r="25" spans="1:7" ht="12.75" customHeight="1">
      <c r="B25" s="1270" t="s">
        <v>254</v>
      </c>
      <c r="C25" s="1187"/>
      <c r="D25" s="1187"/>
      <c r="E25" s="1187"/>
      <c r="F25" s="118"/>
    </row>
    <row r="26" spans="1:7" ht="15.75" thickBot="1">
      <c r="B26" s="1267" t="s">
        <v>255</v>
      </c>
      <c r="C26" s="1267"/>
      <c r="D26" s="1267"/>
      <c r="E26" s="1267"/>
      <c r="F26" s="118"/>
    </row>
    <row r="27" spans="1:7" ht="30.75" customHeight="1" thickBot="1">
      <c r="B27" s="1268" t="s">
        <v>193</v>
      </c>
      <c r="C27" s="1269"/>
      <c r="D27" s="414" t="s">
        <v>241</v>
      </c>
      <c r="E27" s="415" t="s">
        <v>242</v>
      </c>
      <c r="F27" s="118"/>
    </row>
    <row r="28" spans="1:7" ht="21" customHeight="1">
      <c r="A28" s="117">
        <v>18</v>
      </c>
      <c r="B28" s="1262" t="s">
        <v>256</v>
      </c>
      <c r="C28" s="1263"/>
      <c r="D28" s="1061">
        <f>'Page 9b'!K4</f>
        <v>14253.607478918901</v>
      </c>
      <c r="E28" s="1062">
        <f>'Page 9b'!L4</f>
        <v>1646.7225775274333</v>
      </c>
      <c r="F28" s="118"/>
    </row>
    <row r="29" spans="1:7" ht="21" customHeight="1">
      <c r="A29" s="117">
        <v>19</v>
      </c>
      <c r="B29" s="1262" t="s">
        <v>257</v>
      </c>
      <c r="C29" s="1263"/>
      <c r="D29" s="336">
        <f>D21</f>
        <v>915382</v>
      </c>
      <c r="E29" s="431">
        <f>E21</f>
        <v>317741</v>
      </c>
      <c r="F29" s="118"/>
    </row>
    <row r="30" spans="1:7" ht="21" customHeight="1">
      <c r="A30" s="117">
        <v>20</v>
      </c>
      <c r="B30" s="1262" t="s">
        <v>258</v>
      </c>
      <c r="C30" s="1263"/>
      <c r="D30" s="432">
        <f>'Page W-5'!I59</f>
        <v>7167598.5200000005</v>
      </c>
      <c r="E30" s="433">
        <f>'Page S-4'!I48</f>
        <v>2337179.7599999998</v>
      </c>
      <c r="F30" s="118"/>
    </row>
    <row r="31" spans="1:7" ht="21" customHeight="1">
      <c r="A31" s="117">
        <v>21</v>
      </c>
      <c r="B31" s="420" t="s">
        <v>259</v>
      </c>
      <c r="C31" s="174"/>
      <c r="D31" s="434">
        <f>IF(D30=0, "0.00%", D29/D30)</f>
        <v>0.12771111515883285</v>
      </c>
      <c r="E31" s="435">
        <f>IF(E30=0, "0.00%",E29/E30)</f>
        <v>0.13595060398777373</v>
      </c>
      <c r="F31" s="436"/>
      <c r="G31" s="436"/>
    </row>
    <row r="32" spans="1:7" ht="21" customHeight="1">
      <c r="A32" s="117">
        <v>22</v>
      </c>
      <c r="B32" s="420" t="s">
        <v>260</v>
      </c>
      <c r="C32" s="174"/>
      <c r="D32" s="432">
        <f>'Page W-6'!E59</f>
        <v>203006.66174333339</v>
      </c>
      <c r="E32" s="433">
        <f>'Page S-5'!E49</f>
        <v>39037.022366666679</v>
      </c>
      <c r="F32" s="118"/>
    </row>
    <row r="33" spans="1:6" ht="21" customHeight="1">
      <c r="A33" s="117">
        <v>23</v>
      </c>
      <c r="B33" s="420" t="s">
        <v>261</v>
      </c>
      <c r="C33" s="174"/>
      <c r="D33" s="437">
        <f>D31*D32</f>
        <v>25926.207155913078</v>
      </c>
      <c r="E33" s="438">
        <f>E31*E32</f>
        <v>5307.1067686325669</v>
      </c>
      <c r="F33" s="118"/>
    </row>
    <row r="34" spans="1:6" ht="21" customHeight="1" thickBot="1">
      <c r="A34" s="117">
        <v>24</v>
      </c>
      <c r="B34" s="420" t="s">
        <v>251</v>
      </c>
      <c r="C34" s="174"/>
      <c r="D34" s="439">
        <f>D28+D33</f>
        <v>40179.814634831979</v>
      </c>
      <c r="E34" s="440">
        <f>E28+E33</f>
        <v>6953.8293461600006</v>
      </c>
      <c r="F34" s="118"/>
    </row>
    <row r="35" spans="1:6" ht="14.25" customHeight="1" thickTop="1" thickBot="1">
      <c r="B35" s="1264"/>
      <c r="C35" s="1265"/>
      <c r="D35" s="402" t="s">
        <v>252</v>
      </c>
      <c r="E35" s="441" t="s">
        <v>252</v>
      </c>
      <c r="F35" s="118"/>
    </row>
    <row r="36" spans="1:6" ht="24" customHeight="1">
      <c r="B36" s="1266" t="s">
        <v>262</v>
      </c>
      <c r="C36" s="1266"/>
      <c r="D36" s="1266"/>
      <c r="E36" s="1266"/>
      <c r="F36" s="118"/>
    </row>
    <row r="37" spans="1:6" ht="15.75" thickBot="1">
      <c r="B37" s="1267" t="s">
        <v>263</v>
      </c>
      <c r="C37" s="1267"/>
      <c r="D37" s="1267"/>
      <c r="E37" s="1267"/>
      <c r="F37" s="118"/>
    </row>
    <row r="38" spans="1:6" ht="30.75" customHeight="1" thickBot="1">
      <c r="B38" s="1268" t="s">
        <v>193</v>
      </c>
      <c r="C38" s="1269"/>
      <c r="D38" s="414" t="s">
        <v>241</v>
      </c>
      <c r="E38" s="415" t="s">
        <v>242</v>
      </c>
      <c r="F38" s="118"/>
    </row>
    <row r="39" spans="1:6" ht="21" customHeight="1">
      <c r="A39" s="117">
        <v>25</v>
      </c>
      <c r="B39" s="1262" t="s">
        <v>256</v>
      </c>
      <c r="C39" s="1263"/>
      <c r="D39" s="141"/>
      <c r="E39" s="171"/>
      <c r="F39" s="118"/>
    </row>
    <row r="40" spans="1:6" ht="21" customHeight="1">
      <c r="A40" s="117">
        <v>26</v>
      </c>
      <c r="B40" s="1262" t="s">
        <v>261</v>
      </c>
      <c r="C40" s="1263"/>
      <c r="D40" s="140">
        <v>0</v>
      </c>
      <c r="E40" s="170">
        <v>0</v>
      </c>
      <c r="F40" s="442"/>
    </row>
    <row r="41" spans="1:6" ht="21" customHeight="1" thickBot="1">
      <c r="A41" s="117">
        <v>27</v>
      </c>
      <c r="B41" s="1262" t="s">
        <v>251</v>
      </c>
      <c r="C41" s="1263"/>
      <c r="D41" s="443">
        <f>SUM(D39:E40)</f>
        <v>0</v>
      </c>
      <c r="E41" s="444">
        <f>SUM(E39:F40)</f>
        <v>0</v>
      </c>
      <c r="F41" s="445"/>
    </row>
    <row r="42" spans="1:6" ht="16.5" thickTop="1" thickBot="1">
      <c r="B42" s="1264"/>
      <c r="C42" s="1265"/>
      <c r="D42" s="402" t="s">
        <v>252</v>
      </c>
      <c r="E42" s="441" t="s">
        <v>252</v>
      </c>
      <c r="F42" s="442"/>
    </row>
    <row r="43" spans="1:6" s="93" customFormat="1" ht="5.0999999999999996" customHeight="1">
      <c r="A43" s="92"/>
      <c r="B43" s="120"/>
      <c r="C43" s="120"/>
      <c r="D43" s="448"/>
      <c r="E43" s="448"/>
    </row>
    <row r="44" spans="1:6" s="93" customFormat="1" ht="18">
      <c r="A44" s="274"/>
      <c r="B44" s="275" t="s">
        <v>712</v>
      </c>
      <c r="C44" s="226"/>
      <c r="D44" s="1104"/>
      <c r="E44" s="1105"/>
      <c r="F44" s="237"/>
    </row>
    <row r="45" spans="1:6" s="93" customFormat="1" ht="12" customHeight="1">
      <c r="A45" s="276"/>
      <c r="B45" s="277" t="s">
        <v>713</v>
      </c>
      <c r="C45" s="277"/>
      <c r="D45" s="1231" t="s">
        <v>13</v>
      </c>
      <c r="E45" s="1231"/>
      <c r="F45" s="237"/>
    </row>
    <row r="46" spans="1:6" s="93" customFormat="1">
      <c r="A46" s="92"/>
      <c r="B46" s="237"/>
      <c r="F46" s="237"/>
    </row>
    <row r="47" spans="1:6" s="93" customFormat="1">
      <c r="A47" s="92"/>
      <c r="B47" s="237"/>
      <c r="D47" s="17"/>
      <c r="E47" s="83"/>
      <c r="F47" s="237"/>
    </row>
    <row r="48" spans="1:6" s="93" customFormat="1">
      <c r="A48" s="92"/>
      <c r="B48" s="237"/>
      <c r="D48" s="17"/>
      <c r="E48" s="83"/>
      <c r="F48" s="237"/>
    </row>
    <row r="49" spans="1:6" s="93" customFormat="1">
      <c r="A49" s="92"/>
      <c r="B49" s="237"/>
      <c r="D49" s="17"/>
      <c r="E49" s="83"/>
      <c r="F49" s="237"/>
    </row>
    <row r="50" spans="1:6">
      <c r="D50" s="21"/>
      <c r="E50" s="57"/>
    </row>
    <row r="51" spans="1:6">
      <c r="D51" s="21"/>
      <c r="E51" s="57"/>
    </row>
    <row r="52" spans="1:6">
      <c r="D52" s="21"/>
      <c r="E52" s="57"/>
    </row>
    <row r="53" spans="1:6">
      <c r="D53" s="21"/>
      <c r="E53" s="57"/>
    </row>
    <row r="54" spans="1:6">
      <c r="D54" s="21"/>
      <c r="E54" s="57"/>
    </row>
    <row r="55" spans="1:6">
      <c r="D55" s="21"/>
      <c r="E55" s="57"/>
    </row>
    <row r="56" spans="1:6">
      <c r="D56" s="21"/>
      <c r="E56" s="57"/>
    </row>
    <row r="57" spans="1:6">
      <c r="D57" s="21"/>
      <c r="E57" s="57"/>
    </row>
    <row r="58" spans="1:6">
      <c r="D58" s="21"/>
      <c r="E58" s="57"/>
    </row>
    <row r="59" spans="1:6">
      <c r="D59" s="21"/>
      <c r="E59" s="57"/>
    </row>
    <row r="60" spans="1:6">
      <c r="D60" s="21" t="s">
        <v>14</v>
      </c>
      <c r="E60" s="57"/>
    </row>
    <row r="61" spans="1:6">
      <c r="D61" s="21" t="s">
        <v>15</v>
      </c>
      <c r="E61" s="57"/>
    </row>
    <row r="62" spans="1:6">
      <c r="D62" s="21"/>
      <c r="E62" s="57"/>
    </row>
    <row r="63" spans="1:6">
      <c r="D63" s="21"/>
      <c r="E63" s="57"/>
    </row>
    <row r="64" spans="1:6">
      <c r="E64" s="118"/>
    </row>
    <row r="65" spans="5:5">
      <c r="E65" s="118"/>
    </row>
    <row r="66" spans="5:5">
      <c r="E66" s="118"/>
    </row>
    <row r="67" spans="5:5">
      <c r="E67" s="118"/>
    </row>
    <row r="68" spans="5:5">
      <c r="E68" s="118"/>
    </row>
    <row r="69" spans="5:5">
      <c r="E69" s="118"/>
    </row>
  </sheetData>
  <sheetProtection password="C0F1" sheet="1" formatCells="0" formatColumns="0" formatRows="0" insertColumns="0" insertRows="0"/>
  <customSheetViews>
    <customSheetView guid="{1F4AFEE5-5BDD-4100-B0E9-57B262CA123C}" scale="115" showPageBreaks="1" showGridLines="0" fitToPage="1" printArea="1" view="pageBreakPreview" topLeftCell="A31">
      <selection activeCell="C31" sqref="C31"/>
      <pageMargins left="0.48" right="0.45" top="0.5" bottom="0.25" header="0.3" footer="0.3"/>
      <printOptions horizontalCentered="1"/>
      <pageSetup scale="85" orientation="portrait" r:id="rId1"/>
      <headerFooter>
        <oddFooter>&amp;C&amp;A</oddFooter>
      </headerFooter>
    </customSheetView>
  </customSheetViews>
  <mergeCells count="26">
    <mergeCell ref="B3:E3"/>
    <mergeCell ref="B4:E4"/>
    <mergeCell ref="B5:E5"/>
    <mergeCell ref="C2:E2"/>
    <mergeCell ref="B25:E25"/>
    <mergeCell ref="B20:C20"/>
    <mergeCell ref="B23:E23"/>
    <mergeCell ref="B24:E24"/>
    <mergeCell ref="B14:C14"/>
    <mergeCell ref="B6:E6"/>
    <mergeCell ref="B7:C7"/>
    <mergeCell ref="B29:C29"/>
    <mergeCell ref="B30:C30"/>
    <mergeCell ref="B26:E26"/>
    <mergeCell ref="B27:C27"/>
    <mergeCell ref="B28:C28"/>
    <mergeCell ref="D45:E45"/>
    <mergeCell ref="B40:C40"/>
    <mergeCell ref="B41:C41"/>
    <mergeCell ref="B35:C35"/>
    <mergeCell ref="B36:E36"/>
    <mergeCell ref="B37:E37"/>
    <mergeCell ref="B38:C38"/>
    <mergeCell ref="B39:C39"/>
    <mergeCell ref="B42:C42"/>
    <mergeCell ref="D44:E44"/>
  </mergeCells>
  <dataValidations count="1">
    <dataValidation type="list" allowBlank="1" showInputMessage="1" prompt="This field is to be used when filing under seal." sqref="D44:E44">
      <formula1>$D$59:$D$61</formula1>
    </dataValidation>
  </dataValidations>
  <printOptions horizontalCentered="1"/>
  <pageMargins left="0.48" right="0.45" top="0.5" bottom="0.25" header="0.3" footer="0.3"/>
  <pageSetup scale="84" orientation="portrait" r:id="rId2"/>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heetViews>
  <sheetFormatPr defaultRowHeight="15"/>
  <cols>
    <col min="2" max="2" width="65.42578125" customWidth="1"/>
    <col min="3" max="10" width="14.28515625" bestFit="1" customWidth="1"/>
    <col min="11" max="12" width="12.5703125" bestFit="1" customWidth="1"/>
  </cols>
  <sheetData>
    <row r="1" spans="1:12" ht="15.75" thickBot="1">
      <c r="A1" s="1042"/>
      <c r="B1" s="1042" t="s">
        <v>1163</v>
      </c>
      <c r="C1" s="1042"/>
      <c r="D1" s="1042"/>
      <c r="E1" s="1042"/>
      <c r="F1" s="1042"/>
      <c r="G1" s="1042"/>
      <c r="H1" s="1042"/>
      <c r="I1" s="1042"/>
      <c r="J1" s="1042"/>
      <c r="K1" s="1042"/>
      <c r="L1" s="1042"/>
    </row>
    <row r="2" spans="1:12">
      <c r="A2" s="1042"/>
      <c r="B2" s="1042"/>
      <c r="C2" s="1276">
        <v>2007</v>
      </c>
      <c r="D2" s="1277"/>
      <c r="E2" s="1276">
        <v>2008</v>
      </c>
      <c r="F2" s="1277"/>
      <c r="G2" s="1276">
        <v>2009</v>
      </c>
      <c r="H2" s="1277"/>
      <c r="I2" s="1276">
        <v>2010</v>
      </c>
      <c r="J2" s="1277"/>
      <c r="K2" s="1276">
        <v>2011</v>
      </c>
      <c r="L2" s="1277"/>
    </row>
    <row r="3" spans="1:12" ht="15.75" thickBot="1">
      <c r="A3" s="1042"/>
      <c r="B3" s="1042"/>
      <c r="C3" s="1047" t="s">
        <v>224</v>
      </c>
      <c r="D3" s="1048" t="s">
        <v>225</v>
      </c>
      <c r="E3" s="1047" t="s">
        <v>224</v>
      </c>
      <c r="F3" s="1048" t="s">
        <v>225</v>
      </c>
      <c r="G3" s="1047" t="s">
        <v>224</v>
      </c>
      <c r="H3" s="1048" t="s">
        <v>225</v>
      </c>
      <c r="I3" s="1047" t="s">
        <v>224</v>
      </c>
      <c r="J3" s="1048" t="s">
        <v>225</v>
      </c>
      <c r="K3" s="1047" t="s">
        <v>224</v>
      </c>
      <c r="L3" s="1048" t="s">
        <v>225</v>
      </c>
    </row>
    <row r="4" spans="1:12">
      <c r="A4" s="1043">
        <v>18</v>
      </c>
      <c r="B4" s="1044" t="s">
        <v>1164</v>
      </c>
      <c r="C4" s="1049">
        <v>0</v>
      </c>
      <c r="D4" s="1050">
        <v>0</v>
      </c>
      <c r="E4" s="1049">
        <v>3129.0885621375928</v>
      </c>
      <c r="F4" s="1050">
        <v>581.75790546855796</v>
      </c>
      <c r="G4" s="1049">
        <v>6342.9156416387405</v>
      </c>
      <c r="H4" s="1050">
        <v>254.78120216144049</v>
      </c>
      <c r="I4" s="1049">
        <v>10230.492417891041</v>
      </c>
      <c r="J4" s="1050">
        <v>941.49272845718951</v>
      </c>
      <c r="K4" s="1059">
        <v>14253.607478918901</v>
      </c>
      <c r="L4" s="1060">
        <v>1646.7225775274333</v>
      </c>
    </row>
    <row r="5" spans="1:12">
      <c r="A5" s="1043">
        <v>19</v>
      </c>
      <c r="B5" s="1045" t="s">
        <v>257</v>
      </c>
      <c r="C5" s="1051">
        <v>910248</v>
      </c>
      <c r="D5" s="1052">
        <v>299258</v>
      </c>
      <c r="E5" s="1051">
        <v>910248</v>
      </c>
      <c r="F5" s="1052">
        <v>299258</v>
      </c>
      <c r="G5" s="1051">
        <v>910248</v>
      </c>
      <c r="H5" s="1052">
        <v>299258</v>
      </c>
      <c r="I5" s="1051">
        <v>910248</v>
      </c>
      <c r="J5" s="1052">
        <v>299258</v>
      </c>
      <c r="K5" s="1051">
        <v>915382</v>
      </c>
      <c r="L5" s="1052">
        <v>317741</v>
      </c>
    </row>
    <row r="6" spans="1:12">
      <c r="A6" s="1043">
        <v>20</v>
      </c>
      <c r="B6" s="1045" t="s">
        <v>258</v>
      </c>
      <c r="C6" s="1051">
        <v>3048828.51</v>
      </c>
      <c r="D6" s="1052">
        <v>1383533.11</v>
      </c>
      <c r="E6" s="1051">
        <v>4988775.8</v>
      </c>
      <c r="F6" s="1052">
        <v>2009939.79</v>
      </c>
      <c r="G6" s="1051">
        <v>4971483.22</v>
      </c>
      <c r="H6" s="1052">
        <v>2020229.96</v>
      </c>
      <c r="I6" s="1051">
        <v>5057157.5</v>
      </c>
      <c r="J6" s="1052">
        <v>2030675.78</v>
      </c>
      <c r="K6" s="1051"/>
      <c r="L6" s="1052"/>
    </row>
    <row r="7" spans="1:12">
      <c r="A7" s="1043">
        <v>21</v>
      </c>
      <c r="B7" s="1045" t="s">
        <v>259</v>
      </c>
      <c r="C7" s="1053">
        <v>0.29855664135074622</v>
      </c>
      <c r="D7" s="1057">
        <v>0.21629984699101273</v>
      </c>
      <c r="E7" s="1053">
        <v>0.1824591916918776</v>
      </c>
      <c r="F7" s="1057">
        <v>0.14888903711886811</v>
      </c>
      <c r="G7" s="1053">
        <v>0.18309384940456463</v>
      </c>
      <c r="H7" s="1057">
        <v>0.14813066132332778</v>
      </c>
      <c r="I7" s="1053">
        <v>0.17999202120954311</v>
      </c>
      <c r="J7" s="1057">
        <v>0.1473686754662529</v>
      </c>
      <c r="K7" s="1053" t="s">
        <v>1165</v>
      </c>
      <c r="L7" s="1057" t="s">
        <v>1165</v>
      </c>
    </row>
    <row r="8" spans="1:12">
      <c r="A8" s="1043">
        <v>22</v>
      </c>
      <c r="B8" s="1045" t="s">
        <v>260</v>
      </c>
      <c r="C8" s="1051">
        <v>10480.719999999999</v>
      </c>
      <c r="D8" s="1052">
        <v>2689.59</v>
      </c>
      <c r="E8" s="1051">
        <v>17613.95</v>
      </c>
      <c r="F8" s="1052">
        <v>-2196.11</v>
      </c>
      <c r="G8" s="1051">
        <v>21232.7</v>
      </c>
      <c r="H8" s="1052">
        <v>4635.8500000000004</v>
      </c>
      <c r="I8" s="1051">
        <v>22351.63</v>
      </c>
      <c r="J8" s="1052">
        <v>4785.4799999999996</v>
      </c>
      <c r="K8" s="1051"/>
      <c r="L8" s="1052"/>
    </row>
    <row r="9" spans="1:12">
      <c r="A9" s="1043">
        <v>23</v>
      </c>
      <c r="B9" s="1045" t="s">
        <v>261</v>
      </c>
      <c r="C9" s="1051">
        <v>3129.0885621375928</v>
      </c>
      <c r="D9" s="1052">
        <v>581.75790546855796</v>
      </c>
      <c r="E9" s="1051">
        <v>3213.8270795011476</v>
      </c>
      <c r="F9" s="1052">
        <v>-326.97670330711748</v>
      </c>
      <c r="G9" s="1051">
        <v>3887.5767762522996</v>
      </c>
      <c r="H9" s="1052">
        <v>686.71152629574908</v>
      </c>
      <c r="I9" s="1051">
        <v>4023.1150610278601</v>
      </c>
      <c r="J9" s="1052">
        <v>705.22984907024386</v>
      </c>
      <c r="K9" s="1051">
        <v>0</v>
      </c>
      <c r="L9" s="1052">
        <v>0</v>
      </c>
    </row>
    <row r="10" spans="1:12" ht="15.75" thickBot="1">
      <c r="A10" s="1043">
        <v>24</v>
      </c>
      <c r="B10" s="1046" t="s">
        <v>251</v>
      </c>
      <c r="C10" s="1054">
        <v>3129.0885621375928</v>
      </c>
      <c r="D10" s="1055">
        <v>581.75790546855796</v>
      </c>
      <c r="E10" s="1054">
        <v>6342.9156416387405</v>
      </c>
      <c r="F10" s="1055">
        <v>254.78120216144049</v>
      </c>
      <c r="G10" s="1054">
        <v>10230.492417891041</v>
      </c>
      <c r="H10" s="1055">
        <v>941.49272845718951</v>
      </c>
      <c r="I10" s="1054">
        <v>14253.607478918901</v>
      </c>
      <c r="J10" s="1055">
        <v>1646.7225775274333</v>
      </c>
      <c r="K10" s="1054">
        <v>14253.607478918901</v>
      </c>
      <c r="L10" s="1055">
        <v>1646.7225775274333</v>
      </c>
    </row>
    <row r="11" spans="1:12" ht="62.25" customHeight="1" thickBot="1">
      <c r="A11" s="1042"/>
      <c r="B11" s="1058" t="s">
        <v>1166</v>
      </c>
      <c r="C11" s="1278" t="s">
        <v>1167</v>
      </c>
      <c r="D11" s="1279"/>
      <c r="E11" s="1281" t="s">
        <v>1168</v>
      </c>
      <c r="F11" s="1282"/>
      <c r="G11" s="1283" t="s">
        <v>1169</v>
      </c>
      <c r="H11" s="1284"/>
      <c r="I11" s="1283" t="s">
        <v>1170</v>
      </c>
      <c r="J11" s="1284"/>
      <c r="K11" s="1285" t="s">
        <v>1171</v>
      </c>
      <c r="L11" s="1286"/>
    </row>
    <row r="12" spans="1:12">
      <c r="A12" s="1042"/>
      <c r="B12" s="1042"/>
      <c r="C12" s="1280"/>
      <c r="D12" s="1280"/>
      <c r="E12" s="1056"/>
      <c r="F12" s="1056"/>
      <c r="G12" s="1042"/>
      <c r="H12" s="1042"/>
      <c r="I12" s="1042"/>
      <c r="J12" s="1042"/>
      <c r="K12" s="1042"/>
      <c r="L12" s="1042"/>
    </row>
    <row r="14" spans="1:12">
      <c r="D14" s="944"/>
    </row>
    <row r="15" spans="1:12">
      <c r="D15" s="944"/>
    </row>
  </sheetData>
  <mergeCells count="11">
    <mergeCell ref="I2:J2"/>
    <mergeCell ref="K2:L2"/>
    <mergeCell ref="C11:D11"/>
    <mergeCell ref="C12:D12"/>
    <mergeCell ref="E11:F11"/>
    <mergeCell ref="G11:H11"/>
    <mergeCell ref="I11:J11"/>
    <mergeCell ref="C2:D2"/>
    <mergeCell ref="E2:F2"/>
    <mergeCell ref="G2:H2"/>
    <mergeCell ref="K11:L1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5"/>
  <sheetViews>
    <sheetView showGridLines="0" zoomScaleNormal="100" zoomScaleSheetLayoutView="100" workbookViewId="0"/>
  </sheetViews>
  <sheetFormatPr defaultColWidth="2.140625" defaultRowHeight="12.75"/>
  <cols>
    <col min="1" max="1" width="3.140625" style="117" bestFit="1" customWidth="1"/>
    <col min="2" max="2" width="38.42578125" style="57" customWidth="1"/>
    <col min="3" max="3" width="12.140625" style="467" bestFit="1" customWidth="1"/>
    <col min="4" max="4" width="14.42578125" style="21" bestFit="1" customWidth="1"/>
    <col min="5" max="5" width="8.140625" style="468" bestFit="1" customWidth="1"/>
    <col min="6" max="6" width="17.42578125" style="57" customWidth="1"/>
    <col min="7" max="7" width="7.140625" style="57" bestFit="1" customWidth="1"/>
    <col min="8" max="8" width="9" style="57" customWidth="1"/>
    <col min="9" max="9" width="18.28515625" style="57" customWidth="1"/>
    <col min="10" max="10" width="10.28515625" style="21" customWidth="1"/>
    <col min="11" max="11" width="8.5703125" style="21" customWidth="1"/>
    <col min="12" max="12" width="0.85546875" style="57" customWidth="1"/>
    <col min="13" max="13" width="3.28515625" style="327" customWidth="1"/>
    <col min="14" max="14" width="3.140625" style="327" customWidth="1"/>
    <col min="15" max="250" width="9.140625" style="21" customWidth="1"/>
    <col min="251" max="16384" width="2.140625" style="21"/>
  </cols>
  <sheetData>
    <row r="1" spans="1:14">
      <c r="B1" s="1171" t="s">
        <v>264</v>
      </c>
      <c r="C1" s="1171"/>
      <c r="D1" s="1171"/>
      <c r="E1" s="1171"/>
      <c r="F1" s="1171"/>
      <c r="G1" s="1171"/>
      <c r="H1" s="1171"/>
      <c r="I1" s="1171"/>
      <c r="J1" s="1171"/>
      <c r="K1" s="1171"/>
      <c r="L1" s="304"/>
      <c r="M1" s="406">
        <v>2</v>
      </c>
      <c r="N1" s="406">
        <v>1</v>
      </c>
    </row>
    <row r="2" spans="1:14" ht="5.25" customHeight="1">
      <c r="B2" s="1170"/>
      <c r="C2" s="1170"/>
      <c r="D2" s="1170"/>
      <c r="E2" s="1170"/>
      <c r="F2" s="1170"/>
      <c r="G2" s="1170"/>
      <c r="H2" s="1170"/>
      <c r="I2" s="1170"/>
      <c r="J2" s="1170"/>
      <c r="K2" s="1170"/>
      <c r="M2" s="1302" t="s">
        <v>231</v>
      </c>
    </row>
    <row r="3" spans="1:14" ht="27" customHeight="1" thickBot="1">
      <c r="B3" s="1297" t="s">
        <v>265</v>
      </c>
      <c r="C3" s="1297"/>
      <c r="D3" s="1297"/>
      <c r="E3" s="1297"/>
      <c r="F3" s="1297"/>
      <c r="G3" s="1297"/>
      <c r="H3" s="1297"/>
      <c r="I3" s="1297"/>
      <c r="J3" s="1297"/>
      <c r="K3" s="1297"/>
      <c r="M3" s="1302"/>
      <c r="N3" s="450"/>
    </row>
    <row r="4" spans="1:14" ht="33" customHeight="1">
      <c r="A4" s="393"/>
      <c r="B4" s="1226" t="s">
        <v>581</v>
      </c>
      <c r="C4" s="1288" t="s">
        <v>266</v>
      </c>
      <c r="D4" s="1291" t="s">
        <v>582</v>
      </c>
      <c r="E4" s="1288" t="s">
        <v>575</v>
      </c>
      <c r="F4" s="1228" t="s">
        <v>576</v>
      </c>
      <c r="G4" s="1228" t="s">
        <v>577</v>
      </c>
      <c r="H4" s="1228" t="s">
        <v>267</v>
      </c>
      <c r="I4" s="1228" t="s">
        <v>578</v>
      </c>
      <c r="J4" s="1298" t="s">
        <v>268</v>
      </c>
      <c r="K4" s="1299"/>
      <c r="M4" s="1302"/>
      <c r="N4" s="450"/>
    </row>
    <row r="5" spans="1:14" ht="77.25" customHeight="1" thickBot="1">
      <c r="A5" s="393"/>
      <c r="B5" s="1227"/>
      <c r="C5" s="1289"/>
      <c r="D5" s="1292"/>
      <c r="E5" s="1289"/>
      <c r="F5" s="1290"/>
      <c r="G5" s="1290"/>
      <c r="H5" s="1290"/>
      <c r="I5" s="1290"/>
      <c r="J5" s="701" t="s">
        <v>579</v>
      </c>
      <c r="K5" s="698" t="s">
        <v>580</v>
      </c>
      <c r="M5" s="1301" t="str">
        <f>IF(Cover!A1&gt;0, Cover!A1, "")</f>
        <v>Algonquin Water Resources of Missouri, LLC dba Liberty Utilities</v>
      </c>
      <c r="N5" s="450"/>
    </row>
    <row r="6" spans="1:14" ht="24.95" customHeight="1">
      <c r="A6" s="398">
        <v>3</v>
      </c>
      <c r="B6" s="173" t="s">
        <v>936</v>
      </c>
      <c r="C6" s="108" t="s">
        <v>938</v>
      </c>
      <c r="D6" s="109" t="s">
        <v>1039</v>
      </c>
      <c r="E6" s="150" t="s">
        <v>448</v>
      </c>
      <c r="F6" s="147">
        <v>-14147.88</v>
      </c>
      <c r="G6" s="110" t="s">
        <v>448</v>
      </c>
      <c r="H6" s="110" t="s">
        <v>448</v>
      </c>
      <c r="I6" s="147"/>
      <c r="J6" s="147">
        <v>0</v>
      </c>
      <c r="K6" s="229">
        <v>0</v>
      </c>
      <c r="L6" s="451"/>
      <c r="M6" s="1301"/>
      <c r="N6" s="450"/>
    </row>
    <row r="7" spans="1:14" ht="24.95" customHeight="1">
      <c r="A7" s="398">
        <v>4</v>
      </c>
      <c r="B7" s="173" t="s">
        <v>937</v>
      </c>
      <c r="C7" s="108" t="s">
        <v>938</v>
      </c>
      <c r="D7" s="109" t="s">
        <v>1039</v>
      </c>
      <c r="E7" s="150" t="s">
        <v>448</v>
      </c>
      <c r="F7" s="147">
        <v>324834.37</v>
      </c>
      <c r="G7" s="110" t="s">
        <v>448</v>
      </c>
      <c r="H7" s="110" t="s">
        <v>448</v>
      </c>
      <c r="I7" s="147"/>
      <c r="J7" s="147">
        <v>0</v>
      </c>
      <c r="K7" s="229">
        <v>0</v>
      </c>
      <c r="L7" s="451"/>
      <c r="M7" s="1301"/>
      <c r="N7" s="450"/>
    </row>
    <row r="8" spans="1:14" ht="24.95" customHeight="1">
      <c r="A8" s="398">
        <v>5</v>
      </c>
      <c r="B8" s="173"/>
      <c r="C8" s="108"/>
      <c r="D8" s="109"/>
      <c r="E8" s="150"/>
      <c r="F8" s="147"/>
      <c r="G8" s="110"/>
      <c r="H8" s="110"/>
      <c r="I8" s="147"/>
      <c r="J8" s="147"/>
      <c r="K8" s="229"/>
      <c r="L8" s="451"/>
      <c r="M8" s="1301"/>
      <c r="N8" s="450"/>
    </row>
    <row r="9" spans="1:14" ht="24.95" customHeight="1">
      <c r="A9" s="398">
        <v>6</v>
      </c>
      <c r="B9" s="173"/>
      <c r="C9" s="108"/>
      <c r="D9" s="109"/>
      <c r="E9" s="150"/>
      <c r="F9" s="147"/>
      <c r="G9" s="110"/>
      <c r="H9" s="110"/>
      <c r="I9" s="147"/>
      <c r="J9" s="147"/>
      <c r="K9" s="229"/>
      <c r="L9" s="451"/>
      <c r="M9" s="1301"/>
      <c r="N9" s="450"/>
    </row>
    <row r="10" spans="1:14" ht="24.95" customHeight="1">
      <c r="A10" s="398">
        <v>7</v>
      </c>
      <c r="B10" s="173"/>
      <c r="C10" s="108"/>
      <c r="D10" s="109"/>
      <c r="E10" s="150"/>
      <c r="F10" s="147"/>
      <c r="G10" s="110"/>
      <c r="H10" s="110"/>
      <c r="I10" s="147"/>
      <c r="J10" s="147"/>
      <c r="K10" s="229"/>
      <c r="L10" s="451"/>
      <c r="M10" s="1301"/>
      <c r="N10" s="450"/>
    </row>
    <row r="11" spans="1:14" ht="24.95" customHeight="1">
      <c r="A11" s="398">
        <v>8</v>
      </c>
      <c r="B11" s="173"/>
      <c r="C11" s="108"/>
      <c r="D11" s="109"/>
      <c r="E11" s="150"/>
      <c r="F11" s="147"/>
      <c r="G11" s="110"/>
      <c r="H11" s="110"/>
      <c r="I11" s="147"/>
      <c r="J11" s="147"/>
      <c r="K11" s="229"/>
      <c r="L11" s="451"/>
      <c r="M11" s="1301"/>
      <c r="N11" s="1300" t="s">
        <v>149</v>
      </c>
    </row>
    <row r="12" spans="1:14" ht="24.95" customHeight="1">
      <c r="A12" s="398">
        <v>9</v>
      </c>
      <c r="B12" s="173"/>
      <c r="C12" s="108"/>
      <c r="D12" s="109"/>
      <c r="E12" s="150"/>
      <c r="F12" s="147"/>
      <c r="G12" s="110"/>
      <c r="H12" s="110"/>
      <c r="I12" s="147"/>
      <c r="J12" s="147"/>
      <c r="K12" s="229"/>
      <c r="L12" s="451"/>
      <c r="M12" s="1301"/>
      <c r="N12" s="1300"/>
    </row>
    <row r="13" spans="1:14" ht="24.95" customHeight="1">
      <c r="A13" s="398">
        <v>10</v>
      </c>
      <c r="B13" s="173"/>
      <c r="C13" s="108"/>
      <c r="D13" s="109"/>
      <c r="E13" s="150"/>
      <c r="F13" s="147"/>
      <c r="G13" s="110"/>
      <c r="H13" s="110"/>
      <c r="I13" s="147"/>
      <c r="J13" s="147"/>
      <c r="K13" s="229"/>
      <c r="L13" s="451"/>
      <c r="M13" s="1301"/>
      <c r="N13" s="1300"/>
    </row>
    <row r="14" spans="1:14" ht="24.95" customHeight="1">
      <c r="A14" s="398">
        <v>11</v>
      </c>
      <c r="B14" s="173"/>
      <c r="C14" s="108"/>
      <c r="D14" s="109"/>
      <c r="E14" s="150"/>
      <c r="F14" s="147"/>
      <c r="G14" s="110"/>
      <c r="H14" s="110"/>
      <c r="I14" s="147"/>
      <c r="J14" s="147"/>
      <c r="K14" s="229"/>
      <c r="L14" s="451"/>
      <c r="M14" s="1301"/>
      <c r="N14" s="1300"/>
    </row>
    <row r="15" spans="1:14" ht="24.95" customHeight="1">
      <c r="A15" s="398">
        <v>12</v>
      </c>
      <c r="B15" s="173"/>
      <c r="C15" s="108"/>
      <c r="D15" s="109"/>
      <c r="E15" s="150"/>
      <c r="F15" s="147"/>
      <c r="G15" s="110"/>
      <c r="H15" s="110"/>
      <c r="I15" s="147"/>
      <c r="J15" s="147"/>
      <c r="K15" s="229"/>
      <c r="L15" s="451"/>
      <c r="M15" s="1301"/>
      <c r="N15" s="1300"/>
    </row>
    <row r="16" spans="1:14" ht="24.95" customHeight="1">
      <c r="A16" s="398">
        <v>13</v>
      </c>
      <c r="B16" s="173"/>
      <c r="C16" s="108"/>
      <c r="D16" s="109"/>
      <c r="E16" s="150"/>
      <c r="F16" s="147"/>
      <c r="G16" s="110"/>
      <c r="H16" s="110"/>
      <c r="I16" s="147"/>
      <c r="J16" s="147"/>
      <c r="K16" s="229"/>
      <c r="L16" s="451"/>
      <c r="M16" s="1301"/>
      <c r="N16" s="1300"/>
    </row>
    <row r="17" spans="1:14" ht="24.95" customHeight="1">
      <c r="A17" s="398">
        <v>14</v>
      </c>
      <c r="B17" s="173"/>
      <c r="C17" s="108"/>
      <c r="D17" s="109"/>
      <c r="E17" s="150"/>
      <c r="F17" s="147"/>
      <c r="G17" s="110"/>
      <c r="H17" s="110"/>
      <c r="I17" s="147"/>
      <c r="J17" s="147"/>
      <c r="K17" s="229"/>
      <c r="L17" s="451"/>
      <c r="M17" s="1301"/>
      <c r="N17" s="1300"/>
    </row>
    <row r="18" spans="1:14" ht="24.95" customHeight="1">
      <c r="A18" s="398">
        <v>15</v>
      </c>
      <c r="B18" s="173"/>
      <c r="C18" s="108"/>
      <c r="D18" s="109"/>
      <c r="E18" s="150"/>
      <c r="F18" s="147"/>
      <c r="G18" s="110"/>
      <c r="H18" s="110"/>
      <c r="I18" s="147"/>
      <c r="J18" s="147"/>
      <c r="K18" s="229"/>
      <c r="L18" s="451"/>
      <c r="M18" s="1301"/>
      <c r="N18" s="1300"/>
    </row>
    <row r="19" spans="1:14" ht="24.95" customHeight="1">
      <c r="A19" s="398">
        <v>16</v>
      </c>
      <c r="B19" s="173"/>
      <c r="C19" s="108"/>
      <c r="D19" s="109"/>
      <c r="E19" s="150"/>
      <c r="F19" s="147"/>
      <c r="G19" s="110"/>
      <c r="H19" s="110"/>
      <c r="I19" s="147"/>
      <c r="J19" s="147"/>
      <c r="K19" s="229"/>
      <c r="L19" s="451"/>
      <c r="M19" s="1301"/>
      <c r="N19" s="1300"/>
    </row>
    <row r="20" spans="1:14" ht="24.95" customHeight="1">
      <c r="A20" s="398">
        <v>17</v>
      </c>
      <c r="B20" s="173"/>
      <c r="C20" s="108"/>
      <c r="D20" s="109"/>
      <c r="E20" s="150"/>
      <c r="F20" s="147"/>
      <c r="G20" s="110"/>
      <c r="H20" s="110"/>
      <c r="I20" s="147"/>
      <c r="J20" s="147"/>
      <c r="K20" s="229"/>
      <c r="L20" s="451"/>
      <c r="M20" s="1301"/>
      <c r="N20" s="1300"/>
    </row>
    <row r="21" spans="1:14" ht="24.95" customHeight="1">
      <c r="A21" s="398">
        <v>18</v>
      </c>
      <c r="B21" s="173"/>
      <c r="C21" s="108"/>
      <c r="D21" s="109"/>
      <c r="E21" s="150"/>
      <c r="F21" s="147"/>
      <c r="G21" s="110"/>
      <c r="H21" s="110"/>
      <c r="I21" s="147"/>
      <c r="J21" s="147"/>
      <c r="K21" s="229"/>
      <c r="L21" s="451"/>
      <c r="M21" s="1301"/>
      <c r="N21" s="1300"/>
    </row>
    <row r="22" spans="1:14" ht="24.95" customHeight="1">
      <c r="A22" s="398">
        <v>19</v>
      </c>
      <c r="B22" s="173"/>
      <c r="C22" s="108"/>
      <c r="D22" s="109"/>
      <c r="E22" s="150"/>
      <c r="F22" s="147"/>
      <c r="G22" s="110"/>
      <c r="H22" s="110"/>
      <c r="I22" s="147"/>
      <c r="J22" s="147"/>
      <c r="K22" s="229"/>
      <c r="L22" s="451"/>
      <c r="M22" s="1301"/>
      <c r="N22" s="1300"/>
    </row>
    <row r="23" spans="1:14" ht="24.95" customHeight="1">
      <c r="A23" s="398">
        <v>20</v>
      </c>
      <c r="B23" s="173"/>
      <c r="C23" s="108"/>
      <c r="D23" s="83"/>
      <c r="E23" s="146"/>
      <c r="F23" s="147"/>
      <c r="G23" s="111"/>
      <c r="H23" s="111"/>
      <c r="I23" s="149"/>
      <c r="J23" s="102"/>
      <c r="K23" s="230"/>
      <c r="L23" s="451"/>
      <c r="M23" s="1301"/>
      <c r="N23" s="1300"/>
    </row>
    <row r="24" spans="1:14" ht="21.95" customHeight="1">
      <c r="A24" s="398">
        <v>21</v>
      </c>
      <c r="B24" s="452" t="s">
        <v>233</v>
      </c>
      <c r="C24" s="687"/>
      <c r="D24" s="61"/>
      <c r="E24" s="688"/>
      <c r="F24" s="336">
        <f>SUM(F6:F23)</f>
        <v>310686.49</v>
      </c>
      <c r="G24" s="689"/>
      <c r="H24" s="689"/>
      <c r="I24" s="336">
        <f>SUM(I6:I23)</f>
        <v>0</v>
      </c>
      <c r="J24" s="453">
        <f>SUM(J6:J23)</f>
        <v>0</v>
      </c>
      <c r="K24" s="454">
        <f>SUM(K6:K23)</f>
        <v>0</v>
      </c>
      <c r="L24" s="451"/>
      <c r="M24" s="1301"/>
      <c r="N24" s="1303">
        <f>IF(Cover!D13&gt;0,Cover!D13, "")</f>
        <v>2011</v>
      </c>
    </row>
    <row r="25" spans="1:14" ht="22.5" customHeight="1" thickBot="1">
      <c r="B25" s="455"/>
      <c r="C25" s="456"/>
      <c r="D25" s="457"/>
      <c r="E25" s="456"/>
      <c r="F25" s="458"/>
      <c r="G25" s="459"/>
      <c r="H25" s="459"/>
      <c r="I25" s="460"/>
      <c r="J25" s="461" t="s">
        <v>583</v>
      </c>
      <c r="K25" s="462" t="s">
        <v>584</v>
      </c>
      <c r="L25" s="451"/>
      <c r="M25" s="1301"/>
      <c r="N25" s="1303"/>
    </row>
    <row r="26" spans="1:14" ht="12.75" hidden="1" customHeight="1">
      <c r="A26" s="470" t="s">
        <v>269</v>
      </c>
      <c r="C26" s="463"/>
      <c r="D26" s="464"/>
      <c r="E26" s="463"/>
      <c r="F26" s="464"/>
      <c r="G26" s="464"/>
      <c r="H26" s="464"/>
      <c r="I26" s="464"/>
      <c r="J26" s="464"/>
      <c r="K26" s="464"/>
      <c r="L26" s="464"/>
      <c r="M26" s="465"/>
      <c r="N26" s="1303"/>
    </row>
    <row r="27" spans="1:14" ht="12.75" customHeight="1">
      <c r="A27" s="1287" t="s">
        <v>269</v>
      </c>
      <c r="B27" s="1296" t="s">
        <v>585</v>
      </c>
      <c r="C27" s="1296"/>
      <c r="D27" s="1296"/>
      <c r="E27" s="1296"/>
      <c r="F27" s="1296"/>
      <c r="G27" s="1296"/>
      <c r="H27" s="1296"/>
      <c r="I27" s="1296"/>
      <c r="J27" s="1296"/>
      <c r="K27" s="466"/>
      <c r="M27" s="465"/>
      <c r="N27" s="1303"/>
    </row>
    <row r="28" spans="1:14" ht="41.25" customHeight="1">
      <c r="A28" s="1287"/>
      <c r="B28" s="1293"/>
      <c r="C28" s="1294"/>
      <c r="D28" s="1294"/>
      <c r="E28" s="1294"/>
      <c r="F28" s="1294"/>
      <c r="G28" s="1294"/>
      <c r="H28" s="1294"/>
      <c r="I28" s="1294"/>
      <c r="J28" s="1295"/>
    </row>
    <row r="29" spans="1:14" s="17" customFormat="1" ht="8.25" customHeight="1">
      <c r="A29" s="471"/>
      <c r="B29" s="86"/>
      <c r="C29" s="86"/>
      <c r="D29" s="86"/>
      <c r="E29" s="86"/>
      <c r="F29" s="86"/>
      <c r="G29" s="86"/>
      <c r="H29" s="86"/>
      <c r="I29" s="172"/>
      <c r="J29" s="172"/>
      <c r="L29" s="83"/>
      <c r="M29" s="101"/>
      <c r="N29" s="101"/>
    </row>
    <row r="30" spans="1:14" s="17" customFormat="1" ht="18">
      <c r="A30" s="276"/>
      <c r="B30" s="469" t="s">
        <v>713</v>
      </c>
      <c r="C30" s="112"/>
      <c r="E30" s="113"/>
      <c r="F30" s="83"/>
      <c r="G30" s="83"/>
      <c r="H30" s="83"/>
      <c r="I30" s="1104"/>
      <c r="J30" s="1191"/>
      <c r="K30" s="1105"/>
      <c r="L30" s="83"/>
      <c r="M30" s="101"/>
      <c r="N30" s="101"/>
    </row>
    <row r="31" spans="1:14" s="17" customFormat="1" ht="10.5" customHeight="1">
      <c r="C31" s="112"/>
      <c r="E31" s="113"/>
      <c r="F31" s="83"/>
      <c r="G31" s="83"/>
      <c r="H31" s="83"/>
      <c r="I31" s="1231" t="s">
        <v>13</v>
      </c>
      <c r="J31" s="1231"/>
      <c r="K31" s="1231"/>
      <c r="L31" s="83"/>
      <c r="M31" s="101"/>
      <c r="N31" s="101"/>
    </row>
    <row r="32" spans="1:14" s="17" customFormat="1" ht="15">
      <c r="A32" s="92"/>
      <c r="B32" s="83"/>
      <c r="C32" s="112"/>
      <c r="E32" s="113"/>
      <c r="F32" s="83"/>
      <c r="G32" s="83"/>
      <c r="H32" s="83"/>
      <c r="I32" s="93"/>
      <c r="J32" s="93"/>
      <c r="K32" s="93"/>
      <c r="L32" s="83"/>
      <c r="M32" s="101"/>
      <c r="N32" s="101"/>
    </row>
    <row r="33" spans="1:14" s="17" customFormat="1">
      <c r="A33" s="92"/>
      <c r="B33" s="83"/>
      <c r="C33" s="112"/>
      <c r="E33" s="113"/>
      <c r="F33" s="83"/>
      <c r="G33" s="83"/>
      <c r="H33" s="83"/>
      <c r="L33" s="83"/>
      <c r="M33" s="101"/>
      <c r="N33" s="101"/>
    </row>
    <row r="34" spans="1:14" s="17" customFormat="1">
      <c r="A34" s="92"/>
      <c r="B34" s="83"/>
      <c r="C34" s="112"/>
      <c r="E34" s="113"/>
      <c r="F34" s="83"/>
      <c r="G34" s="83"/>
      <c r="H34" s="83"/>
      <c r="L34" s="83"/>
      <c r="M34" s="101"/>
      <c r="N34" s="101"/>
    </row>
    <row r="35" spans="1:14">
      <c r="I35" s="21"/>
    </row>
    <row r="36" spans="1:14" s="17" customFormat="1">
      <c r="A36" s="92"/>
      <c r="B36" s="83"/>
      <c r="C36" s="112"/>
      <c r="E36" s="113"/>
      <c r="F36" s="83"/>
      <c r="G36" s="83"/>
      <c r="H36" s="83"/>
      <c r="L36" s="83"/>
      <c r="M36" s="101"/>
      <c r="N36" s="101"/>
    </row>
    <row r="37" spans="1:14" s="17" customFormat="1">
      <c r="A37" s="92"/>
      <c r="B37" s="83"/>
      <c r="C37" s="112"/>
      <c r="E37" s="113"/>
      <c r="F37" s="83"/>
      <c r="G37" s="83"/>
      <c r="H37" s="83"/>
      <c r="L37" s="83"/>
      <c r="M37" s="101"/>
      <c r="N37" s="101"/>
    </row>
    <row r="38" spans="1:14" s="17" customFormat="1">
      <c r="A38" s="92"/>
      <c r="B38" s="83"/>
      <c r="C38" s="112"/>
      <c r="E38" s="113"/>
      <c r="F38" s="83"/>
      <c r="G38" s="83"/>
      <c r="H38" s="83"/>
      <c r="L38" s="83"/>
      <c r="M38" s="101"/>
      <c r="N38" s="101"/>
    </row>
    <row r="39" spans="1:14" s="17" customFormat="1">
      <c r="A39" s="92"/>
      <c r="B39" s="83"/>
      <c r="C39" s="112"/>
      <c r="E39" s="113"/>
      <c r="F39" s="83"/>
      <c r="G39" s="83"/>
      <c r="H39" s="83"/>
      <c r="L39" s="83"/>
      <c r="M39" s="101"/>
      <c r="N39" s="101"/>
    </row>
    <row r="40" spans="1:14">
      <c r="I40" s="21"/>
    </row>
    <row r="41" spans="1:14">
      <c r="I41" s="21"/>
    </row>
    <row r="42" spans="1:14">
      <c r="I42" s="21"/>
    </row>
    <row r="43" spans="1:14">
      <c r="I43" s="21"/>
    </row>
    <row r="44" spans="1:14">
      <c r="I44" s="21"/>
    </row>
    <row r="45" spans="1:14">
      <c r="I45" s="21"/>
    </row>
    <row r="46" spans="1:14">
      <c r="I46" s="21" t="s">
        <v>14</v>
      </c>
    </row>
    <row r="47" spans="1:14">
      <c r="I47" s="21" t="s">
        <v>15</v>
      </c>
    </row>
    <row r="48" spans="1:14">
      <c r="I48" s="21"/>
    </row>
    <row r="49" spans="9:13">
      <c r="I49" s="21"/>
    </row>
    <row r="50" spans="9:13" ht="15">
      <c r="I50" s="118"/>
      <c r="J50" s="118"/>
      <c r="K50" s="118"/>
    </row>
    <row r="51" spans="9:13" ht="15">
      <c r="I51" s="118"/>
      <c r="J51" s="118"/>
      <c r="K51" s="118"/>
    </row>
    <row r="55" spans="9:13">
      <c r="M55" s="413"/>
    </row>
  </sheetData>
  <sheetProtection password="C0F1" sheet="1" formatCells="0" formatColumns="0" formatRows="0" insertColumns="0" insertRows="0"/>
  <customSheetViews>
    <customSheetView guid="{1F4AFEE5-5BDD-4100-B0E9-57B262CA123C}" scale="115" showPageBreaks="1" showGridLines="0" fitToPage="1" printArea="1" hiddenRows="1" view="pageBreakPreview">
      <selection activeCell="A31" sqref="A31:B31"/>
      <pageMargins left="0.45" right="0.45" top="0.5" bottom="0.25" header="0.3" footer="0.3"/>
      <printOptions horizontalCentered="1"/>
      <pageSetup scale="80" orientation="landscape" r:id="rId1"/>
      <headerFooter>
        <oddFooter>&amp;C&amp;A</oddFooter>
      </headerFooter>
    </customSheetView>
  </customSheetViews>
  <mergeCells count="21">
    <mergeCell ref="I30:K30"/>
    <mergeCell ref="I31:K31"/>
    <mergeCell ref="N11:N23"/>
    <mergeCell ref="M5:M25"/>
    <mergeCell ref="I4:I5"/>
    <mergeCell ref="M2:M4"/>
    <mergeCell ref="N24:N27"/>
    <mergeCell ref="B1:K1"/>
    <mergeCell ref="B2:K2"/>
    <mergeCell ref="B3:K3"/>
    <mergeCell ref="J4:K4"/>
    <mergeCell ref="B4:B5"/>
    <mergeCell ref="A27:A28"/>
    <mergeCell ref="E4:E5"/>
    <mergeCell ref="F4:F5"/>
    <mergeCell ref="G4:G5"/>
    <mergeCell ref="H4:H5"/>
    <mergeCell ref="D4:D5"/>
    <mergeCell ref="C4:C5"/>
    <mergeCell ref="B28:J28"/>
    <mergeCell ref="B27:J27"/>
  </mergeCells>
  <dataValidations count="1">
    <dataValidation type="list" allowBlank="1" showInputMessage="1" prompt="This field is to be used when filing under seal." sqref="I30:K30">
      <formula1>$I$45:$I$47</formula1>
    </dataValidation>
  </dataValidations>
  <printOptions horizontalCentered="1"/>
  <pageMargins left="0.45" right="0.45" top="0.5" bottom="0.25" header="0.3" footer="0.3"/>
  <pageSetup scale="77" orientation="landscape" r:id="rId2"/>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showGridLines="0" zoomScaleNormal="100" zoomScaleSheetLayoutView="100" workbookViewId="0"/>
  </sheetViews>
  <sheetFormatPr defaultRowHeight="15"/>
  <cols>
    <col min="1" max="1" width="2.7109375" style="338" customWidth="1"/>
    <col min="2" max="2" width="15" style="174" customWidth="1"/>
    <col min="3" max="3" width="36.42578125" style="118" customWidth="1"/>
    <col min="4" max="4" width="9.140625" style="118"/>
    <col min="5" max="5" width="13.7109375" style="174" customWidth="1"/>
    <col min="6" max="6" width="9.140625" style="174"/>
    <col min="7" max="7" width="13.7109375" style="118" customWidth="1"/>
    <col min="8" max="16384" width="9.140625" style="118"/>
  </cols>
  <sheetData>
    <row r="1" spans="1:7" s="21" customFormat="1" ht="12.75">
      <c r="A1" s="117">
        <v>1</v>
      </c>
      <c r="C1" s="57"/>
      <c r="D1" s="57"/>
      <c r="E1" s="57"/>
      <c r="F1" s="285" t="s">
        <v>149</v>
      </c>
      <c r="G1" s="303">
        <f>IF(Cover!D13&gt;0, Cover!D13,"")</f>
        <v>2011</v>
      </c>
    </row>
    <row r="2" spans="1:7" s="21" customFormat="1" ht="12.75">
      <c r="A2" s="117">
        <v>2</v>
      </c>
      <c r="B2" s="57" t="s">
        <v>150</v>
      </c>
      <c r="C2" s="1203" t="str">
        <f>IF(Cover!A1&gt;0, Cover!A1, "")</f>
        <v>Algonquin Water Resources of Missouri, LLC dba Liberty Utilities</v>
      </c>
      <c r="D2" s="1203"/>
      <c r="E2" s="1203"/>
      <c r="F2" s="1203"/>
      <c r="G2" s="1203"/>
    </row>
    <row r="3" spans="1:7" s="21" customFormat="1" ht="8.1" customHeight="1">
      <c r="A3" s="117"/>
      <c r="B3" s="1170"/>
      <c r="C3" s="1170"/>
      <c r="D3" s="1170"/>
      <c r="E3" s="1170"/>
      <c r="F3" s="1170"/>
      <c r="G3" s="1170"/>
    </row>
    <row r="4" spans="1:7">
      <c r="B4" s="1171" t="s">
        <v>270</v>
      </c>
      <c r="C4" s="1171"/>
      <c r="D4" s="1171"/>
      <c r="E4" s="1171"/>
      <c r="F4" s="1171"/>
      <c r="G4" s="1171"/>
    </row>
    <row r="5" spans="1:7" ht="5.0999999999999996" customHeight="1" thickBot="1">
      <c r="B5" s="1188"/>
      <c r="C5" s="1188"/>
      <c r="D5" s="1188"/>
      <c r="E5" s="1188"/>
      <c r="F5" s="1188"/>
      <c r="G5" s="1188"/>
    </row>
    <row r="6" spans="1:7" ht="15.75">
      <c r="B6" s="1310" t="s">
        <v>586</v>
      </c>
      <c r="C6" s="1311"/>
      <c r="D6" s="1309" t="s">
        <v>224</v>
      </c>
      <c r="E6" s="1309"/>
      <c r="F6" s="1309" t="s">
        <v>225</v>
      </c>
      <c r="G6" s="1314"/>
    </row>
    <row r="7" spans="1:7" ht="50.25" customHeight="1" thickBot="1">
      <c r="B7" s="1312"/>
      <c r="C7" s="1313"/>
      <c r="D7" s="731" t="s">
        <v>587</v>
      </c>
      <c r="E7" s="732" t="s">
        <v>588</v>
      </c>
      <c r="F7" s="732" t="s">
        <v>589</v>
      </c>
      <c r="G7" s="733" t="s">
        <v>590</v>
      </c>
    </row>
    <row r="8" spans="1:7" ht="27" customHeight="1">
      <c r="A8" s="338">
        <v>3</v>
      </c>
      <c r="B8" s="1307" t="s">
        <v>848</v>
      </c>
      <c r="C8" s="1308"/>
      <c r="D8" s="175"/>
      <c r="E8" s="176"/>
      <c r="F8" s="175"/>
      <c r="G8" s="167"/>
    </row>
    <row r="9" spans="1:7" ht="27" customHeight="1">
      <c r="A9" s="338">
        <v>4</v>
      </c>
      <c r="B9" s="1304"/>
      <c r="C9" s="1305"/>
      <c r="D9" s="175"/>
      <c r="E9" s="176"/>
      <c r="F9" s="175"/>
      <c r="G9" s="167"/>
    </row>
    <row r="10" spans="1:7" ht="27" customHeight="1">
      <c r="A10" s="338">
        <v>5</v>
      </c>
      <c r="B10" s="1304"/>
      <c r="C10" s="1305"/>
      <c r="D10" s="175"/>
      <c r="E10" s="176"/>
      <c r="F10" s="175"/>
      <c r="G10" s="167"/>
    </row>
    <row r="11" spans="1:7" ht="27" customHeight="1">
      <c r="A11" s="338">
        <v>6</v>
      </c>
      <c r="B11" s="1304"/>
      <c r="C11" s="1305"/>
      <c r="D11" s="175"/>
      <c r="E11" s="176"/>
      <c r="F11" s="175"/>
      <c r="G11" s="167"/>
    </row>
    <row r="12" spans="1:7" ht="27" customHeight="1">
      <c r="A12" s="338">
        <v>7</v>
      </c>
      <c r="B12" s="1304"/>
      <c r="C12" s="1305"/>
      <c r="D12" s="175"/>
      <c r="E12" s="176"/>
      <c r="F12" s="175"/>
      <c r="G12" s="167"/>
    </row>
    <row r="13" spans="1:7" ht="27" customHeight="1">
      <c r="A13" s="338">
        <v>8</v>
      </c>
      <c r="B13" s="1304"/>
      <c r="C13" s="1305"/>
      <c r="D13" s="175"/>
      <c r="E13" s="176"/>
      <c r="F13" s="175"/>
      <c r="G13" s="167"/>
    </row>
    <row r="14" spans="1:7" ht="27" customHeight="1">
      <c r="A14" s="338">
        <v>9</v>
      </c>
      <c r="B14" s="1304"/>
      <c r="C14" s="1305"/>
      <c r="D14" s="175"/>
      <c r="E14" s="176"/>
      <c r="F14" s="175"/>
      <c r="G14" s="167"/>
    </row>
    <row r="15" spans="1:7" ht="27" customHeight="1">
      <c r="A15" s="338">
        <v>10</v>
      </c>
      <c r="B15" s="1304"/>
      <c r="C15" s="1305"/>
      <c r="D15" s="175"/>
      <c r="E15" s="176"/>
      <c r="F15" s="175"/>
      <c r="G15" s="167"/>
    </row>
    <row r="16" spans="1:7" ht="27" customHeight="1">
      <c r="A16" s="338">
        <v>11</v>
      </c>
      <c r="B16" s="1304"/>
      <c r="C16" s="1305"/>
      <c r="D16" s="175"/>
      <c r="E16" s="176"/>
      <c r="F16" s="175"/>
      <c r="G16" s="167"/>
    </row>
    <row r="17" spans="1:7" ht="27" customHeight="1">
      <c r="A17" s="338">
        <v>12</v>
      </c>
      <c r="B17" s="1304"/>
      <c r="C17" s="1305"/>
      <c r="D17" s="175"/>
      <c r="E17" s="176"/>
      <c r="F17" s="175"/>
      <c r="G17" s="167"/>
    </row>
    <row r="18" spans="1:7" ht="27" customHeight="1">
      <c r="A18" s="338">
        <v>13</v>
      </c>
      <c r="B18" s="1304"/>
      <c r="C18" s="1305"/>
      <c r="D18" s="175"/>
      <c r="E18" s="176"/>
      <c r="F18" s="175"/>
      <c r="G18" s="167"/>
    </row>
    <row r="19" spans="1:7" ht="27" customHeight="1">
      <c r="A19" s="338">
        <v>14</v>
      </c>
      <c r="B19" s="1304"/>
      <c r="C19" s="1305"/>
      <c r="D19" s="175"/>
      <c r="E19" s="176"/>
      <c r="F19" s="175"/>
      <c r="G19" s="167"/>
    </row>
    <row r="20" spans="1:7" ht="27" customHeight="1">
      <c r="A20" s="338">
        <v>15</v>
      </c>
      <c r="B20" s="1304"/>
      <c r="C20" s="1305"/>
      <c r="D20" s="175"/>
      <c r="E20" s="176"/>
      <c r="F20" s="175"/>
      <c r="G20" s="167"/>
    </row>
    <row r="21" spans="1:7" ht="27" customHeight="1">
      <c r="A21" s="338">
        <v>16</v>
      </c>
      <c r="B21" s="1304"/>
      <c r="C21" s="1305"/>
      <c r="D21" s="175"/>
      <c r="E21" s="176"/>
      <c r="F21" s="175"/>
      <c r="G21" s="167"/>
    </row>
    <row r="22" spans="1:7" ht="27" customHeight="1">
      <c r="A22" s="338">
        <v>17</v>
      </c>
      <c r="B22" s="1304"/>
      <c r="C22" s="1305"/>
      <c r="D22" s="175"/>
      <c r="E22" s="176"/>
      <c r="F22" s="175"/>
      <c r="G22" s="167"/>
    </row>
    <row r="23" spans="1:7" ht="27" customHeight="1">
      <c r="A23" s="338">
        <v>18</v>
      </c>
      <c r="B23" s="1304"/>
      <c r="C23" s="1305"/>
      <c r="D23" s="175"/>
      <c r="E23" s="176"/>
      <c r="F23" s="175"/>
      <c r="G23" s="167"/>
    </row>
    <row r="24" spans="1:7" ht="27" customHeight="1">
      <c r="A24" s="338">
        <v>19</v>
      </c>
      <c r="B24" s="1304"/>
      <c r="C24" s="1305"/>
      <c r="D24" s="175"/>
      <c r="E24" s="176"/>
      <c r="F24" s="175"/>
      <c r="G24" s="167"/>
    </row>
    <row r="25" spans="1:7" ht="27" customHeight="1">
      <c r="A25" s="338">
        <v>20</v>
      </c>
      <c r="B25" s="1304"/>
      <c r="C25" s="1305"/>
      <c r="D25" s="175"/>
      <c r="E25" s="176"/>
      <c r="F25" s="175"/>
      <c r="G25" s="167"/>
    </row>
    <row r="26" spans="1:7" ht="27" customHeight="1">
      <c r="A26" s="338">
        <v>21</v>
      </c>
      <c r="B26" s="1304"/>
      <c r="C26" s="1305"/>
      <c r="D26" s="175"/>
      <c r="E26" s="176"/>
      <c r="F26" s="175"/>
      <c r="G26" s="167"/>
    </row>
    <row r="27" spans="1:7" ht="27" customHeight="1">
      <c r="A27" s="338">
        <v>22</v>
      </c>
      <c r="B27" s="1304"/>
      <c r="C27" s="1305"/>
      <c r="D27" s="175"/>
      <c r="E27" s="176"/>
      <c r="F27" s="175"/>
      <c r="G27" s="167"/>
    </row>
    <row r="28" spans="1:7" ht="27" customHeight="1">
      <c r="A28" s="338">
        <v>23</v>
      </c>
      <c r="B28" s="1304"/>
      <c r="C28" s="1305"/>
      <c r="D28" s="175"/>
      <c r="E28" s="176"/>
      <c r="F28" s="175"/>
      <c r="G28" s="167"/>
    </row>
    <row r="29" spans="1:7" ht="27" customHeight="1">
      <c r="A29" s="338">
        <v>24</v>
      </c>
      <c r="B29" s="1304"/>
      <c r="C29" s="1305"/>
      <c r="D29" s="175"/>
      <c r="E29" s="176"/>
      <c r="F29" s="175"/>
      <c r="G29" s="167"/>
    </row>
    <row r="30" spans="1:7" ht="27" customHeight="1">
      <c r="A30" s="338">
        <v>25</v>
      </c>
      <c r="B30" s="472" t="s">
        <v>233</v>
      </c>
      <c r="C30" s="473"/>
      <c r="D30" s="474">
        <f>SUM(D8:D29)</f>
        <v>0</v>
      </c>
      <c r="E30" s="475">
        <f>SUM(E8:E29)</f>
        <v>0</v>
      </c>
      <c r="F30" s="474">
        <f>SUM(F8:F29)</f>
        <v>0</v>
      </c>
      <c r="G30" s="476">
        <f>SUM(G8:G29)</f>
        <v>0</v>
      </c>
    </row>
    <row r="31" spans="1:7" ht="15.75" thickBot="1">
      <c r="B31" s="1264"/>
      <c r="C31" s="1306"/>
      <c r="D31" s="477"/>
      <c r="E31" s="478" t="s">
        <v>272</v>
      </c>
      <c r="F31" s="477"/>
      <c r="G31" s="479" t="s">
        <v>272</v>
      </c>
    </row>
    <row r="32" spans="1:7" ht="8.1" customHeight="1">
      <c r="B32" s="1263"/>
      <c r="C32" s="1263"/>
      <c r="D32" s="1263"/>
      <c r="E32" s="1263"/>
      <c r="F32" s="1263"/>
      <c r="G32" s="1263"/>
    </row>
    <row r="33" spans="1:7" s="93" customFormat="1" ht="18">
      <c r="A33" s="100"/>
      <c r="B33" s="237"/>
      <c r="C33" s="106"/>
      <c r="D33" s="106"/>
      <c r="E33" s="1104"/>
      <c r="F33" s="1191"/>
      <c r="G33" s="1105"/>
    </row>
    <row r="34" spans="1:7" s="93" customFormat="1" ht="10.5" customHeight="1">
      <c r="A34" s="276"/>
      <c r="B34" s="277" t="s">
        <v>713</v>
      </c>
      <c r="E34" s="1231" t="s">
        <v>13</v>
      </c>
      <c r="F34" s="1231"/>
      <c r="G34" s="1231"/>
    </row>
    <row r="35" spans="1:7" s="93" customFormat="1">
      <c r="A35" s="100"/>
      <c r="B35" s="237"/>
    </row>
    <row r="36" spans="1:7" s="93" customFormat="1">
      <c r="A36" s="100"/>
      <c r="B36" s="237"/>
      <c r="E36" s="17"/>
      <c r="F36" s="83"/>
      <c r="G36" s="17"/>
    </row>
    <row r="37" spans="1:7" s="93" customFormat="1">
      <c r="A37" s="100"/>
      <c r="B37" s="237"/>
      <c r="E37" s="17"/>
      <c r="F37" s="83"/>
      <c r="G37" s="17"/>
    </row>
    <row r="38" spans="1:7">
      <c r="E38" s="21"/>
      <c r="F38" s="57"/>
      <c r="G38" s="21"/>
    </row>
    <row r="39" spans="1:7">
      <c r="E39" s="21"/>
      <c r="F39" s="57"/>
      <c r="G39" s="21"/>
    </row>
    <row r="40" spans="1:7">
      <c r="E40" s="21"/>
      <c r="F40" s="57"/>
      <c r="G40" s="21"/>
    </row>
    <row r="41" spans="1:7">
      <c r="E41" s="21"/>
      <c r="F41" s="57"/>
      <c r="G41" s="21"/>
    </row>
    <row r="42" spans="1:7">
      <c r="E42" s="21"/>
      <c r="F42" s="57"/>
      <c r="G42" s="21"/>
    </row>
    <row r="43" spans="1:7">
      <c r="E43" s="21"/>
      <c r="F43" s="57"/>
      <c r="G43" s="21"/>
    </row>
    <row r="44" spans="1:7">
      <c r="E44" s="21"/>
      <c r="F44" s="57"/>
      <c r="G44" s="21"/>
    </row>
    <row r="45" spans="1:7">
      <c r="E45" s="21"/>
      <c r="F45" s="57"/>
      <c r="G45" s="21"/>
    </row>
    <row r="46" spans="1:7">
      <c r="E46" s="21"/>
      <c r="F46" s="57"/>
      <c r="G46" s="21"/>
    </row>
    <row r="47" spans="1:7">
      <c r="E47" s="21"/>
      <c r="F47" s="57"/>
      <c r="G47" s="21"/>
    </row>
    <row r="48" spans="1:7">
      <c r="E48" s="21"/>
      <c r="F48" s="57"/>
      <c r="G48" s="21"/>
    </row>
    <row r="49" spans="5:7">
      <c r="E49" s="21" t="s">
        <v>14</v>
      </c>
      <c r="F49" s="57"/>
      <c r="G49" s="21"/>
    </row>
    <row r="50" spans="5:7">
      <c r="E50" s="21" t="s">
        <v>15</v>
      </c>
      <c r="F50" s="57"/>
      <c r="G50" s="21"/>
    </row>
    <row r="51" spans="5:7">
      <c r="E51" s="21"/>
      <c r="F51" s="57"/>
      <c r="G51" s="21"/>
    </row>
    <row r="52" spans="5:7">
      <c r="E52" s="21"/>
      <c r="F52" s="57"/>
      <c r="G52" s="21"/>
    </row>
    <row r="53" spans="5:7">
      <c r="E53" s="118"/>
      <c r="F53" s="118"/>
    </row>
    <row r="54" spans="5:7">
      <c r="E54" s="118"/>
      <c r="F54" s="118"/>
    </row>
    <row r="55" spans="5:7">
      <c r="E55" s="57"/>
      <c r="F55" s="57"/>
      <c r="G55" s="21"/>
    </row>
    <row r="56" spans="5:7">
      <c r="E56" s="57"/>
      <c r="F56" s="57"/>
      <c r="G56" s="21"/>
    </row>
  </sheetData>
  <sheetProtection password="C0F1" sheet="1" formatCells="0" formatColumns="0" formatRows="0" insertColumns="0" insertRows="0"/>
  <customSheetViews>
    <customSheetView guid="{1F4AFEE5-5BDD-4100-B0E9-57B262CA123C}" scale="115" showPageBreaks="1" showGridLines="0" printArea="1" view="pageBreakPreview">
      <selection activeCell="C2" sqref="C2:G2"/>
      <pageMargins left="0.5" right="0.5" top="0.45333333333333298" bottom="0.25" header="0.3" footer="0.3"/>
      <printOptions horizontalCentered="1"/>
      <pageSetup scale="95" orientation="portrait" r:id="rId1"/>
      <headerFooter>
        <oddFooter>&amp;C&amp;A</oddFooter>
      </headerFooter>
    </customSheetView>
  </customSheetViews>
  <mergeCells count="33">
    <mergeCell ref="B11:C11"/>
    <mergeCell ref="B12:C12"/>
    <mergeCell ref="B13:C13"/>
    <mergeCell ref="B14:C14"/>
    <mergeCell ref="C2:G2"/>
    <mergeCell ref="B8:C8"/>
    <mergeCell ref="B9:C9"/>
    <mergeCell ref="B10:C10"/>
    <mergeCell ref="B5:G5"/>
    <mergeCell ref="D6:E6"/>
    <mergeCell ref="B6:C7"/>
    <mergeCell ref="F6:G6"/>
    <mergeCell ref="B3:G3"/>
    <mergeCell ref="B4:G4"/>
    <mergeCell ref="B22:C22"/>
    <mergeCell ref="B23:C23"/>
    <mergeCell ref="E33:G33"/>
    <mergeCell ref="B29:C29"/>
    <mergeCell ref="B15:C15"/>
    <mergeCell ref="B18:C18"/>
    <mergeCell ref="B19:C19"/>
    <mergeCell ref="B20:C20"/>
    <mergeCell ref="B21:C21"/>
    <mergeCell ref="B24:C24"/>
    <mergeCell ref="B16:C16"/>
    <mergeCell ref="B17:C17"/>
    <mergeCell ref="E34:G34"/>
    <mergeCell ref="B25:C25"/>
    <mergeCell ref="B26:C26"/>
    <mergeCell ref="B27:C27"/>
    <mergeCell ref="B28:C28"/>
    <mergeCell ref="B31:C31"/>
    <mergeCell ref="B32:G32"/>
  </mergeCells>
  <dataValidations count="1">
    <dataValidation type="list" allowBlank="1" showInputMessage="1" prompt="This field is to be used when filing under seal." sqref="E33:G33">
      <formula1>$E$48:$E$50</formula1>
    </dataValidation>
  </dataValidations>
  <printOptions horizontalCentered="1"/>
  <pageMargins left="0.5" right="0.5" top="0.45333333333333298" bottom="0.25" header="0.3" footer="0.3"/>
  <pageSetup scale="95" orientation="portrait" r:id="rId2"/>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3"/>
  <sheetViews>
    <sheetView showGridLines="0" zoomScaleNormal="100" zoomScaleSheetLayoutView="100" workbookViewId="0"/>
  </sheetViews>
  <sheetFormatPr defaultColWidth="2.7109375" defaultRowHeight="15"/>
  <cols>
    <col min="1" max="1" width="2.7109375" style="117" customWidth="1"/>
    <col min="2" max="2" width="15" style="316" customWidth="1"/>
    <col min="3" max="3" width="34.42578125" style="316" customWidth="1"/>
    <col min="4" max="4" width="17.140625" style="316" customWidth="1"/>
    <col min="5" max="5" width="18.28515625" style="316" customWidth="1"/>
    <col min="6" max="250" width="9.140625" style="316" customWidth="1"/>
    <col min="251" max="16384" width="2.7109375" style="316"/>
  </cols>
  <sheetData>
    <row r="1" spans="1:5" s="21" customFormat="1" ht="12.75">
      <c r="A1" s="117">
        <v>1</v>
      </c>
      <c r="D1" s="285" t="s">
        <v>149</v>
      </c>
      <c r="E1" s="303">
        <f>IF(Cover!D13&gt;0, Cover!D13, "")</f>
        <v>2011</v>
      </c>
    </row>
    <row r="2" spans="1:5" s="21" customFormat="1" ht="8.1" customHeight="1">
      <c r="A2" s="117"/>
      <c r="B2" s="1170"/>
      <c r="C2" s="1170"/>
      <c r="D2" s="1170"/>
      <c r="E2" s="1170"/>
    </row>
    <row r="3" spans="1:5" s="21" customFormat="1" ht="12.75">
      <c r="A3" s="117">
        <v>2</v>
      </c>
      <c r="B3" s="57" t="s">
        <v>150</v>
      </c>
      <c r="C3" s="1203" t="str">
        <f>IF(Cover!A1&gt;0, Cover!A1, "")</f>
        <v>Algonquin Water Resources of Missouri, LLC dba Liberty Utilities</v>
      </c>
      <c r="D3" s="1203"/>
      <c r="E3" s="1203"/>
    </row>
    <row r="4" spans="1:5" s="21" customFormat="1" ht="8.1" customHeight="1">
      <c r="A4" s="117"/>
      <c r="B4" s="1170"/>
      <c r="C4" s="1170"/>
      <c r="D4" s="1170"/>
      <c r="E4" s="1170"/>
    </row>
    <row r="5" spans="1:5">
      <c r="B5" s="1267" t="s">
        <v>273</v>
      </c>
      <c r="C5" s="1267"/>
      <c r="D5" s="1267"/>
      <c r="E5" s="1267"/>
    </row>
    <row r="6" spans="1:5" ht="8.1" customHeight="1" thickBot="1">
      <c r="B6" s="1316"/>
      <c r="C6" s="1316"/>
      <c r="D6" s="1316"/>
      <c r="E6" s="1316"/>
    </row>
    <row r="7" spans="1:5" ht="39.75" customHeight="1" thickBot="1">
      <c r="B7" s="1317" t="s">
        <v>193</v>
      </c>
      <c r="C7" s="1318"/>
      <c r="D7" s="1319"/>
      <c r="E7" s="480" t="s">
        <v>274</v>
      </c>
    </row>
    <row r="8" spans="1:5" ht="26.1" customHeight="1">
      <c r="A8" s="117">
        <v>3</v>
      </c>
      <c r="B8" s="481" t="s">
        <v>275</v>
      </c>
      <c r="C8" s="482"/>
      <c r="D8" s="483"/>
      <c r="E8" s="484">
        <f>'Page W-2'!G32</f>
        <v>542349.33000000007</v>
      </c>
    </row>
    <row r="9" spans="1:5" ht="26.1" customHeight="1">
      <c r="B9" s="485" t="s">
        <v>276</v>
      </c>
      <c r="C9" s="486"/>
      <c r="D9" s="487"/>
      <c r="E9" s="690"/>
    </row>
    <row r="10" spans="1:5" ht="26.1" customHeight="1">
      <c r="A10" s="117">
        <v>4</v>
      </c>
      <c r="B10" s="488" t="s">
        <v>277</v>
      </c>
      <c r="C10" s="265"/>
      <c r="D10" s="487"/>
      <c r="E10" s="484">
        <f>SUM('Page 7'!D23)</f>
        <v>0</v>
      </c>
    </row>
    <row r="11" spans="1:5" ht="26.1" customHeight="1">
      <c r="A11" s="117">
        <v>5</v>
      </c>
      <c r="B11" s="488" t="s">
        <v>278</v>
      </c>
      <c r="C11" s="265"/>
      <c r="D11" s="487"/>
      <c r="E11" s="248"/>
    </row>
    <row r="12" spans="1:5" ht="26.1" customHeight="1">
      <c r="A12" s="117">
        <v>6</v>
      </c>
      <c r="B12" s="488" t="s">
        <v>279</v>
      </c>
      <c r="C12" s="265"/>
      <c r="D12" s="487"/>
      <c r="E12" s="248"/>
    </row>
    <row r="13" spans="1:5" ht="26.1" customHeight="1">
      <c r="A13" s="117">
        <v>7</v>
      </c>
      <c r="B13" s="488" t="s">
        <v>280</v>
      </c>
      <c r="C13" s="265"/>
      <c r="D13" s="487"/>
      <c r="E13" s="484">
        <f>'Page W-3'!E17</f>
        <v>140661.41999999998</v>
      </c>
    </row>
    <row r="14" spans="1:5" ht="26.1" customHeight="1">
      <c r="A14" s="117">
        <v>8</v>
      </c>
      <c r="B14" s="488" t="s">
        <v>281</v>
      </c>
      <c r="C14" s="265"/>
      <c r="D14" s="487"/>
      <c r="E14" s="248"/>
    </row>
    <row r="15" spans="1:5" ht="26.1" customHeight="1">
      <c r="A15" s="117">
        <v>9</v>
      </c>
      <c r="B15" s="488" t="s">
        <v>282</v>
      </c>
      <c r="C15" s="265"/>
      <c r="D15" s="487"/>
      <c r="E15" s="248"/>
    </row>
    <row r="16" spans="1:5" ht="26.1" customHeight="1">
      <c r="A16" s="117">
        <v>10</v>
      </c>
      <c r="B16" s="488" t="s">
        <v>283</v>
      </c>
      <c r="C16" s="265"/>
      <c r="D16" s="487"/>
      <c r="E16" s="248">
        <v>8189.03</v>
      </c>
    </row>
    <row r="17" spans="1:5" ht="26.1" customHeight="1">
      <c r="A17" s="117">
        <v>11</v>
      </c>
      <c r="B17" s="488" t="s">
        <v>755</v>
      </c>
      <c r="C17" s="265"/>
      <c r="D17" s="487"/>
      <c r="E17" s="248">
        <v>8543.44</v>
      </c>
    </row>
    <row r="18" spans="1:5" ht="26.1" customHeight="1">
      <c r="A18" s="117">
        <v>12</v>
      </c>
      <c r="B18" s="488" t="s">
        <v>284</v>
      </c>
      <c r="C18" s="265"/>
      <c r="D18" s="487"/>
      <c r="E18" s="248">
        <v>9538.27</v>
      </c>
    </row>
    <row r="19" spans="1:5" ht="26.1" customHeight="1">
      <c r="A19" s="117">
        <v>13</v>
      </c>
      <c r="B19" s="488" t="s">
        <v>285</v>
      </c>
      <c r="C19" s="265"/>
      <c r="D19" s="487"/>
      <c r="E19" s="484">
        <f>'Page 8'!C24</f>
        <v>415646.39</v>
      </c>
    </row>
    <row r="20" spans="1:5" ht="26.1" customHeight="1">
      <c r="A20" s="117">
        <v>14</v>
      </c>
      <c r="B20" s="488" t="s">
        <v>286</v>
      </c>
      <c r="C20" s="265"/>
      <c r="D20" s="487"/>
      <c r="E20" s="248">
        <v>587.6</v>
      </c>
    </row>
    <row r="21" spans="1:5" ht="26.1" customHeight="1">
      <c r="A21" s="117">
        <v>15</v>
      </c>
      <c r="B21" s="488" t="s">
        <v>287</v>
      </c>
      <c r="C21" s="265"/>
      <c r="D21" s="487"/>
      <c r="E21" s="484">
        <f>'Page 6'!E36</f>
        <v>0</v>
      </c>
    </row>
    <row r="22" spans="1:5" ht="26.1" customHeight="1">
      <c r="A22" s="117">
        <v>16</v>
      </c>
      <c r="B22" s="488" t="s">
        <v>288</v>
      </c>
      <c r="C22" s="265"/>
      <c r="D22" s="487"/>
      <c r="E22" s="484">
        <f>'Page W-6'!E59</f>
        <v>203006.66174333339</v>
      </c>
    </row>
    <row r="23" spans="1:5" ht="26.1" customHeight="1">
      <c r="A23" s="117">
        <v>17</v>
      </c>
      <c r="B23" s="488" t="s">
        <v>289</v>
      </c>
      <c r="C23" s="265"/>
      <c r="D23" s="487"/>
      <c r="E23" s="484">
        <f>-('Page 9'!D33+'Page 9'!D40)</f>
        <v>-25926.207155913078</v>
      </c>
    </row>
    <row r="24" spans="1:5" ht="26.1" customHeight="1">
      <c r="A24" s="117">
        <v>18</v>
      </c>
      <c r="B24" s="488" t="s">
        <v>290</v>
      </c>
      <c r="C24" s="265"/>
      <c r="D24" s="487"/>
      <c r="E24" s="248"/>
    </row>
    <row r="25" spans="1:5" ht="26.1" customHeight="1">
      <c r="A25" s="117">
        <v>19</v>
      </c>
      <c r="B25" s="488" t="s">
        <v>291</v>
      </c>
      <c r="C25" s="265"/>
      <c r="D25" s="487"/>
      <c r="E25" s="484">
        <f>'Page W-3'!E27</f>
        <v>9868.7999999999993</v>
      </c>
    </row>
    <row r="26" spans="1:5" ht="26.1" customHeight="1">
      <c r="A26" s="117">
        <v>20</v>
      </c>
      <c r="B26" s="488" t="s">
        <v>292</v>
      </c>
      <c r="C26" s="265"/>
      <c r="D26" s="487"/>
      <c r="E26" s="484">
        <f>'Page 10'!J24</f>
        <v>0</v>
      </c>
    </row>
    <row r="27" spans="1:5" ht="26.1" customHeight="1">
      <c r="A27" s="117">
        <v>21</v>
      </c>
      <c r="B27" s="488" t="s">
        <v>756</v>
      </c>
      <c r="C27" s="265"/>
      <c r="D27" s="487"/>
      <c r="E27" s="248"/>
    </row>
    <row r="28" spans="1:5" s="21" customFormat="1" ht="26.1" customHeight="1">
      <c r="A28" s="117">
        <v>22</v>
      </c>
      <c r="B28" s="319" t="s">
        <v>293</v>
      </c>
      <c r="C28" s="57"/>
      <c r="D28" s="487"/>
      <c r="E28" s="490">
        <f>SUM(E10:E27)</f>
        <v>770115.4045874204</v>
      </c>
    </row>
    <row r="29" spans="1:5" s="59" customFormat="1" ht="29.25" customHeight="1" thickBot="1">
      <c r="A29" s="789">
        <v>23</v>
      </c>
      <c r="B29" s="1320" t="s">
        <v>813</v>
      </c>
      <c r="C29" s="1321"/>
      <c r="D29" s="1322"/>
      <c r="E29" s="788">
        <f>SUM(E8-E28)</f>
        <v>-227766.07458742033</v>
      </c>
    </row>
    <row r="30" spans="1:5" s="17" customFormat="1" ht="12.75">
      <c r="A30" s="92"/>
      <c r="B30" s="1315"/>
      <c r="C30" s="1315"/>
      <c r="D30" s="1315"/>
      <c r="E30" s="1315"/>
    </row>
    <row r="31" spans="1:5" s="17" customFormat="1" ht="18">
      <c r="A31" s="274"/>
      <c r="B31" s="275" t="s">
        <v>712</v>
      </c>
      <c r="C31" s="275"/>
      <c r="D31" s="1104"/>
      <c r="E31" s="1105"/>
    </row>
    <row r="32" spans="1:5" s="17" customFormat="1" ht="12.75">
      <c r="A32" s="276"/>
      <c r="B32" s="277" t="s">
        <v>713</v>
      </c>
      <c r="C32" s="277"/>
      <c r="E32" s="80" t="s">
        <v>13</v>
      </c>
    </row>
    <row r="33" spans="1:5" s="244" customFormat="1">
      <c r="A33" s="92"/>
    </row>
    <row r="34" spans="1:5" s="244" customFormat="1">
      <c r="A34" s="92"/>
      <c r="D34" s="17"/>
      <c r="E34" s="83"/>
    </row>
    <row r="35" spans="1:5" s="244" customFormat="1">
      <c r="A35" s="92"/>
      <c r="D35" s="17"/>
      <c r="E35" s="83"/>
    </row>
    <row r="36" spans="1:5" s="244" customFormat="1">
      <c r="A36" s="92"/>
      <c r="D36" s="17"/>
      <c r="E36" s="83"/>
    </row>
    <row r="37" spans="1:5">
      <c r="D37" s="21"/>
      <c r="E37" s="57"/>
    </row>
    <row r="38" spans="1:5">
      <c r="D38" s="21"/>
      <c r="E38" s="57"/>
    </row>
    <row r="39" spans="1:5">
      <c r="D39" s="21"/>
      <c r="E39" s="57"/>
    </row>
    <row r="40" spans="1:5">
      <c r="D40" s="21"/>
      <c r="E40" s="57"/>
    </row>
    <row r="41" spans="1:5">
      <c r="D41" s="21"/>
      <c r="E41" s="57"/>
    </row>
    <row r="42" spans="1:5">
      <c r="D42" s="21"/>
      <c r="E42" s="57"/>
    </row>
    <row r="43" spans="1:5">
      <c r="D43" s="21"/>
      <c r="E43" s="57"/>
    </row>
    <row r="44" spans="1:5">
      <c r="D44" s="21"/>
      <c r="E44" s="57"/>
    </row>
    <row r="45" spans="1:5">
      <c r="D45" s="21"/>
      <c r="E45" s="57"/>
    </row>
    <row r="46" spans="1:5">
      <c r="D46" s="21"/>
      <c r="E46" s="57"/>
    </row>
    <row r="47" spans="1:5">
      <c r="D47" s="21" t="s">
        <v>14</v>
      </c>
      <c r="E47" s="57"/>
    </row>
    <row r="48" spans="1:5">
      <c r="D48" s="21" t="s">
        <v>15</v>
      </c>
      <c r="E48" s="57"/>
    </row>
    <row r="49" spans="4:5">
      <c r="D49" s="21"/>
      <c r="E49" s="57"/>
    </row>
    <row r="50" spans="4:5">
      <c r="D50" s="21"/>
      <c r="E50" s="57"/>
    </row>
    <row r="53" spans="4:5">
      <c r="D53" s="57"/>
      <c r="E53" s="57"/>
    </row>
  </sheetData>
  <sheetProtection password="C0F1" sheet="1" formatCells="0" formatColumns="0" formatRows="0" insertColumns="0" insertRows="0"/>
  <customSheetViews>
    <customSheetView guid="{1F4AFEE5-5BDD-4100-B0E9-57B262CA123C}" scale="115" showPageBreaks="1" showGridLines="0" fitToPage="1" printArea="1" view="pageBreakPreview">
      <pageMargins left="0.5" right="0.5" top="0.75" bottom="0.25" header="0.3" footer="0.3"/>
      <printOptions horizontalCentered="1"/>
      <pageSetup orientation="portrait" r:id="rId1"/>
      <headerFooter>
        <oddFooter>&amp;C&amp;A</oddFooter>
      </headerFooter>
    </customSheetView>
  </customSheetViews>
  <mergeCells count="9">
    <mergeCell ref="D31:E31"/>
    <mergeCell ref="B30:E30"/>
    <mergeCell ref="B2:E2"/>
    <mergeCell ref="B4:E4"/>
    <mergeCell ref="B5:E5"/>
    <mergeCell ref="B6:E6"/>
    <mergeCell ref="B7:D7"/>
    <mergeCell ref="C3:E3"/>
    <mergeCell ref="B29:D29"/>
  </mergeCells>
  <dataValidations count="1">
    <dataValidation type="list" allowBlank="1" showInputMessage="1" showErrorMessage="1" sqref="D31:E31">
      <formula1>$D$46:$D$48</formula1>
    </dataValidation>
  </dataValidations>
  <printOptions horizontalCentered="1"/>
  <pageMargins left="0.5" right="0.5" top="0.75" bottom="0.25" header="0.3" footer="0.3"/>
  <pageSetup orientation="portrait" r:id="rId2"/>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
  <sheetViews>
    <sheetView showGridLines="0" zoomScaleNormal="100" zoomScaleSheetLayoutView="100" workbookViewId="0"/>
  </sheetViews>
  <sheetFormatPr defaultRowHeight="15"/>
  <cols>
    <col min="1" max="1" width="3.85546875" style="706" customWidth="1"/>
    <col min="2" max="2" width="16.5703125" style="329" customWidth="1"/>
    <col min="3" max="3" width="32.140625" style="329" customWidth="1"/>
    <col min="4" max="4" width="20.140625" style="329" customWidth="1"/>
    <col min="5" max="5" width="16.28515625" style="329" bestFit="1" customWidth="1"/>
    <col min="6" max="6" width="2.85546875" style="333" customWidth="1"/>
    <col min="7" max="16384" width="9.140625" style="329"/>
  </cols>
  <sheetData>
    <row r="1" spans="1:6">
      <c r="A1" s="328">
        <v>1</v>
      </c>
      <c r="B1" s="21"/>
      <c r="C1" s="21"/>
      <c r="D1" s="285" t="s">
        <v>149</v>
      </c>
      <c r="E1" s="303">
        <f>IF(Cover!D13&gt;0, Cover!D13,"")</f>
        <v>2011</v>
      </c>
    </row>
    <row r="2" spans="1:6">
      <c r="A2" s="328">
        <v>2</v>
      </c>
      <c r="B2" s="57" t="s">
        <v>150</v>
      </c>
      <c r="C2" s="1203" t="str">
        <f>IF(Cover!A1&gt;0, Cover!A1, "")</f>
        <v>Algonquin Water Resources of Missouri, LLC dba Liberty Utilities</v>
      </c>
      <c r="D2" s="1203"/>
      <c r="E2" s="1203"/>
    </row>
    <row r="3" spans="1:6" ht="12.75" customHeight="1">
      <c r="A3" s="328"/>
      <c r="B3" s="57"/>
      <c r="C3" s="57"/>
      <c r="D3" s="61"/>
      <c r="E3" s="61"/>
    </row>
    <row r="4" spans="1:6">
      <c r="A4" s="1171" t="s">
        <v>816</v>
      </c>
      <c r="B4" s="1171"/>
      <c r="C4" s="1171"/>
      <c r="D4" s="1171"/>
      <c r="E4" s="1171"/>
    </row>
    <row r="5" spans="1:6">
      <c r="A5" s="304"/>
      <c r="B5" s="304"/>
      <c r="C5" s="304"/>
      <c r="D5" s="304"/>
      <c r="E5" s="304"/>
    </row>
    <row r="6" spans="1:6">
      <c r="A6" s="330">
        <v>3</v>
      </c>
      <c r="B6" s="331" t="s">
        <v>667</v>
      </c>
      <c r="C6" s="332" t="s">
        <v>668</v>
      </c>
      <c r="D6" s="800">
        <f>'Page W-1'!E17</f>
        <v>8543.44</v>
      </c>
      <c r="E6" s="324"/>
    </row>
    <row r="7" spans="1:6">
      <c r="A7" s="333" t="s">
        <v>170</v>
      </c>
      <c r="B7" s="334" t="s">
        <v>655</v>
      </c>
      <c r="C7" s="334"/>
      <c r="D7" s="334"/>
      <c r="E7" s="334" t="s">
        <v>654</v>
      </c>
      <c r="F7" s="333" t="s">
        <v>170</v>
      </c>
    </row>
    <row r="8" spans="1:6">
      <c r="A8" s="353"/>
      <c r="B8" s="1213" t="s">
        <v>926</v>
      </c>
      <c r="C8" s="1214"/>
      <c r="D8" s="1215"/>
      <c r="E8" s="798">
        <v>2437.66</v>
      </c>
      <c r="F8" s="353"/>
    </row>
    <row r="9" spans="1:6">
      <c r="A9" s="94"/>
      <c r="B9" s="1213" t="s">
        <v>1041</v>
      </c>
      <c r="C9" s="1214"/>
      <c r="D9" s="1215"/>
      <c r="E9" s="798">
        <v>6105.78</v>
      </c>
      <c r="F9" s="94"/>
    </row>
    <row r="10" spans="1:6">
      <c r="A10" s="94"/>
      <c r="B10" s="1213"/>
      <c r="C10" s="1214"/>
      <c r="D10" s="1215"/>
      <c r="E10" s="798"/>
      <c r="F10" s="94"/>
    </row>
    <row r="11" spans="1:6">
      <c r="A11" s="94"/>
      <c r="B11" s="1213"/>
      <c r="C11" s="1214"/>
      <c r="D11" s="1215"/>
      <c r="E11" s="798"/>
      <c r="F11" s="94"/>
    </row>
    <row r="12" spans="1:6">
      <c r="A12" s="94"/>
      <c r="B12" s="1213"/>
      <c r="C12" s="1214"/>
      <c r="D12" s="1215"/>
      <c r="E12" s="798"/>
      <c r="F12" s="94"/>
    </row>
    <row r="13" spans="1:6">
      <c r="A13" s="354"/>
      <c r="B13" s="1207" t="s">
        <v>671</v>
      </c>
      <c r="C13" s="1208"/>
      <c r="D13" s="1209"/>
      <c r="E13" s="799">
        <f>SUM(E8:E12)</f>
        <v>8543.4399999999987</v>
      </c>
      <c r="F13" s="354"/>
    </row>
    <row r="14" spans="1:6" ht="30" customHeight="1">
      <c r="A14" s="333"/>
      <c r="B14" s="62"/>
      <c r="C14" s="62"/>
      <c r="D14" s="335"/>
      <c r="E14" s="337"/>
    </row>
    <row r="15" spans="1:6">
      <c r="A15" s="330">
        <v>4</v>
      </c>
      <c r="B15" s="331" t="s">
        <v>652</v>
      </c>
      <c r="C15" s="332" t="s">
        <v>672</v>
      </c>
      <c r="D15" s="800">
        <f>'Page W-1'!E27</f>
        <v>0</v>
      </c>
      <c r="E15" s="324"/>
    </row>
    <row r="16" spans="1:6">
      <c r="A16" s="333" t="s">
        <v>170</v>
      </c>
      <c r="B16" s="334" t="s">
        <v>655</v>
      </c>
      <c r="C16" s="334"/>
      <c r="D16" s="334"/>
      <c r="E16" s="334" t="s">
        <v>654</v>
      </c>
      <c r="F16" s="333" t="s">
        <v>170</v>
      </c>
    </row>
    <row r="17" spans="1:6">
      <c r="A17" s="353"/>
      <c r="B17" s="1214"/>
      <c r="C17" s="1214"/>
      <c r="D17" s="1215"/>
      <c r="E17" s="803"/>
      <c r="F17" s="353"/>
    </row>
    <row r="18" spans="1:6">
      <c r="A18" s="94"/>
      <c r="B18" s="1214"/>
      <c r="C18" s="1214"/>
      <c r="D18" s="1215"/>
      <c r="E18" s="803"/>
      <c r="F18" s="94"/>
    </row>
    <row r="19" spans="1:6">
      <c r="A19" s="94"/>
      <c r="B19" s="1214"/>
      <c r="C19" s="1214"/>
      <c r="D19" s="1215"/>
      <c r="E19" s="803"/>
      <c r="F19" s="94"/>
    </row>
    <row r="20" spans="1:6">
      <c r="A20" s="94"/>
      <c r="B20" s="1214"/>
      <c r="C20" s="1214"/>
      <c r="D20" s="1215"/>
      <c r="E20" s="803"/>
      <c r="F20" s="94"/>
    </row>
    <row r="21" spans="1:6">
      <c r="A21" s="94"/>
      <c r="B21" s="1214"/>
      <c r="C21" s="1214"/>
      <c r="D21" s="1215"/>
      <c r="E21" s="803"/>
      <c r="F21" s="94"/>
    </row>
    <row r="22" spans="1:6">
      <c r="A22" s="354"/>
      <c r="B22" s="1208" t="s">
        <v>673</v>
      </c>
      <c r="C22" s="1208"/>
      <c r="D22" s="1209"/>
      <c r="E22" s="802">
        <f>SUM(E17:E21)</f>
        <v>0</v>
      </c>
      <c r="F22" s="354"/>
    </row>
    <row r="23" spans="1:6" s="261" customFormat="1" ht="30" customHeight="1">
      <c r="A23" s="709"/>
      <c r="F23" s="384"/>
    </row>
    <row r="24" spans="1:6" s="261" customFormat="1">
      <c r="A24" s="376"/>
      <c r="B24" s="377"/>
      <c r="C24" s="378"/>
      <c r="D24" s="379"/>
      <c r="E24" s="242"/>
      <c r="F24" s="372"/>
    </row>
    <row r="25" spans="1:6" s="261" customFormat="1">
      <c r="A25" s="372"/>
      <c r="B25" s="226"/>
      <c r="C25" s="226"/>
      <c r="D25" s="226"/>
      <c r="E25" s="226"/>
      <c r="F25" s="372"/>
    </row>
    <row r="26" spans="1:6" s="261" customFormat="1">
      <c r="A26" s="372"/>
      <c r="B26" s="1219"/>
      <c r="C26" s="1219"/>
      <c r="D26" s="1219"/>
      <c r="E26" s="380"/>
      <c r="F26" s="372"/>
    </row>
    <row r="27" spans="1:6" s="261" customFormat="1">
      <c r="A27" s="372"/>
      <c r="B27" s="1218"/>
      <c r="C27" s="1218"/>
      <c r="D27" s="1218"/>
      <c r="E27" s="380"/>
      <c r="F27" s="372"/>
    </row>
    <row r="28" spans="1:6" s="261" customFormat="1">
      <c r="A28" s="372"/>
      <c r="B28" s="1218"/>
      <c r="C28" s="1218"/>
      <c r="D28" s="1218"/>
      <c r="E28" s="380"/>
      <c r="F28" s="372"/>
    </row>
    <row r="29" spans="1:6" s="261" customFormat="1">
      <c r="A29" s="372"/>
      <c r="B29" s="1218"/>
      <c r="C29" s="1218"/>
      <c r="D29" s="1218"/>
      <c r="E29" s="380"/>
      <c r="F29" s="372"/>
    </row>
    <row r="30" spans="1:6" s="261" customFormat="1">
      <c r="A30" s="372"/>
      <c r="B30" s="1218"/>
      <c r="C30" s="1218"/>
      <c r="D30" s="1218"/>
      <c r="E30" s="380"/>
      <c r="F30" s="372"/>
    </row>
    <row r="31" spans="1:6" s="261" customFormat="1">
      <c r="A31" s="372"/>
      <c r="B31" s="1218"/>
      <c r="C31" s="1218"/>
      <c r="D31" s="1218"/>
      <c r="E31" s="374"/>
      <c r="F31" s="372"/>
    </row>
    <row r="32" spans="1:6" s="261" customFormat="1" ht="30" customHeight="1">
      <c r="A32" s="712"/>
      <c r="B32" s="375"/>
      <c r="C32" s="375"/>
      <c r="D32" s="375"/>
      <c r="E32" s="375"/>
      <c r="F32" s="372"/>
    </row>
    <row r="33" spans="1:6" s="261" customFormat="1">
      <c r="A33" s="376"/>
      <c r="B33" s="377"/>
      <c r="C33" s="378"/>
      <c r="D33" s="379"/>
      <c r="E33" s="242"/>
      <c r="F33" s="372"/>
    </row>
    <row r="34" spans="1:6" s="261" customFormat="1">
      <c r="A34" s="372"/>
      <c r="B34" s="226"/>
      <c r="C34" s="226"/>
      <c r="D34" s="226"/>
      <c r="E34" s="226"/>
      <c r="F34" s="372"/>
    </row>
    <row r="35" spans="1:6" s="261" customFormat="1">
      <c r="A35" s="372"/>
      <c r="B35" s="1219"/>
      <c r="C35" s="1219"/>
      <c r="D35" s="1219"/>
      <c r="E35" s="380"/>
      <c r="F35" s="372"/>
    </row>
    <row r="36" spans="1:6" s="261" customFormat="1">
      <c r="A36" s="372"/>
      <c r="B36" s="1218"/>
      <c r="C36" s="1218"/>
      <c r="D36" s="1218"/>
      <c r="E36" s="380"/>
      <c r="F36" s="372"/>
    </row>
    <row r="37" spans="1:6" s="261" customFormat="1">
      <c r="A37" s="372"/>
      <c r="B37" s="1218"/>
      <c r="C37" s="1218"/>
      <c r="D37" s="1218"/>
      <c r="E37" s="380"/>
      <c r="F37" s="372"/>
    </row>
    <row r="38" spans="1:6" s="261" customFormat="1">
      <c r="A38" s="372"/>
      <c r="B38" s="1218"/>
      <c r="C38" s="1218"/>
      <c r="D38" s="1218"/>
      <c r="E38" s="380"/>
      <c r="F38" s="372"/>
    </row>
    <row r="39" spans="1:6" s="261" customFormat="1">
      <c r="A39" s="372"/>
      <c r="B39" s="1218"/>
      <c r="C39" s="1218"/>
      <c r="D39" s="1218"/>
      <c r="E39" s="380"/>
      <c r="F39" s="372"/>
    </row>
    <row r="40" spans="1:6" s="261" customFormat="1">
      <c r="A40" s="372"/>
      <c r="B40" s="1218"/>
      <c r="C40" s="1218"/>
      <c r="D40" s="1218"/>
      <c r="E40" s="374"/>
      <c r="F40" s="372"/>
    </row>
    <row r="41" spans="1:6" s="261" customFormat="1" ht="37.5" customHeight="1">
      <c r="A41" s="372"/>
      <c r="B41" s="373"/>
      <c r="C41" s="373"/>
      <c r="D41" s="373"/>
      <c r="E41" s="380"/>
      <c r="F41" s="372"/>
    </row>
    <row r="42" spans="1:6" ht="18">
      <c r="A42" s="713"/>
      <c r="B42" s="298" t="s">
        <v>712</v>
      </c>
      <c r="C42" s="301"/>
      <c r="D42" s="1104"/>
      <c r="E42" s="1105"/>
    </row>
    <row r="43" spans="1:6">
      <c r="A43" s="714"/>
      <c r="B43" s="300" t="s">
        <v>713</v>
      </c>
      <c r="C43" s="300"/>
      <c r="D43" s="316"/>
      <c r="E43" s="302" t="s">
        <v>13</v>
      </c>
    </row>
    <row r="44" spans="1:6">
      <c r="B44" s="57"/>
      <c r="C44" s="21"/>
      <c r="D44" s="21"/>
      <c r="E44" s="21"/>
      <c r="F44" s="801"/>
    </row>
    <row r="45" spans="1:6">
      <c r="B45" s="57"/>
      <c r="C45" s="21"/>
      <c r="D45" s="21"/>
      <c r="E45" s="21"/>
      <c r="F45" s="801"/>
    </row>
    <row r="46" spans="1:6">
      <c r="B46" s="57"/>
      <c r="C46" s="21"/>
      <c r="D46" s="21"/>
      <c r="E46" s="21"/>
      <c r="F46" s="801"/>
    </row>
    <row r="47" spans="1:6">
      <c r="B47" s="57"/>
      <c r="C47" s="21"/>
      <c r="D47" s="21"/>
      <c r="E47" s="21"/>
      <c r="F47" s="801"/>
    </row>
    <row r="48" spans="1:6">
      <c r="B48" s="57"/>
      <c r="C48" s="21"/>
      <c r="D48" s="21"/>
      <c r="E48" s="21"/>
      <c r="F48" s="801"/>
    </row>
    <row r="49" spans="2:6">
      <c r="B49" s="57"/>
      <c r="C49" s="21"/>
      <c r="D49" s="21"/>
      <c r="E49" s="21"/>
      <c r="F49" s="801"/>
    </row>
    <row r="50" spans="2:6">
      <c r="B50" s="57"/>
      <c r="C50" s="21"/>
      <c r="D50" s="21"/>
      <c r="E50" s="21"/>
      <c r="F50" s="801"/>
    </row>
    <row r="51" spans="2:6">
      <c r="B51" s="57"/>
      <c r="C51" s="21"/>
      <c r="D51" s="21"/>
      <c r="E51" s="21"/>
      <c r="F51" s="801"/>
    </row>
    <row r="52" spans="2:6">
      <c r="B52" s="57"/>
      <c r="C52" s="21"/>
      <c r="D52" s="21"/>
      <c r="E52" s="21"/>
      <c r="F52" s="801"/>
    </row>
    <row r="53" spans="2:6">
      <c r="B53" s="57"/>
      <c r="C53" s="21"/>
      <c r="D53" s="21"/>
      <c r="E53" s="21"/>
      <c r="F53" s="801"/>
    </row>
    <row r="54" spans="2:6">
      <c r="B54" s="57"/>
      <c r="C54" s="21"/>
      <c r="D54" s="21"/>
      <c r="E54" s="21"/>
      <c r="F54" s="801"/>
    </row>
    <row r="55" spans="2:6">
      <c r="B55" s="57"/>
      <c r="C55" s="21"/>
      <c r="D55" s="21"/>
      <c r="E55" s="21"/>
      <c r="F55" s="801"/>
    </row>
    <row r="56" spans="2:6">
      <c r="B56" s="57"/>
      <c r="C56" s="21"/>
      <c r="D56" s="21"/>
      <c r="E56" s="21"/>
      <c r="F56" s="801"/>
    </row>
    <row r="57" spans="2:6">
      <c r="B57" s="57"/>
      <c r="C57" s="21"/>
      <c r="D57" s="21"/>
      <c r="E57" s="21"/>
      <c r="F57" s="801"/>
    </row>
    <row r="58" spans="2:6">
      <c r="B58" s="57"/>
      <c r="C58" s="21"/>
      <c r="D58" s="21"/>
      <c r="E58" s="21"/>
      <c r="F58" s="801"/>
    </row>
    <row r="59" spans="2:6">
      <c r="B59" s="57"/>
      <c r="C59" s="21"/>
      <c r="D59" s="21"/>
      <c r="E59" s="21"/>
      <c r="F59" s="801"/>
    </row>
    <row r="60" spans="2:6">
      <c r="B60" s="57"/>
      <c r="C60" s="21"/>
      <c r="D60" s="21" t="s">
        <v>14</v>
      </c>
      <c r="E60" s="21"/>
      <c r="F60" s="801"/>
    </row>
    <row r="61" spans="2:6">
      <c r="B61" s="57"/>
      <c r="C61" s="21"/>
      <c r="D61" s="21" t="s">
        <v>15</v>
      </c>
      <c r="E61" s="21"/>
      <c r="F61" s="801"/>
    </row>
  </sheetData>
  <sheetProtection password="C0F1" sheet="1" formatCells="0" formatColumns="0" formatRows="0" insertColumns="0" insertRows="0"/>
  <customSheetViews>
    <customSheetView guid="{1F4AFEE5-5BDD-4100-B0E9-57B262CA123C}" scale="130" showPageBreaks="1" showGridLines="0" fitToPage="1" printArea="1" view="pageBreakPreview">
      <pageMargins left="0.45" right="0.45" top="0.5" bottom="0.3" header="0.3" footer="0.3"/>
      <printOptions horizontalCentered="1"/>
      <pageSetup orientation="portrait" r:id="rId1"/>
      <headerFooter>
        <oddFooter>&amp;C&amp;A</oddFooter>
      </headerFooter>
    </customSheetView>
  </customSheetViews>
  <mergeCells count="27">
    <mergeCell ref="B39:D39"/>
    <mergeCell ref="B40:D40"/>
    <mergeCell ref="D42:E42"/>
    <mergeCell ref="B30:D30"/>
    <mergeCell ref="B31:D31"/>
    <mergeCell ref="B35:D35"/>
    <mergeCell ref="B36:D36"/>
    <mergeCell ref="B37:D37"/>
    <mergeCell ref="B38:D38"/>
    <mergeCell ref="B29:D29"/>
    <mergeCell ref="B12:D12"/>
    <mergeCell ref="B13:D13"/>
    <mergeCell ref="B17:D17"/>
    <mergeCell ref="B18:D18"/>
    <mergeCell ref="B19:D19"/>
    <mergeCell ref="B20:D20"/>
    <mergeCell ref="B21:D21"/>
    <mergeCell ref="B22:D22"/>
    <mergeCell ref="B26:D26"/>
    <mergeCell ref="B27:D27"/>
    <mergeCell ref="B28:D28"/>
    <mergeCell ref="B11:D11"/>
    <mergeCell ref="C2:E2"/>
    <mergeCell ref="A4:E4"/>
    <mergeCell ref="B8:D8"/>
    <mergeCell ref="B9:D9"/>
    <mergeCell ref="B10:D10"/>
  </mergeCells>
  <dataValidations count="1">
    <dataValidation type="list" allowBlank="1" showInputMessage="1" showErrorMessage="1" prompt="This field is to be used when filing under seal." sqref="D42:E42">
      <formula1>$D$59:$D$61</formula1>
    </dataValidation>
  </dataValidations>
  <printOptions horizontalCentered="1"/>
  <pageMargins left="0.45" right="0.45" top="0.5" bottom="0.3" header="0.3" footer="0.3"/>
  <pageSetup orientation="portrait" r:id="rId2"/>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showGridLines="0" zoomScaleNormal="100" zoomScaleSheetLayoutView="100" workbookViewId="0"/>
  </sheetViews>
  <sheetFormatPr defaultRowHeight="15"/>
  <cols>
    <col min="1" max="1" width="3.5703125" style="117" bestFit="1" customWidth="1"/>
    <col min="2" max="2" width="16" style="265" customWidth="1"/>
    <col min="3" max="3" width="24.7109375" style="316" customWidth="1"/>
    <col min="4" max="4" width="12.7109375" style="316" customWidth="1"/>
    <col min="5" max="5" width="14.42578125" style="316" customWidth="1"/>
    <col min="6" max="6" width="14.140625" style="265" customWidth="1"/>
    <col min="7" max="7" width="18.42578125" style="265" customWidth="1"/>
    <col min="8" max="8" width="9.140625" style="265"/>
    <col min="9" max="16384" width="9.140625" style="316"/>
  </cols>
  <sheetData>
    <row r="1" spans="1:8" s="21" customFormat="1" ht="12.75">
      <c r="A1" s="117">
        <v>1</v>
      </c>
      <c r="C1" s="57"/>
      <c r="D1" s="57"/>
      <c r="E1" s="57"/>
      <c r="F1" s="285" t="s">
        <v>149</v>
      </c>
      <c r="G1" s="303">
        <f>IF(Cover!D13&gt;0,Cover!D13, "")</f>
        <v>2011</v>
      </c>
    </row>
    <row r="2" spans="1:8" s="21" customFormat="1" ht="12.75">
      <c r="A2" s="117">
        <v>2</v>
      </c>
      <c r="B2" s="57" t="s">
        <v>150</v>
      </c>
      <c r="C2" s="1203" t="str">
        <f>IF(Cover!A1&gt;0, Cover!A1, "")</f>
        <v>Algonquin Water Resources of Missouri, LLC dba Liberty Utilities</v>
      </c>
      <c r="D2" s="1203"/>
      <c r="E2" s="1203"/>
      <c r="F2" s="1203"/>
      <c r="G2" s="1203"/>
    </row>
    <row r="3" spans="1:8" s="21" customFormat="1" ht="8.1" customHeight="1">
      <c r="A3" s="117"/>
      <c r="B3" s="1170"/>
      <c r="C3" s="1170"/>
      <c r="D3" s="1170"/>
      <c r="E3" s="1170"/>
      <c r="F3" s="1170"/>
      <c r="G3" s="1170"/>
    </row>
    <row r="4" spans="1:8">
      <c r="B4" s="1171" t="s">
        <v>294</v>
      </c>
      <c r="C4" s="1171"/>
      <c r="D4" s="1171"/>
      <c r="E4" s="1171"/>
      <c r="F4" s="1171"/>
      <c r="G4" s="1171"/>
      <c r="H4" s="70"/>
    </row>
    <row r="5" spans="1:8" ht="15.75" thickBot="1">
      <c r="B5" s="1333" t="s">
        <v>295</v>
      </c>
      <c r="C5" s="1333"/>
      <c r="D5" s="1333"/>
      <c r="E5" s="1333"/>
      <c r="F5" s="1333"/>
      <c r="G5" s="1333"/>
      <c r="H5" s="327"/>
    </row>
    <row r="6" spans="1:8" ht="32.25" customHeight="1">
      <c r="B6" s="1336" t="s">
        <v>193</v>
      </c>
      <c r="C6" s="1337"/>
      <c r="D6" s="1342" t="s">
        <v>591</v>
      </c>
      <c r="E6" s="1343"/>
      <c r="F6" s="1334" t="s">
        <v>592</v>
      </c>
      <c r="G6" s="1340" t="s">
        <v>593</v>
      </c>
      <c r="H6" s="316"/>
    </row>
    <row r="7" spans="1:8" ht="45.75" thickBot="1">
      <c r="B7" s="1338"/>
      <c r="C7" s="1339"/>
      <c r="D7" s="493" t="s">
        <v>594</v>
      </c>
      <c r="E7" s="493" t="s">
        <v>595</v>
      </c>
      <c r="F7" s="1335"/>
      <c r="G7" s="1341"/>
      <c r="H7" s="316"/>
    </row>
    <row r="8" spans="1:8" ht="15" customHeight="1">
      <c r="B8" s="1326" t="s">
        <v>296</v>
      </c>
      <c r="C8" s="1327"/>
      <c r="D8" s="494"/>
      <c r="E8" s="494"/>
      <c r="F8" s="495"/>
      <c r="G8" s="496"/>
      <c r="H8" s="316"/>
    </row>
    <row r="9" spans="1:8" ht="23.1" customHeight="1">
      <c r="A9" s="117">
        <v>3</v>
      </c>
      <c r="B9" s="1328" t="s">
        <v>298</v>
      </c>
      <c r="C9" s="1329"/>
      <c r="D9" s="249">
        <v>653</v>
      </c>
      <c r="E9" s="249">
        <v>1773</v>
      </c>
      <c r="F9" s="749" t="s">
        <v>297</v>
      </c>
      <c r="G9" s="250">
        <f>245668.41+252.01+47.99</f>
        <v>245968.41</v>
      </c>
      <c r="H9" s="316"/>
    </row>
    <row r="10" spans="1:8" ht="23.1" customHeight="1">
      <c r="A10" s="117">
        <v>4</v>
      </c>
      <c r="B10" s="488" t="s">
        <v>299</v>
      </c>
      <c r="C10" s="265"/>
      <c r="D10" s="251"/>
      <c r="E10" s="251"/>
      <c r="F10" s="750" t="s">
        <v>297</v>
      </c>
      <c r="G10" s="250"/>
      <c r="H10" s="316"/>
    </row>
    <row r="11" spans="1:8" ht="23.1" customHeight="1">
      <c r="A11" s="117">
        <v>5</v>
      </c>
      <c r="B11" s="488" t="s">
        <v>300</v>
      </c>
      <c r="C11" s="265"/>
      <c r="D11" s="251"/>
      <c r="E11" s="251"/>
      <c r="F11" s="750" t="s">
        <v>297</v>
      </c>
      <c r="G11" s="250"/>
      <c r="H11" s="316"/>
    </row>
    <row r="12" spans="1:8" ht="23.1" customHeight="1">
      <c r="A12" s="117">
        <v>6</v>
      </c>
      <c r="B12" s="488" t="s">
        <v>301</v>
      </c>
      <c r="C12" s="265"/>
      <c r="D12" s="251">
        <v>11</v>
      </c>
      <c r="E12" s="251">
        <v>103</v>
      </c>
      <c r="F12" s="750" t="s">
        <v>297</v>
      </c>
      <c r="G12" s="250">
        <v>107335.98</v>
      </c>
      <c r="H12" s="316"/>
    </row>
    <row r="13" spans="1:8" ht="23.1" customHeight="1">
      <c r="A13" s="117">
        <v>7</v>
      </c>
      <c r="B13" s="488" t="s">
        <v>302</v>
      </c>
      <c r="C13" s="265"/>
      <c r="D13" s="251"/>
      <c r="E13" s="251"/>
      <c r="F13" s="750" t="s">
        <v>297</v>
      </c>
      <c r="G13" s="250"/>
      <c r="H13" s="316"/>
    </row>
    <row r="14" spans="1:8" ht="23.1" customHeight="1">
      <c r="A14" s="117">
        <v>8</v>
      </c>
      <c r="B14" s="488" t="s">
        <v>757</v>
      </c>
      <c r="C14" s="265"/>
      <c r="D14" s="251"/>
      <c r="E14" s="251"/>
      <c r="F14" s="750" t="s">
        <v>297</v>
      </c>
      <c r="G14" s="250"/>
      <c r="H14" s="316"/>
    </row>
    <row r="15" spans="1:8" ht="23.1" customHeight="1" thickBot="1">
      <c r="A15" s="117">
        <v>9</v>
      </c>
      <c r="B15" s="488" t="s">
        <v>303</v>
      </c>
      <c r="C15" s="265"/>
      <c r="D15" s="498">
        <f>SUM(D8:D14)</f>
        <v>664</v>
      </c>
      <c r="E15" s="498">
        <f>SUM(E8:E14)</f>
        <v>1876</v>
      </c>
      <c r="F15" s="499"/>
      <c r="G15" s="500">
        <f>SUM(G8:G14)</f>
        <v>353304.39</v>
      </c>
      <c r="H15" s="316"/>
    </row>
    <row r="16" spans="1:8" ht="23.1" customHeight="1" thickTop="1">
      <c r="B16" s="485" t="s">
        <v>304</v>
      </c>
      <c r="C16" s="486"/>
      <c r="D16" s="715"/>
      <c r="E16" s="715"/>
      <c r="F16" s="497"/>
      <c r="G16" s="716"/>
      <c r="H16" s="316"/>
    </row>
    <row r="17" spans="1:8" ht="23.1" customHeight="1">
      <c r="A17" s="117">
        <v>10</v>
      </c>
      <c r="B17" s="488" t="s">
        <v>305</v>
      </c>
      <c r="C17" s="265"/>
      <c r="D17" s="251">
        <v>653</v>
      </c>
      <c r="E17" s="251">
        <v>1734</v>
      </c>
      <c r="F17" s="251">
        <f>2626600+20143600+4736096+5037000+4325000</f>
        <v>36868296</v>
      </c>
      <c r="G17" s="250">
        <v>116096.04</v>
      </c>
      <c r="H17" s="316"/>
    </row>
    <row r="18" spans="1:8" ht="23.1" customHeight="1">
      <c r="A18" s="117">
        <v>11</v>
      </c>
      <c r="B18" s="488" t="s">
        <v>306</v>
      </c>
      <c r="C18" s="265"/>
      <c r="D18" s="251"/>
      <c r="E18" s="251"/>
      <c r="F18" s="251"/>
      <c r="G18" s="250"/>
      <c r="H18" s="316"/>
    </row>
    <row r="19" spans="1:8" ht="23.1" customHeight="1">
      <c r="A19" s="117">
        <v>12</v>
      </c>
      <c r="B19" s="488" t="s">
        <v>307</v>
      </c>
      <c r="C19" s="265"/>
      <c r="D19" s="251">
        <v>21</v>
      </c>
      <c r="E19" s="251">
        <v>39</v>
      </c>
      <c r="F19" s="251">
        <f>12243500+6202300+6480700-12725804</f>
        <v>12200696</v>
      </c>
      <c r="G19" s="250">
        <f>71704.39-36268.54</f>
        <v>35435.85</v>
      </c>
      <c r="H19" s="316"/>
    </row>
    <row r="20" spans="1:8" ht="23.1" customHeight="1">
      <c r="A20" s="117">
        <v>13</v>
      </c>
      <c r="B20" s="488" t="s">
        <v>308</v>
      </c>
      <c r="C20" s="265"/>
      <c r="D20" s="251"/>
      <c r="E20" s="251"/>
      <c r="F20" s="251"/>
      <c r="G20" s="250"/>
      <c r="H20" s="316"/>
    </row>
    <row r="21" spans="1:8" ht="23.1" customHeight="1">
      <c r="A21" s="117">
        <v>14</v>
      </c>
      <c r="B21" s="488" t="s">
        <v>309</v>
      </c>
      <c r="C21" s="265"/>
      <c r="D21" s="251">
        <v>93</v>
      </c>
      <c r="E21" s="251">
        <v>103</v>
      </c>
      <c r="F21" s="251">
        <v>12725804</v>
      </c>
      <c r="G21" s="250">
        <v>36268.54</v>
      </c>
      <c r="H21" s="316"/>
    </row>
    <row r="22" spans="1:8" ht="23.1" customHeight="1">
      <c r="A22" s="117">
        <v>15</v>
      </c>
      <c r="B22" s="488" t="s">
        <v>757</v>
      </c>
      <c r="C22" s="265"/>
      <c r="D22" s="251"/>
      <c r="E22" s="251"/>
      <c r="F22" s="251"/>
      <c r="G22" s="250"/>
      <c r="H22" s="316"/>
    </row>
    <row r="23" spans="1:8" ht="23.1" customHeight="1" thickBot="1">
      <c r="A23" s="117">
        <v>16</v>
      </c>
      <c r="B23" s="488" t="s">
        <v>310</v>
      </c>
      <c r="C23" s="265"/>
      <c r="D23" s="498">
        <f>SUM(D17:D22)</f>
        <v>767</v>
      </c>
      <c r="E23" s="498">
        <f>SUM(E17:E22)</f>
        <v>1876</v>
      </c>
      <c r="F23" s="498">
        <f>SUM(F17:F22)</f>
        <v>61794796</v>
      </c>
      <c r="G23" s="500">
        <f>SUM(G16:G22)</f>
        <v>187800.43</v>
      </c>
      <c r="H23" s="316"/>
    </row>
    <row r="24" spans="1:8" ht="23.1" customHeight="1" thickTop="1">
      <c r="B24" s="485" t="s">
        <v>311</v>
      </c>
      <c r="C24" s="486"/>
      <c r="D24" s="501"/>
      <c r="E24" s="501"/>
      <c r="F24" s="501"/>
      <c r="G24" s="250"/>
      <c r="H24" s="316"/>
    </row>
    <row r="25" spans="1:8" ht="23.1" customHeight="1">
      <c r="A25" s="117">
        <v>17</v>
      </c>
      <c r="B25" s="488" t="s">
        <v>312</v>
      </c>
      <c r="C25" s="265"/>
      <c r="D25" s="265"/>
      <c r="E25" s="265"/>
      <c r="G25" s="250">
        <v>844.51</v>
      </c>
      <c r="H25" s="316"/>
    </row>
    <row r="26" spans="1:8" ht="23.1" customHeight="1">
      <c r="A26" s="117">
        <v>18</v>
      </c>
      <c r="B26" s="488" t="s">
        <v>313</v>
      </c>
      <c r="C26" s="265"/>
      <c r="D26" s="265"/>
      <c r="E26" s="265"/>
      <c r="G26" s="250"/>
      <c r="H26" s="316"/>
    </row>
    <row r="27" spans="1:8" ht="23.1" customHeight="1">
      <c r="A27" s="117">
        <v>19</v>
      </c>
      <c r="B27" s="488" t="s">
        <v>314</v>
      </c>
      <c r="C27" s="265"/>
      <c r="D27" s="265"/>
      <c r="E27" s="265"/>
      <c r="G27" s="250">
        <v>400</v>
      </c>
      <c r="H27" s="316"/>
    </row>
    <row r="28" spans="1:8" ht="23.1" customHeight="1">
      <c r="A28" s="117">
        <v>20</v>
      </c>
      <c r="B28" s="488" t="s">
        <v>315</v>
      </c>
      <c r="C28" s="265"/>
      <c r="D28" s="265"/>
      <c r="E28" s="265"/>
      <c r="G28" s="250"/>
      <c r="H28" s="316"/>
    </row>
    <row r="29" spans="1:8" ht="23.1" customHeight="1">
      <c r="A29" s="117">
        <v>21</v>
      </c>
      <c r="B29" s="488" t="s">
        <v>758</v>
      </c>
      <c r="C29" s="265"/>
      <c r="D29" s="265"/>
      <c r="E29" s="265"/>
      <c r="G29" s="252"/>
      <c r="H29" s="316"/>
    </row>
    <row r="30" spans="1:8" ht="23.1" customHeight="1">
      <c r="A30" s="117">
        <v>22</v>
      </c>
      <c r="B30" s="488" t="s">
        <v>759</v>
      </c>
      <c r="C30" s="265"/>
      <c r="D30" s="265"/>
      <c r="E30" s="265"/>
      <c r="G30" s="248"/>
      <c r="H30" s="316"/>
    </row>
    <row r="31" spans="1:8" ht="23.1" customHeight="1">
      <c r="A31" s="117">
        <v>23</v>
      </c>
      <c r="B31" s="488" t="s">
        <v>648</v>
      </c>
      <c r="C31" s="265"/>
      <c r="D31" s="265"/>
      <c r="E31" s="265"/>
      <c r="G31" s="500">
        <f>SUM(G25:G30)</f>
        <v>1244.51</v>
      </c>
      <c r="H31" s="316"/>
    </row>
    <row r="32" spans="1:8" ht="22.5" customHeight="1" thickBot="1">
      <c r="A32" s="117">
        <v>24</v>
      </c>
      <c r="B32" s="1323" t="s">
        <v>691</v>
      </c>
      <c r="C32" s="1324"/>
      <c r="D32" s="1324"/>
      <c r="E32" s="1324"/>
      <c r="F32" s="1325"/>
      <c r="G32" s="500">
        <f>SUM(G15+G23+G31)</f>
        <v>542349.33000000007</v>
      </c>
      <c r="H32" s="316"/>
    </row>
    <row r="33" spans="1:8" ht="14.25" customHeight="1" thickTop="1" thickBot="1">
      <c r="B33" s="1330"/>
      <c r="C33" s="1331"/>
      <c r="D33" s="1331"/>
      <c r="E33" s="1331"/>
      <c r="F33" s="1331"/>
      <c r="G33" s="441" t="s">
        <v>228</v>
      </c>
      <c r="H33" s="316"/>
    </row>
    <row r="34" spans="1:8" ht="12.75" customHeight="1">
      <c r="A34" s="502" t="s">
        <v>400</v>
      </c>
      <c r="B34" s="1332" t="s">
        <v>760</v>
      </c>
      <c r="C34" s="1332"/>
      <c r="D34" s="1332"/>
      <c r="E34" s="1332"/>
      <c r="F34" s="264"/>
      <c r="G34" s="447"/>
      <c r="H34" s="316"/>
    </row>
    <row r="35" spans="1:8" s="244" customFormat="1" ht="18">
      <c r="A35" s="274"/>
      <c r="B35" s="275" t="s">
        <v>712</v>
      </c>
      <c r="F35" s="1104"/>
      <c r="G35" s="1105"/>
      <c r="H35" s="253"/>
    </row>
    <row r="36" spans="1:8" s="244" customFormat="1" ht="12" customHeight="1">
      <c r="A36" s="276"/>
      <c r="B36" s="277" t="s">
        <v>713</v>
      </c>
      <c r="F36" s="1231" t="s">
        <v>13</v>
      </c>
      <c r="G36" s="1231"/>
      <c r="H36" s="253"/>
    </row>
    <row r="37" spans="1:8" s="244" customFormat="1">
      <c r="A37" s="92"/>
      <c r="B37" s="253"/>
      <c r="H37" s="253"/>
    </row>
    <row r="38" spans="1:8" s="244" customFormat="1">
      <c r="A38" s="92"/>
      <c r="B38" s="253"/>
      <c r="F38" s="17"/>
      <c r="G38" s="17"/>
      <c r="H38" s="253"/>
    </row>
    <row r="39" spans="1:8" s="244" customFormat="1">
      <c r="A39" s="92"/>
      <c r="B39" s="253"/>
      <c r="F39" s="17"/>
      <c r="G39" s="17"/>
      <c r="H39" s="253"/>
    </row>
    <row r="40" spans="1:8" s="244" customFormat="1">
      <c r="A40" s="92"/>
      <c r="B40" s="253"/>
      <c r="F40" s="17"/>
      <c r="G40" s="17"/>
      <c r="H40" s="253"/>
    </row>
    <row r="41" spans="1:8" s="244" customFormat="1">
      <c r="A41" s="92"/>
      <c r="B41" s="253"/>
      <c r="F41" s="17"/>
      <c r="G41" s="17"/>
      <c r="H41" s="253"/>
    </row>
    <row r="42" spans="1:8">
      <c r="F42" s="21"/>
      <c r="G42" s="21"/>
    </row>
    <row r="43" spans="1:8">
      <c r="F43" s="21"/>
      <c r="G43" s="21"/>
    </row>
    <row r="44" spans="1:8">
      <c r="F44" s="21"/>
      <c r="G44" s="21"/>
    </row>
    <row r="45" spans="1:8">
      <c r="F45" s="21"/>
      <c r="G45" s="21"/>
    </row>
    <row r="46" spans="1:8">
      <c r="F46" s="21"/>
      <c r="G46" s="21"/>
    </row>
    <row r="47" spans="1:8">
      <c r="F47" s="21"/>
      <c r="G47" s="21"/>
    </row>
    <row r="48" spans="1:8">
      <c r="F48" s="21"/>
      <c r="G48" s="21"/>
    </row>
    <row r="49" spans="6:7">
      <c r="F49" s="21"/>
      <c r="G49" s="21"/>
    </row>
    <row r="50" spans="6:7">
      <c r="F50" s="21"/>
      <c r="G50" s="21"/>
    </row>
    <row r="51" spans="6:7">
      <c r="F51" s="21"/>
      <c r="G51" s="21"/>
    </row>
    <row r="52" spans="6:7">
      <c r="F52" s="21"/>
      <c r="G52" s="21"/>
    </row>
    <row r="53" spans="6:7">
      <c r="F53" s="21"/>
      <c r="G53" s="21"/>
    </row>
    <row r="54" spans="6:7">
      <c r="F54" s="21"/>
      <c r="G54" s="21"/>
    </row>
    <row r="55" spans="6:7">
      <c r="F55" s="316"/>
      <c r="G55" s="316"/>
    </row>
    <row r="56" spans="6:7">
      <c r="F56" s="316"/>
      <c r="G56" s="316"/>
    </row>
    <row r="57" spans="6:7">
      <c r="F57" s="21"/>
      <c r="G57" s="21"/>
    </row>
    <row r="62" spans="6:7">
      <c r="F62" s="21"/>
    </row>
    <row r="63" spans="6:7">
      <c r="F63" s="21" t="s">
        <v>14</v>
      </c>
    </row>
    <row r="64" spans="6:7">
      <c r="F64" s="21" t="s">
        <v>15</v>
      </c>
    </row>
  </sheetData>
  <sheetProtection password="C0F1" sheet="1" formatCells="0" formatColumns="0" formatRows="0" insertColumns="0" insertRows="0"/>
  <customSheetViews>
    <customSheetView guid="{1F4AFEE5-5BDD-4100-B0E9-57B262CA123C}" scale="130" showPageBreaks="1" showGridLines="0" fitToPage="1" printArea="1" view="pageBreakPreview" topLeftCell="A19">
      <selection activeCell="C10" sqref="C10"/>
      <pageMargins left="0.5" right="0.5" top="0.5" bottom="0.25" header="0.3" footer="0.3"/>
      <printOptions horizontalCentered="1"/>
      <pageSetup scale="92" orientation="portrait" r:id="rId1"/>
      <headerFooter>
        <oddFooter>&amp;C&amp;A</oddFooter>
      </headerFooter>
    </customSheetView>
  </customSheetViews>
  <mergeCells count="15">
    <mergeCell ref="B3:G3"/>
    <mergeCell ref="B4:G4"/>
    <mergeCell ref="B5:G5"/>
    <mergeCell ref="C2:G2"/>
    <mergeCell ref="F6:F7"/>
    <mergeCell ref="B6:C7"/>
    <mergeCell ref="G6:G7"/>
    <mergeCell ref="D6:E6"/>
    <mergeCell ref="F35:G35"/>
    <mergeCell ref="F36:G36"/>
    <mergeCell ref="B32:F32"/>
    <mergeCell ref="B8:C8"/>
    <mergeCell ref="B9:C9"/>
    <mergeCell ref="B33:F33"/>
    <mergeCell ref="B34:E34"/>
  </mergeCells>
  <dataValidations count="1">
    <dataValidation type="list" allowBlank="1" showInputMessage="1" prompt="This field is to be used when filing under seal." sqref="F35:G35">
      <formula1>$F$62:$F$64</formula1>
    </dataValidation>
  </dataValidations>
  <printOptions horizontalCentered="1"/>
  <pageMargins left="0.5" right="0.5" top="0.5" bottom="0.25" header="0.3" footer="0.3"/>
  <pageSetup scale="91" orientation="portrait" r:id="rId2"/>
  <headerFooter>
    <oddFooter>&amp;C&amp;A</oddFooter>
  </headerFooter>
  <ignoredErrors>
    <ignoredError sqref="D15:E15" unlockedFormula="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
  <sheetViews>
    <sheetView showGridLines="0" zoomScaleNormal="100" zoomScaleSheetLayoutView="100" workbookViewId="0"/>
  </sheetViews>
  <sheetFormatPr defaultRowHeight="15"/>
  <cols>
    <col min="1" max="1" width="3.85546875" style="706" customWidth="1"/>
    <col min="2" max="2" width="17.5703125" style="329" customWidth="1"/>
    <col min="3" max="3" width="47" style="329" customWidth="1"/>
    <col min="4" max="4" width="20.140625" style="329" customWidth="1"/>
    <col min="5" max="5" width="16.28515625" style="329" bestFit="1" customWidth="1"/>
    <col min="6" max="6" width="3.42578125" style="384" customWidth="1"/>
    <col min="7" max="16384" width="9.140625" style="329"/>
  </cols>
  <sheetData>
    <row r="1" spans="1:6">
      <c r="A1" s="328">
        <v>1</v>
      </c>
      <c r="B1" s="21"/>
      <c r="C1" s="21"/>
      <c r="D1" s="285" t="s">
        <v>149</v>
      </c>
      <c r="E1" s="303">
        <f>IF(Cover!D13&gt;0, Cover!D13,"")</f>
        <v>2011</v>
      </c>
    </row>
    <row r="2" spans="1:6">
      <c r="A2" s="328">
        <v>2</v>
      </c>
      <c r="B2" s="57" t="s">
        <v>150</v>
      </c>
      <c r="C2" s="1203" t="str">
        <f>IF(Cover!A1&gt;0, Cover!A1, "")</f>
        <v>Algonquin Water Resources of Missouri, LLC dba Liberty Utilities</v>
      </c>
      <c r="D2" s="1203"/>
      <c r="E2" s="1203"/>
    </row>
    <row r="3" spans="1:6" ht="12.75" customHeight="1">
      <c r="A3" s="328"/>
      <c r="B3" s="57"/>
      <c r="C3" s="57"/>
      <c r="D3" s="61"/>
      <c r="E3" s="61"/>
    </row>
    <row r="4" spans="1:6">
      <c r="A4" s="1171" t="s">
        <v>816</v>
      </c>
      <c r="B4" s="1171"/>
      <c r="C4" s="1171"/>
      <c r="D4" s="1171"/>
      <c r="E4" s="1171"/>
    </row>
    <row r="5" spans="1:6">
      <c r="A5" s="304"/>
      <c r="B5" s="304"/>
      <c r="C5" s="304"/>
      <c r="D5" s="304"/>
      <c r="E5" s="304"/>
    </row>
    <row r="6" spans="1:6">
      <c r="A6" s="330">
        <v>3</v>
      </c>
      <c r="B6" s="331" t="s">
        <v>674</v>
      </c>
      <c r="C6" s="332" t="s">
        <v>798</v>
      </c>
      <c r="D6" s="800">
        <f>'Page W-2'!G14</f>
        <v>0</v>
      </c>
      <c r="E6" s="324"/>
    </row>
    <row r="7" spans="1:6">
      <c r="A7" s="333" t="s">
        <v>170</v>
      </c>
      <c r="B7" s="334" t="s">
        <v>655</v>
      </c>
      <c r="C7" s="334"/>
      <c r="D7" s="334"/>
      <c r="E7" s="334" t="s">
        <v>654</v>
      </c>
      <c r="F7" s="384" t="s">
        <v>170</v>
      </c>
    </row>
    <row r="8" spans="1:6">
      <c r="A8" s="353"/>
      <c r="B8" s="1213"/>
      <c r="C8" s="1214"/>
      <c r="D8" s="1215"/>
      <c r="E8" s="798"/>
      <c r="F8" s="353"/>
    </row>
    <row r="9" spans="1:6">
      <c r="A9" s="94"/>
      <c r="B9" s="1213"/>
      <c r="C9" s="1214"/>
      <c r="D9" s="1215"/>
      <c r="E9" s="798"/>
      <c r="F9" s="94"/>
    </row>
    <row r="10" spans="1:6">
      <c r="A10" s="94"/>
      <c r="B10" s="1213"/>
      <c r="C10" s="1214"/>
      <c r="D10" s="1215"/>
      <c r="E10" s="798"/>
      <c r="F10" s="94"/>
    </row>
    <row r="11" spans="1:6">
      <c r="A11" s="94"/>
      <c r="B11" s="1213"/>
      <c r="C11" s="1214"/>
      <c r="D11" s="1215"/>
      <c r="E11" s="798"/>
      <c r="F11" s="94"/>
    </row>
    <row r="12" spans="1:6">
      <c r="A12" s="94"/>
      <c r="B12" s="1213"/>
      <c r="C12" s="1214"/>
      <c r="D12" s="1215"/>
      <c r="E12" s="798"/>
      <c r="F12" s="94"/>
    </row>
    <row r="13" spans="1:6">
      <c r="A13" s="354"/>
      <c r="B13" s="1207" t="s">
        <v>675</v>
      </c>
      <c r="C13" s="1208"/>
      <c r="D13" s="1209"/>
      <c r="E13" s="799">
        <f>SUM(E8:E12)</f>
        <v>0</v>
      </c>
      <c r="F13" s="354"/>
    </row>
    <row r="14" spans="1:6" ht="30" customHeight="1">
      <c r="A14" s="333"/>
      <c r="B14" s="62"/>
      <c r="C14" s="62"/>
      <c r="D14" s="335"/>
      <c r="E14" s="337"/>
    </row>
    <row r="15" spans="1:6">
      <c r="A15" s="330">
        <v>4</v>
      </c>
      <c r="B15" s="331" t="s">
        <v>676</v>
      </c>
      <c r="C15" s="332" t="s">
        <v>798</v>
      </c>
      <c r="D15" s="800">
        <f>'Page W-2'!G22</f>
        <v>0</v>
      </c>
      <c r="E15" s="324"/>
    </row>
    <row r="16" spans="1:6">
      <c r="A16" s="333" t="s">
        <v>170</v>
      </c>
      <c r="B16" s="334" t="s">
        <v>655</v>
      </c>
      <c r="C16" s="334"/>
      <c r="D16" s="334"/>
      <c r="E16" s="334" t="s">
        <v>654</v>
      </c>
      <c r="F16" s="384" t="s">
        <v>170</v>
      </c>
    </row>
    <row r="17" spans="1:6">
      <c r="A17" s="353"/>
      <c r="B17" s="1213"/>
      <c r="C17" s="1214"/>
      <c r="D17" s="1215"/>
      <c r="E17" s="798"/>
      <c r="F17" s="353"/>
    </row>
    <row r="18" spans="1:6">
      <c r="A18" s="94"/>
      <c r="B18" s="1213"/>
      <c r="C18" s="1214"/>
      <c r="D18" s="1215"/>
      <c r="E18" s="798"/>
      <c r="F18" s="94"/>
    </row>
    <row r="19" spans="1:6">
      <c r="A19" s="94"/>
      <c r="B19" s="1213"/>
      <c r="C19" s="1214"/>
      <c r="D19" s="1215"/>
      <c r="E19" s="798"/>
      <c r="F19" s="94"/>
    </row>
    <row r="20" spans="1:6">
      <c r="A20" s="94"/>
      <c r="B20" s="1213"/>
      <c r="C20" s="1214"/>
      <c r="D20" s="1215"/>
      <c r="E20" s="798"/>
      <c r="F20" s="94"/>
    </row>
    <row r="21" spans="1:6">
      <c r="A21" s="94"/>
      <c r="B21" s="1213"/>
      <c r="C21" s="1214"/>
      <c r="D21" s="1215"/>
      <c r="E21" s="798"/>
      <c r="F21" s="94"/>
    </row>
    <row r="22" spans="1:6">
      <c r="A22" s="354"/>
      <c r="B22" s="1207" t="s">
        <v>677</v>
      </c>
      <c r="C22" s="1208"/>
      <c r="D22" s="1209"/>
      <c r="E22" s="799">
        <f>SUM(E17:E21)</f>
        <v>0</v>
      </c>
      <c r="F22" s="354"/>
    </row>
    <row r="23" spans="1:6" ht="30" customHeight="1"/>
    <row r="24" spans="1:6">
      <c r="A24" s="330">
        <v>5</v>
      </c>
      <c r="B24" s="331" t="s">
        <v>653</v>
      </c>
      <c r="C24" s="503" t="s">
        <v>806</v>
      </c>
      <c r="D24" s="800">
        <f>'Page W-2'!G29</f>
        <v>0</v>
      </c>
      <c r="E24" s="324"/>
    </row>
    <row r="25" spans="1:6">
      <c r="A25" s="333" t="s">
        <v>170</v>
      </c>
      <c r="B25" s="334" t="s">
        <v>655</v>
      </c>
      <c r="C25" s="334"/>
      <c r="D25" s="334"/>
      <c r="E25" s="334" t="s">
        <v>654</v>
      </c>
      <c r="F25" s="384" t="s">
        <v>170</v>
      </c>
    </row>
    <row r="26" spans="1:6">
      <c r="A26" s="353"/>
      <c r="B26" s="1213"/>
      <c r="C26" s="1214"/>
      <c r="D26" s="1215"/>
      <c r="E26" s="798"/>
      <c r="F26" s="353"/>
    </row>
    <row r="27" spans="1:6">
      <c r="A27" s="94"/>
      <c r="B27" s="1213"/>
      <c r="C27" s="1214"/>
      <c r="D27" s="1215"/>
      <c r="E27" s="798"/>
      <c r="F27" s="94"/>
    </row>
    <row r="28" spans="1:6">
      <c r="A28" s="94"/>
      <c r="B28" s="1213"/>
      <c r="C28" s="1214"/>
      <c r="D28" s="1215"/>
      <c r="E28" s="798"/>
      <c r="F28" s="94"/>
    </row>
    <row r="29" spans="1:6">
      <c r="A29" s="94"/>
      <c r="B29" s="1213"/>
      <c r="C29" s="1214"/>
      <c r="D29" s="1215"/>
      <c r="E29" s="798"/>
      <c r="F29" s="94"/>
    </row>
    <row r="30" spans="1:6">
      <c r="A30" s="94"/>
      <c r="B30" s="1213"/>
      <c r="C30" s="1214"/>
      <c r="D30" s="1215"/>
      <c r="E30" s="798"/>
      <c r="F30" s="94"/>
    </row>
    <row r="31" spans="1:6">
      <c r="A31" s="354"/>
      <c r="B31" s="1207" t="s">
        <v>679</v>
      </c>
      <c r="C31" s="1208"/>
      <c r="D31" s="1209"/>
      <c r="E31" s="799">
        <f>SUM(E26:E30)</f>
        <v>0</v>
      </c>
      <c r="F31" s="354"/>
    </row>
    <row r="32" spans="1:6" ht="30" customHeight="1"/>
    <row r="33" spans="1:6">
      <c r="A33" s="330">
        <v>5</v>
      </c>
      <c r="B33" s="331" t="s">
        <v>680</v>
      </c>
      <c r="C33" s="332" t="s">
        <v>799</v>
      </c>
      <c r="D33" s="800">
        <f>'Page W-2'!G31</f>
        <v>1244.51</v>
      </c>
      <c r="E33" s="324"/>
    </row>
    <row r="34" spans="1:6">
      <c r="A34" s="333" t="s">
        <v>170</v>
      </c>
      <c r="B34" s="334" t="s">
        <v>655</v>
      </c>
      <c r="C34" s="334"/>
      <c r="D34" s="334"/>
      <c r="E34" s="334" t="s">
        <v>654</v>
      </c>
      <c r="F34" s="384" t="s">
        <v>170</v>
      </c>
    </row>
    <row r="35" spans="1:6">
      <c r="A35" s="353"/>
      <c r="B35" s="1213"/>
      <c r="C35" s="1214"/>
      <c r="D35" s="1215"/>
      <c r="E35" s="798"/>
      <c r="F35" s="353"/>
    </row>
    <row r="36" spans="1:6">
      <c r="A36" s="94"/>
      <c r="B36" s="1213"/>
      <c r="C36" s="1214"/>
      <c r="D36" s="1215"/>
      <c r="E36" s="798"/>
      <c r="F36" s="94"/>
    </row>
    <row r="37" spans="1:6">
      <c r="A37" s="94"/>
      <c r="B37" s="1213"/>
      <c r="C37" s="1214"/>
      <c r="D37" s="1215"/>
      <c r="E37" s="798"/>
      <c r="F37" s="94"/>
    </row>
    <row r="38" spans="1:6">
      <c r="A38" s="94"/>
      <c r="B38" s="1213"/>
      <c r="C38" s="1214"/>
      <c r="D38" s="1215"/>
      <c r="E38" s="798"/>
      <c r="F38" s="94"/>
    </row>
    <row r="39" spans="1:6">
      <c r="A39" s="94"/>
      <c r="B39" s="1213"/>
      <c r="C39" s="1214"/>
      <c r="D39" s="1215"/>
      <c r="E39" s="798"/>
      <c r="F39" s="94"/>
    </row>
    <row r="40" spans="1:6">
      <c r="A40" s="354"/>
      <c r="B40" s="1207" t="s">
        <v>681</v>
      </c>
      <c r="C40" s="1208"/>
      <c r="D40" s="1209"/>
      <c r="E40" s="799">
        <f>SUM(E35:E39)</f>
        <v>0</v>
      </c>
      <c r="F40" s="354"/>
    </row>
    <row r="41" spans="1:6" s="261" customFormat="1" ht="72.75" customHeight="1">
      <c r="A41" s="384"/>
      <c r="B41" s="273"/>
      <c r="C41" s="273"/>
      <c r="D41" s="385"/>
      <c r="E41" s="386"/>
      <c r="F41" s="384"/>
    </row>
    <row r="42" spans="1:6" s="261" customFormat="1" ht="18">
      <c r="A42" s="707"/>
      <c r="B42" s="275" t="s">
        <v>712</v>
      </c>
      <c r="C42" s="226"/>
      <c r="D42" s="1104"/>
      <c r="E42" s="1105"/>
      <c r="F42" s="384"/>
    </row>
    <row r="43" spans="1:6" s="261" customFormat="1">
      <c r="A43" s="708"/>
      <c r="B43" s="277" t="s">
        <v>713</v>
      </c>
      <c r="C43" s="277"/>
      <c r="D43" s="244"/>
      <c r="E43" s="77" t="s">
        <v>13</v>
      </c>
      <c r="F43" s="384"/>
    </row>
    <row r="44" spans="1:6" s="261" customFormat="1">
      <c r="A44" s="709"/>
      <c r="B44" s="83"/>
      <c r="C44" s="17"/>
      <c r="D44" s="17"/>
      <c r="E44" s="17"/>
      <c r="F44" s="804"/>
    </row>
    <row r="45" spans="1:6" s="261" customFormat="1">
      <c r="A45" s="709"/>
      <c r="B45" s="83"/>
      <c r="C45" s="17"/>
      <c r="D45" s="17"/>
      <c r="E45" s="17"/>
      <c r="F45" s="804"/>
    </row>
    <row r="46" spans="1:6">
      <c r="B46" s="57"/>
      <c r="C46" s="21"/>
      <c r="D46" s="21"/>
      <c r="E46" s="21"/>
      <c r="F46" s="804"/>
    </row>
    <row r="47" spans="1:6">
      <c r="B47" s="57"/>
      <c r="C47" s="21"/>
      <c r="D47" s="21"/>
      <c r="E47" s="21"/>
      <c r="F47" s="804"/>
    </row>
    <row r="48" spans="1:6">
      <c r="B48" s="57"/>
      <c r="C48" s="21"/>
      <c r="D48" s="21"/>
      <c r="E48" s="21"/>
      <c r="F48" s="804"/>
    </row>
    <row r="49" spans="2:6">
      <c r="B49" s="57"/>
      <c r="C49" s="21"/>
      <c r="D49" s="21"/>
      <c r="E49" s="21"/>
      <c r="F49" s="804"/>
    </row>
    <row r="50" spans="2:6">
      <c r="B50" s="57"/>
      <c r="C50" s="21"/>
      <c r="D50" s="21"/>
      <c r="E50" s="21"/>
      <c r="F50" s="804"/>
    </row>
    <row r="51" spans="2:6">
      <c r="B51" s="57"/>
      <c r="C51" s="21"/>
      <c r="D51" s="21"/>
      <c r="E51" s="21"/>
      <c r="F51" s="804"/>
    </row>
    <row r="52" spans="2:6">
      <c r="B52" s="57"/>
      <c r="C52" s="21"/>
      <c r="D52" s="21"/>
      <c r="E52" s="21"/>
      <c r="F52" s="804"/>
    </row>
    <row r="53" spans="2:6">
      <c r="B53" s="57"/>
      <c r="C53" s="21"/>
      <c r="D53" s="21"/>
      <c r="E53" s="21"/>
      <c r="F53" s="804"/>
    </row>
    <row r="54" spans="2:6">
      <c r="B54" s="57"/>
      <c r="C54" s="21"/>
      <c r="D54" s="21"/>
      <c r="E54" s="21"/>
      <c r="F54" s="804"/>
    </row>
    <row r="55" spans="2:6">
      <c r="B55" s="57"/>
      <c r="C55" s="21"/>
      <c r="D55" s="21"/>
      <c r="E55" s="21"/>
      <c r="F55" s="804"/>
    </row>
    <row r="56" spans="2:6">
      <c r="B56" s="57"/>
      <c r="C56" s="21"/>
      <c r="D56" s="21"/>
      <c r="E56" s="21"/>
      <c r="F56" s="804"/>
    </row>
    <row r="57" spans="2:6">
      <c r="B57" s="57"/>
      <c r="C57" s="21"/>
      <c r="D57" s="21"/>
      <c r="E57" s="21"/>
      <c r="F57" s="804"/>
    </row>
    <row r="58" spans="2:6">
      <c r="B58" s="57"/>
      <c r="C58" s="21"/>
      <c r="D58" s="21"/>
      <c r="E58" s="21"/>
      <c r="F58" s="804"/>
    </row>
    <row r="59" spans="2:6">
      <c r="B59" s="57"/>
      <c r="C59" s="21"/>
      <c r="D59" s="21"/>
      <c r="E59" s="21"/>
      <c r="F59" s="804"/>
    </row>
    <row r="60" spans="2:6">
      <c r="B60" s="57"/>
      <c r="C60" s="21"/>
      <c r="D60" s="21" t="s">
        <v>14</v>
      </c>
      <c r="E60" s="21"/>
      <c r="F60" s="804"/>
    </row>
    <row r="61" spans="2:6">
      <c r="B61" s="57"/>
      <c r="C61" s="21"/>
      <c r="D61" s="21" t="s">
        <v>15</v>
      </c>
      <c r="E61" s="21"/>
      <c r="F61" s="804"/>
    </row>
  </sheetData>
  <sheetProtection password="C0F1" sheet="1" formatCells="0" formatColumns="0" formatRows="0" insertColumns="0" insertRows="0"/>
  <customSheetViews>
    <customSheetView guid="{1F4AFEE5-5BDD-4100-B0E9-57B262CA123C}" showPageBreaks="1" showGridLines="0" fitToPage="1" printArea="1" view="pageBreakPreview" topLeftCell="A26">
      <selection activeCell="B39" sqref="B39:D39"/>
      <pageMargins left="0.45" right="0.45" top="0.75" bottom="0.5" header="0.3" footer="0.3"/>
      <printOptions horizontalCentered="1"/>
      <pageSetup scale="92" orientation="portrait" r:id="rId1"/>
      <headerFooter>
        <oddFooter>&amp;C&amp;A</oddFooter>
      </headerFooter>
    </customSheetView>
  </customSheetViews>
  <mergeCells count="27">
    <mergeCell ref="B39:D39"/>
    <mergeCell ref="B40:D40"/>
    <mergeCell ref="D42:E42"/>
    <mergeCell ref="B30:D30"/>
    <mergeCell ref="B31:D31"/>
    <mergeCell ref="B35:D35"/>
    <mergeCell ref="B36:D36"/>
    <mergeCell ref="B37:D37"/>
    <mergeCell ref="B38:D38"/>
    <mergeCell ref="B29:D29"/>
    <mergeCell ref="B12:D12"/>
    <mergeCell ref="B13:D13"/>
    <mergeCell ref="B17:D17"/>
    <mergeCell ref="B18:D18"/>
    <mergeCell ref="B19:D19"/>
    <mergeCell ref="B20:D20"/>
    <mergeCell ref="B21:D21"/>
    <mergeCell ref="B22:D22"/>
    <mergeCell ref="B26:D26"/>
    <mergeCell ref="B27:D27"/>
    <mergeCell ref="B28:D28"/>
    <mergeCell ref="B11:D11"/>
    <mergeCell ref="C2:E2"/>
    <mergeCell ref="A4:E4"/>
    <mergeCell ref="B8:D8"/>
    <mergeCell ref="B9:D9"/>
    <mergeCell ref="B10:D10"/>
  </mergeCells>
  <dataValidations xWindow="658" yWindow="681" count="1">
    <dataValidation type="list" allowBlank="1" showInputMessage="1" showErrorMessage="1" prompt="This field is to be used when filing under seal." sqref="D42:E42">
      <formula1>$D$59:$D$61</formula1>
    </dataValidation>
  </dataValidations>
  <printOptions horizontalCentered="1"/>
  <pageMargins left="0.45" right="0.45" top="0.75" bottom="0.5" header="0.3" footer="0.3"/>
  <pageSetup scale="89" orientation="portrait" r:id="rId2"/>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zoomScaleNormal="100" zoomScaleSheetLayoutView="100" workbookViewId="0"/>
  </sheetViews>
  <sheetFormatPr defaultColWidth="2.7109375" defaultRowHeight="15"/>
  <cols>
    <col min="1" max="1" width="2.7109375" style="504" customWidth="1"/>
    <col min="2" max="2" width="15.5703125" style="329" customWidth="1"/>
    <col min="3" max="3" width="25.28515625" style="329" customWidth="1"/>
    <col min="4" max="4" width="22.5703125" style="329" customWidth="1"/>
    <col min="5" max="5" width="19.28515625" style="329" customWidth="1"/>
    <col min="6" max="250" width="9.140625" style="329" customWidth="1"/>
    <col min="251" max="16384" width="2.7109375" style="329"/>
  </cols>
  <sheetData>
    <row r="1" spans="1:8" s="334" customFormat="1" ht="12.75">
      <c r="A1" s="504">
        <v>1</v>
      </c>
      <c r="D1" s="505" t="s">
        <v>149</v>
      </c>
      <c r="E1" s="303">
        <f>IF(Cover!D13&gt;0, Cover!D13, "")</f>
        <v>2011</v>
      </c>
    </row>
    <row r="2" spans="1:8" s="334" customFormat="1" ht="12.75">
      <c r="A2" s="504">
        <v>2</v>
      </c>
      <c r="B2" s="505" t="s">
        <v>550</v>
      </c>
      <c r="C2" s="1203" t="str">
        <f>IF(Cover!A1&gt;0, Cover!A1, " ")</f>
        <v>Algonquin Water Resources of Missouri, LLC dba Liberty Utilities</v>
      </c>
      <c r="D2" s="1203"/>
      <c r="E2" s="1203"/>
      <c r="F2" s="21"/>
      <c r="G2" s="21"/>
      <c r="H2" s="21"/>
    </row>
    <row r="3" spans="1:8" s="334" customFormat="1" ht="12.75">
      <c r="A3" s="504"/>
      <c r="B3" s="1361"/>
      <c r="C3" s="1361"/>
      <c r="D3" s="1361"/>
      <c r="E3" s="1361"/>
      <c r="F3" s="21"/>
      <c r="G3" s="21"/>
      <c r="H3" s="21"/>
    </row>
    <row r="4" spans="1:8">
      <c r="B4" s="1267" t="s">
        <v>294</v>
      </c>
      <c r="C4" s="1267"/>
      <c r="D4" s="1267"/>
      <c r="E4" s="1267"/>
    </row>
    <row r="5" spans="1:8" ht="15.75" thickBot="1">
      <c r="B5" s="1362"/>
      <c r="C5" s="1362"/>
      <c r="D5" s="1362"/>
      <c r="E5" s="1362"/>
    </row>
    <row r="6" spans="1:8" ht="54" customHeight="1">
      <c r="B6" s="1358" t="s">
        <v>193</v>
      </c>
      <c r="C6" s="1359"/>
      <c r="D6" s="1360"/>
      <c r="E6" s="506" t="s">
        <v>549</v>
      </c>
    </row>
    <row r="7" spans="1:8" ht="26.1" customHeight="1">
      <c r="B7" s="1355" t="s">
        <v>317</v>
      </c>
      <c r="C7" s="1356"/>
      <c r="D7" s="1357"/>
      <c r="E7" s="254"/>
    </row>
    <row r="8" spans="1:8" ht="26.1" customHeight="1">
      <c r="A8" s="504">
        <v>3</v>
      </c>
      <c r="B8" s="507" t="s">
        <v>318</v>
      </c>
      <c r="C8" s="508"/>
      <c r="D8" s="509"/>
      <c r="E8" s="255"/>
    </row>
    <row r="9" spans="1:8" ht="26.1" customHeight="1">
      <c r="A9" s="504">
        <v>4</v>
      </c>
      <c r="B9" s="507" t="s">
        <v>319</v>
      </c>
      <c r="C9" s="508"/>
      <c r="D9" s="509"/>
      <c r="E9" s="256"/>
    </row>
    <row r="10" spans="1:8" ht="26.1" customHeight="1">
      <c r="A10" s="504">
        <v>5</v>
      </c>
      <c r="B10" s="507" t="s">
        <v>320</v>
      </c>
      <c r="C10" s="508"/>
      <c r="D10" s="509"/>
      <c r="E10" s="256"/>
    </row>
    <row r="11" spans="1:8" ht="26.1" customHeight="1">
      <c r="A11" s="504">
        <v>6</v>
      </c>
      <c r="B11" s="507" t="s">
        <v>321</v>
      </c>
      <c r="C11" s="508"/>
      <c r="D11" s="509"/>
      <c r="E11" s="256">
        <v>11441.13</v>
      </c>
    </row>
    <row r="12" spans="1:8" ht="26.1" customHeight="1">
      <c r="A12" s="504">
        <v>7</v>
      </c>
      <c r="B12" s="507" t="s">
        <v>761</v>
      </c>
      <c r="C12" s="508"/>
      <c r="D12" s="509"/>
      <c r="E12" s="257"/>
    </row>
    <row r="13" spans="1:8" ht="26.1" customHeight="1">
      <c r="A13" s="504">
        <v>8</v>
      </c>
      <c r="B13" s="507" t="s">
        <v>322</v>
      </c>
      <c r="C13" s="508"/>
      <c r="D13" s="509"/>
      <c r="E13" s="257">
        <v>125408.46</v>
      </c>
    </row>
    <row r="14" spans="1:8" ht="26.1" customHeight="1">
      <c r="A14" s="504">
        <v>9</v>
      </c>
      <c r="B14" s="507" t="s">
        <v>323</v>
      </c>
      <c r="C14" s="508"/>
      <c r="D14" s="509"/>
      <c r="E14" s="257">
        <v>2743.18</v>
      </c>
    </row>
    <row r="15" spans="1:8" ht="26.1" customHeight="1">
      <c r="A15" s="504">
        <v>10</v>
      </c>
      <c r="B15" s="507" t="s">
        <v>324</v>
      </c>
      <c r="C15" s="508"/>
      <c r="D15" s="509"/>
      <c r="E15" s="257">
        <v>1068.6500000000001</v>
      </c>
    </row>
    <row r="16" spans="1:8" ht="26.1" customHeight="1">
      <c r="A16" s="504">
        <v>11</v>
      </c>
      <c r="B16" s="507" t="s">
        <v>762</v>
      </c>
      <c r="C16" s="508"/>
      <c r="D16" s="509"/>
      <c r="E16" s="258"/>
    </row>
    <row r="17" spans="1:7" ht="26.1" customHeight="1" thickBot="1">
      <c r="A17" s="504">
        <v>12</v>
      </c>
      <c r="B17" s="507" t="s">
        <v>325</v>
      </c>
      <c r="C17" s="508"/>
      <c r="D17" s="509"/>
      <c r="E17" s="511">
        <f>SUM(E8:E16)</f>
        <v>140661.41999999998</v>
      </c>
    </row>
    <row r="18" spans="1:7" ht="15.75" thickTop="1">
      <c r="B18" s="1349"/>
      <c r="C18" s="1350"/>
      <c r="D18" s="1351"/>
      <c r="E18" s="512" t="s">
        <v>235</v>
      </c>
    </row>
    <row r="19" spans="1:7" ht="26.1" customHeight="1">
      <c r="B19" s="1352" t="s">
        <v>326</v>
      </c>
      <c r="C19" s="1353"/>
      <c r="D19" s="1354"/>
      <c r="E19" s="510"/>
    </row>
    <row r="20" spans="1:7" ht="26.1" customHeight="1">
      <c r="A20" s="504">
        <v>13</v>
      </c>
      <c r="B20" s="1349" t="s">
        <v>327</v>
      </c>
      <c r="C20" s="1350"/>
      <c r="D20" s="1351"/>
      <c r="E20" s="255">
        <v>9868.7999999999993</v>
      </c>
    </row>
    <row r="21" spans="1:7" ht="26.1" customHeight="1">
      <c r="A21" s="504">
        <v>14</v>
      </c>
      <c r="B21" s="507" t="s">
        <v>328</v>
      </c>
      <c r="C21" s="508"/>
      <c r="D21" s="509"/>
      <c r="E21" s="255"/>
    </row>
    <row r="22" spans="1:7" ht="26.1" customHeight="1">
      <c r="A22" s="504">
        <v>15</v>
      </c>
      <c r="B22" s="507" t="s">
        <v>329</v>
      </c>
      <c r="C22" s="508"/>
      <c r="D22" s="509"/>
      <c r="E22" s="256"/>
    </row>
    <row r="23" spans="1:7" ht="26.1" customHeight="1">
      <c r="A23" s="504">
        <v>16</v>
      </c>
      <c r="B23" s="507" t="s">
        <v>763</v>
      </c>
      <c r="C23" s="508"/>
      <c r="D23" s="509"/>
      <c r="E23" s="256"/>
    </row>
    <row r="24" spans="1:7" ht="26.1" customHeight="1">
      <c r="A24" s="504">
        <v>17</v>
      </c>
      <c r="B24" s="507" t="s">
        <v>330</v>
      </c>
      <c r="C24" s="508"/>
      <c r="D24" s="509"/>
      <c r="E24" s="256"/>
    </row>
    <row r="25" spans="1:7" ht="26.1" customHeight="1">
      <c r="A25" s="504">
        <v>18</v>
      </c>
      <c r="B25" s="507" t="s">
        <v>331</v>
      </c>
      <c r="C25" s="508"/>
      <c r="D25" s="509"/>
      <c r="E25" s="256"/>
    </row>
    <row r="26" spans="1:7" ht="26.1" customHeight="1">
      <c r="A26" s="504">
        <v>19</v>
      </c>
      <c r="B26" s="507" t="s">
        <v>332</v>
      </c>
      <c r="C26" s="508"/>
      <c r="D26" s="509"/>
      <c r="E26" s="259"/>
    </row>
    <row r="27" spans="1:7" ht="26.1" customHeight="1" thickBot="1">
      <c r="A27" s="504">
        <v>20</v>
      </c>
      <c r="B27" s="507" t="s">
        <v>333</v>
      </c>
      <c r="C27" s="508"/>
      <c r="D27" s="509"/>
      <c r="E27" s="511">
        <f>SUM(E20:E26)</f>
        <v>9868.7999999999993</v>
      </c>
    </row>
    <row r="28" spans="1:7" ht="16.5" thickTop="1" thickBot="1">
      <c r="B28" s="1344"/>
      <c r="C28" s="1345"/>
      <c r="D28" s="1346"/>
      <c r="E28" s="514" t="s">
        <v>235</v>
      </c>
    </row>
    <row r="29" spans="1:7" s="261" customFormat="1" ht="15.75" thickBot="1">
      <c r="A29" s="274"/>
      <c r="B29" s="275" t="s">
        <v>712</v>
      </c>
      <c r="C29" s="260"/>
      <c r="D29" s="260"/>
      <c r="E29" s="260"/>
    </row>
    <row r="30" spans="1:7" s="261" customFormat="1" ht="18.75" thickBot="1">
      <c r="A30" s="276"/>
      <c r="B30" s="277" t="s">
        <v>713</v>
      </c>
      <c r="D30" s="1347"/>
      <c r="E30" s="1348"/>
    </row>
    <row r="31" spans="1:7" s="261" customFormat="1" ht="11.25" customHeight="1">
      <c r="A31" s="81"/>
      <c r="E31" s="77" t="s">
        <v>13</v>
      </c>
      <c r="F31" s="77"/>
      <c r="G31" s="77"/>
    </row>
    <row r="32" spans="1:7" s="261" customFormat="1">
      <c r="A32" s="81"/>
    </row>
    <row r="33" spans="1:5" s="261" customFormat="1">
      <c r="A33" s="81"/>
      <c r="D33" s="381"/>
      <c r="E33" s="381"/>
    </row>
    <row r="34" spans="1:5" s="261" customFormat="1">
      <c r="A34" s="81"/>
      <c r="D34" s="381"/>
      <c r="E34" s="381"/>
    </row>
    <row r="35" spans="1:5">
      <c r="D35" s="334"/>
      <c r="E35" s="334"/>
    </row>
    <row r="36" spans="1:5">
      <c r="D36" s="334"/>
      <c r="E36" s="334"/>
    </row>
    <row r="37" spans="1:5">
      <c r="D37" s="334"/>
      <c r="E37" s="334"/>
    </row>
    <row r="38" spans="1:5">
      <c r="D38" s="334"/>
      <c r="E38" s="334"/>
    </row>
    <row r="39" spans="1:5">
      <c r="D39" s="334"/>
      <c r="E39" s="334"/>
    </row>
    <row r="40" spans="1:5">
      <c r="D40" s="334"/>
      <c r="E40" s="334"/>
    </row>
    <row r="41" spans="1:5">
      <c r="D41" s="334"/>
      <c r="E41" s="334"/>
    </row>
    <row r="42" spans="1:5">
      <c r="D42" s="334"/>
      <c r="E42" s="334"/>
    </row>
    <row r="43" spans="1:5">
      <c r="D43" s="334"/>
      <c r="E43" s="334"/>
    </row>
    <row r="44" spans="1:5">
      <c r="D44" s="334"/>
      <c r="E44" s="334"/>
    </row>
    <row r="45" spans="1:5">
      <c r="D45" s="334"/>
      <c r="E45" s="334"/>
    </row>
    <row r="46" spans="1:5">
      <c r="D46" s="334"/>
      <c r="E46" s="334"/>
    </row>
    <row r="47" spans="1:5">
      <c r="D47" s="334"/>
      <c r="E47" s="334"/>
    </row>
    <row r="48" spans="1:5">
      <c r="D48" s="334"/>
      <c r="E48" s="334"/>
    </row>
    <row r="49" spans="4:5">
      <c r="D49" s="334"/>
      <c r="E49" s="334"/>
    </row>
    <row r="59" spans="4:5">
      <c r="D59" s="329" t="s">
        <v>14</v>
      </c>
    </row>
    <row r="60" spans="4:5">
      <c r="D60" s="329" t="s">
        <v>15</v>
      </c>
    </row>
  </sheetData>
  <sheetProtection password="C0F1" sheet="1" formatCells="0" formatColumns="0" formatRows="0" insertColumns="0" insertRows="0"/>
  <customSheetViews>
    <customSheetView guid="{1F4AFEE5-5BDD-4100-B0E9-57B262CA123C}" scale="160" showPageBreaks="1" showGridLines="0" fitToPage="1" printArea="1" view="pageBreakPreview" topLeftCell="A11">
      <selection activeCell="B14" sqref="B14"/>
      <pageMargins left="0.5" right="0.5" top="0.75" bottom="0.25" header="0.3" footer="0.3"/>
      <printOptions horizontalCentered="1"/>
      <pageSetup orientation="portrait" r:id="rId1"/>
      <headerFooter>
        <oddFooter>&amp;C&amp;A</oddFooter>
      </headerFooter>
    </customSheetView>
  </customSheetViews>
  <mergeCells count="11">
    <mergeCell ref="B28:D28"/>
    <mergeCell ref="D30:E30"/>
    <mergeCell ref="C2:E2"/>
    <mergeCell ref="B18:D18"/>
    <mergeCell ref="B19:D19"/>
    <mergeCell ref="B20:D20"/>
    <mergeCell ref="B7:D7"/>
    <mergeCell ref="B6:D6"/>
    <mergeCell ref="B3:E3"/>
    <mergeCell ref="B5:E5"/>
    <mergeCell ref="B4:E4"/>
  </mergeCells>
  <dataValidations disablePrompts="1" count="1">
    <dataValidation type="list" allowBlank="1" showInputMessage="1" sqref="D30:E30">
      <formula1>$D$58:$D$60</formula1>
    </dataValidation>
  </dataValidations>
  <printOptions horizontalCentered="1"/>
  <pageMargins left="0.5" right="0.5" top="0.75" bottom="0.25" header="0.3" footer="0.3"/>
  <pageSetup orientation="portrait" r:id="rId2"/>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2"/>
  <sheetViews>
    <sheetView showGridLines="0" topLeftCell="A19" zoomScaleNormal="100" zoomScaleSheetLayoutView="100" workbookViewId="0"/>
  </sheetViews>
  <sheetFormatPr defaultRowHeight="12.75"/>
  <cols>
    <col min="1" max="1" width="92.7109375" style="43" bestFit="1" customWidth="1"/>
    <col min="2" max="16384" width="9.140625" style="1"/>
  </cols>
  <sheetData>
    <row r="1" spans="1:1">
      <c r="A1" s="42" t="s">
        <v>73</v>
      </c>
    </row>
    <row r="2" spans="1:1">
      <c r="A2" s="42"/>
    </row>
    <row r="3" spans="1:1" ht="15.75">
      <c r="A3" s="43" t="s">
        <v>74</v>
      </c>
    </row>
    <row r="4" spans="1:1" ht="25.5">
      <c r="A4" s="43" t="s">
        <v>75</v>
      </c>
    </row>
    <row r="5" spans="1:1">
      <c r="A5" s="44"/>
    </row>
    <row r="6" spans="1:1" ht="25.5">
      <c r="A6" s="43" t="s">
        <v>76</v>
      </c>
    </row>
    <row r="8" spans="1:1" ht="25.5">
      <c r="A8" s="43" t="s">
        <v>77</v>
      </c>
    </row>
    <row r="10" spans="1:1" ht="51">
      <c r="A10" s="43" t="s">
        <v>78</v>
      </c>
    </row>
    <row r="11" spans="1:1">
      <c r="A11" s="43" t="s">
        <v>10</v>
      </c>
    </row>
    <row r="12" spans="1:1" ht="38.25">
      <c r="A12" s="43" t="s">
        <v>79</v>
      </c>
    </row>
    <row r="14" spans="1:1">
      <c r="A14" s="45" t="s">
        <v>80</v>
      </c>
    </row>
    <row r="15" spans="1:1" ht="25.5">
      <c r="A15" s="43" t="s">
        <v>81</v>
      </c>
    </row>
    <row r="16" spans="1:1" ht="25.5">
      <c r="A16" s="43" t="s">
        <v>82</v>
      </c>
    </row>
    <row r="17" spans="1:1" ht="25.5">
      <c r="A17" s="43" t="s">
        <v>83</v>
      </c>
    </row>
    <row r="18" spans="1:1" ht="25.5">
      <c r="A18" s="43" t="s">
        <v>84</v>
      </c>
    </row>
    <row r="19" spans="1:1" ht="25.5">
      <c r="A19" s="43" t="s">
        <v>85</v>
      </c>
    </row>
    <row r="20" spans="1:1" ht="25.5">
      <c r="A20" s="43" t="s">
        <v>86</v>
      </c>
    </row>
    <row r="22" spans="1:1">
      <c r="A22" s="45" t="s">
        <v>87</v>
      </c>
    </row>
    <row r="23" spans="1:1" ht="25.5">
      <c r="A23" s="43" t="s">
        <v>81</v>
      </c>
    </row>
    <row r="24" spans="1:1" ht="38.25">
      <c r="A24" s="43" t="s">
        <v>88</v>
      </c>
    </row>
    <row r="25" spans="1:1" ht="38.25">
      <c r="A25" s="43" t="s">
        <v>89</v>
      </c>
    </row>
    <row r="26" spans="1:1">
      <c r="A26" s="43" t="s">
        <v>90</v>
      </c>
    </row>
    <row r="27" spans="1:1">
      <c r="A27" s="43" t="s">
        <v>91</v>
      </c>
    </row>
    <row r="28" spans="1:1" ht="25.5">
      <c r="A28" s="43" t="s">
        <v>92</v>
      </c>
    </row>
    <row r="29" spans="1:1">
      <c r="A29" s="43" t="s">
        <v>93</v>
      </c>
    </row>
    <row r="30" spans="1:1" ht="25.5">
      <c r="A30" s="43" t="s">
        <v>94</v>
      </c>
    </row>
    <row r="31" spans="1:1" ht="25.5">
      <c r="A31" s="43" t="s">
        <v>95</v>
      </c>
    </row>
    <row r="32" spans="1:1">
      <c r="A32" s="43" t="s">
        <v>96</v>
      </c>
    </row>
    <row r="33" spans="1:11" s="24" customFormat="1" ht="28.5" customHeight="1">
      <c r="A33" s="28" t="s">
        <v>97</v>
      </c>
      <c r="B33" s="46"/>
      <c r="C33" s="46"/>
      <c r="D33" s="46"/>
      <c r="E33" s="46"/>
      <c r="F33" s="46"/>
      <c r="G33" s="46"/>
      <c r="H33" s="46"/>
      <c r="I33" s="46"/>
      <c r="J33" s="46"/>
      <c r="K33" s="46"/>
    </row>
    <row r="34" spans="1:11">
      <c r="A34" s="45" t="s">
        <v>98</v>
      </c>
    </row>
    <row r="35" spans="1:11" ht="25.5">
      <c r="A35" s="43" t="s">
        <v>81</v>
      </c>
    </row>
    <row r="36" spans="1:11">
      <c r="A36" s="43" t="s">
        <v>99</v>
      </c>
    </row>
    <row r="37" spans="1:11" ht="38.25">
      <c r="A37" s="43" t="s">
        <v>100</v>
      </c>
    </row>
    <row r="39" spans="1:11">
      <c r="A39" s="45" t="s">
        <v>101</v>
      </c>
    </row>
    <row r="40" spans="1:11" ht="25.5">
      <c r="A40" s="43" t="s">
        <v>102</v>
      </c>
    </row>
    <row r="41" spans="1:11" ht="25.5">
      <c r="A41" s="47" t="s">
        <v>103</v>
      </c>
    </row>
    <row r="42" spans="1:11" ht="25.5">
      <c r="A42" s="47" t="s">
        <v>104</v>
      </c>
    </row>
    <row r="43" spans="1:11" ht="25.5">
      <c r="A43" s="47" t="s">
        <v>105</v>
      </c>
    </row>
    <row r="45" spans="1:11">
      <c r="A45" s="45" t="s">
        <v>106</v>
      </c>
    </row>
    <row r="46" spans="1:11" ht="25.5">
      <c r="A46" s="43" t="s">
        <v>107</v>
      </c>
    </row>
    <row r="47" spans="1:11" ht="25.5">
      <c r="A47" s="47" t="s">
        <v>108</v>
      </c>
    </row>
    <row r="48" spans="1:11" ht="25.5">
      <c r="A48" s="47" t="s">
        <v>109</v>
      </c>
    </row>
    <row r="49" spans="1:1" ht="76.5">
      <c r="A49" s="47" t="s">
        <v>110</v>
      </c>
    </row>
    <row r="51" spans="1:1">
      <c r="A51" s="1137" t="s">
        <v>720</v>
      </c>
    </row>
    <row r="52" spans="1:1">
      <c r="A52" s="1138"/>
    </row>
    <row r="54" spans="1:1">
      <c r="A54" s="45" t="s">
        <v>111</v>
      </c>
    </row>
    <row r="55" spans="1:1" ht="51">
      <c r="A55" s="43" t="s">
        <v>112</v>
      </c>
    </row>
    <row r="57" spans="1:1">
      <c r="A57" s="45" t="s">
        <v>113</v>
      </c>
    </row>
    <row r="58" spans="1:1" ht="51">
      <c r="A58" s="43" t="s">
        <v>114</v>
      </c>
    </row>
    <row r="60" spans="1:1">
      <c r="A60" s="45" t="s">
        <v>115</v>
      </c>
    </row>
    <row r="61" spans="1:1" ht="76.5">
      <c r="A61" s="43" t="s">
        <v>116</v>
      </c>
    </row>
    <row r="62" spans="1:1" ht="26.25" customHeight="1">
      <c r="A62" s="28" t="s">
        <v>117</v>
      </c>
    </row>
    <row r="63" spans="1:1">
      <c r="A63" s="45" t="s">
        <v>118</v>
      </c>
    </row>
    <row r="64" spans="1:1" ht="89.25">
      <c r="A64" s="43" t="s">
        <v>119</v>
      </c>
    </row>
    <row r="65" spans="1:1">
      <c r="A65" s="43" t="s">
        <v>120</v>
      </c>
    </row>
    <row r="66" spans="1:1">
      <c r="A66" s="43" t="s">
        <v>121</v>
      </c>
    </row>
    <row r="67" spans="1:1" ht="38.25">
      <c r="A67" s="43" t="s">
        <v>122</v>
      </c>
    </row>
    <row r="68" spans="1:1" ht="25.5">
      <c r="A68" s="43" t="s">
        <v>123</v>
      </c>
    </row>
    <row r="69" spans="1:1" ht="51">
      <c r="A69" s="43" t="s">
        <v>124</v>
      </c>
    </row>
    <row r="70" spans="1:1" ht="114.75">
      <c r="A70" s="43" t="s">
        <v>125</v>
      </c>
    </row>
    <row r="71" spans="1:1">
      <c r="A71" s="49"/>
    </row>
    <row r="72" spans="1:1">
      <c r="A72" s="45" t="s">
        <v>126</v>
      </c>
    </row>
    <row r="73" spans="1:1" ht="63.75">
      <c r="A73" s="43" t="s">
        <v>127</v>
      </c>
    </row>
    <row r="75" spans="1:1">
      <c r="A75" s="45" t="s">
        <v>128</v>
      </c>
    </row>
    <row r="76" spans="1:1" ht="38.25">
      <c r="A76" s="43" t="s">
        <v>129</v>
      </c>
    </row>
    <row r="78" spans="1:1">
      <c r="A78" s="45" t="s">
        <v>130</v>
      </c>
    </row>
    <row r="79" spans="1:1" ht="25.5">
      <c r="A79" s="43" t="s">
        <v>131</v>
      </c>
    </row>
    <row r="80" spans="1:1">
      <c r="A80" s="48"/>
    </row>
    <row r="81" spans="1:1">
      <c r="A81" s="45" t="s">
        <v>132</v>
      </c>
    </row>
    <row r="82" spans="1:1" ht="51">
      <c r="A82" s="43" t="s">
        <v>133</v>
      </c>
    </row>
    <row r="83" spans="1:1" ht="81.75" customHeight="1">
      <c r="A83" s="49" t="s">
        <v>134</v>
      </c>
    </row>
    <row r="84" spans="1:1">
      <c r="A84" s="45" t="s">
        <v>135</v>
      </c>
    </row>
    <row r="85" spans="1:1" ht="102">
      <c r="A85" s="43" t="s">
        <v>136</v>
      </c>
    </row>
    <row r="86" spans="1:1" ht="76.5">
      <c r="A86" s="50" t="s">
        <v>137</v>
      </c>
    </row>
    <row r="87" spans="1:1" ht="102">
      <c r="A87" s="50" t="s">
        <v>138</v>
      </c>
    </row>
    <row r="88" spans="1:1">
      <c r="A88" s="50" t="s">
        <v>139</v>
      </c>
    </row>
    <row r="90" spans="1:1">
      <c r="A90" s="45" t="s">
        <v>140</v>
      </c>
    </row>
    <row r="91" spans="1:1">
      <c r="A91" s="43" t="s">
        <v>141</v>
      </c>
    </row>
    <row r="93" spans="1:1">
      <c r="A93" s="45" t="s">
        <v>142</v>
      </c>
    </row>
    <row r="94" spans="1:1" ht="25.5">
      <c r="A94" s="43" t="s">
        <v>143</v>
      </c>
    </row>
    <row r="96" spans="1:1">
      <c r="A96" s="45" t="s">
        <v>144</v>
      </c>
    </row>
    <row r="97" spans="1:1" ht="25.5">
      <c r="A97" s="43" t="s">
        <v>145</v>
      </c>
    </row>
    <row r="99" spans="1:1">
      <c r="A99" s="45" t="s">
        <v>146</v>
      </c>
    </row>
    <row r="100" spans="1:1" ht="25.5">
      <c r="A100" s="43" t="s">
        <v>147</v>
      </c>
    </row>
    <row r="101" spans="1:1" ht="207.75" customHeight="1">
      <c r="A101" s="49"/>
    </row>
    <row r="102" spans="1:1">
      <c r="A102" s="51" t="s">
        <v>148</v>
      </c>
    </row>
  </sheetData>
  <sheetProtection password="C0F1" sheet="1"/>
  <customSheetViews>
    <customSheetView guid="{1F4AFEE5-5BDD-4100-B0E9-57B262CA123C}" scale="145" showPageBreaks="1" showGridLines="0" fitToPage="1" view="pageBreakPreview">
      <pageMargins left="0.5" right="0.5" top="0.75" bottom="0.5" header="0.3" footer="0.3"/>
      <printOptions horizontalCentered="1"/>
      <pageSetup fitToHeight="5" orientation="portrait" r:id="rId1"/>
    </customSheetView>
  </customSheetViews>
  <mergeCells count="1">
    <mergeCell ref="A51:A52"/>
  </mergeCells>
  <printOptions horizontalCentered="1"/>
  <pageMargins left="0.5" right="0.5" top="0.75" bottom="0.5" header="0.3" footer="0.3"/>
  <pageSetup fitToHeight="5"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
  <sheetViews>
    <sheetView showGridLines="0" zoomScaleNormal="100" zoomScaleSheetLayoutView="100" workbookViewId="0"/>
  </sheetViews>
  <sheetFormatPr defaultRowHeight="15"/>
  <cols>
    <col min="1" max="1" width="3.85546875" style="329" customWidth="1"/>
    <col min="2" max="2" width="18" style="329" customWidth="1"/>
    <col min="3" max="3" width="38.7109375" style="329" customWidth="1"/>
    <col min="4" max="4" width="20.140625" style="329" customWidth="1"/>
    <col min="5" max="5" width="16.28515625" style="329" bestFit="1" customWidth="1"/>
    <col min="6" max="6" width="4.28515625" style="686" customWidth="1"/>
    <col min="7" max="16384" width="9.140625" style="329"/>
  </cols>
  <sheetData>
    <row r="1" spans="1:6">
      <c r="A1" s="328">
        <v>1</v>
      </c>
      <c r="B1" s="21"/>
      <c r="C1" s="21"/>
      <c r="D1" s="285" t="s">
        <v>149</v>
      </c>
      <c r="E1" s="303">
        <f>IF(Cover!D13&gt;0, Cover!D13,"")</f>
        <v>2011</v>
      </c>
    </row>
    <row r="2" spans="1:6">
      <c r="A2" s="328">
        <v>2</v>
      </c>
      <c r="B2" s="57" t="s">
        <v>150</v>
      </c>
      <c r="C2" s="1203" t="str">
        <f>IF(Cover!A1&gt;0, Cover!A1, "")</f>
        <v>Algonquin Water Resources of Missouri, LLC dba Liberty Utilities</v>
      </c>
      <c r="D2" s="1203"/>
      <c r="E2" s="1203"/>
    </row>
    <row r="3" spans="1:6" ht="12.75" customHeight="1">
      <c r="A3" s="328"/>
      <c r="B3" s="57"/>
      <c r="C3" s="57"/>
      <c r="D3" s="61"/>
      <c r="E3" s="61"/>
    </row>
    <row r="4" spans="1:6">
      <c r="A4" s="1171" t="s">
        <v>816</v>
      </c>
      <c r="B4" s="1171"/>
      <c r="C4" s="1171"/>
      <c r="D4" s="1171"/>
      <c r="E4" s="1171"/>
    </row>
    <row r="5" spans="1:6">
      <c r="A5" s="304"/>
      <c r="B5" s="304"/>
      <c r="C5" s="304"/>
      <c r="D5" s="304"/>
      <c r="E5" s="304"/>
    </row>
    <row r="6" spans="1:6">
      <c r="A6" s="330">
        <v>3</v>
      </c>
      <c r="B6" s="331" t="s">
        <v>682</v>
      </c>
      <c r="C6" s="332" t="s">
        <v>800</v>
      </c>
      <c r="D6" s="800">
        <f>'Page W-3'!E12</f>
        <v>0</v>
      </c>
      <c r="E6" s="324"/>
    </row>
    <row r="7" spans="1:6">
      <c r="A7" s="333" t="s">
        <v>170</v>
      </c>
      <c r="B7" s="334" t="s">
        <v>655</v>
      </c>
      <c r="C7" s="334"/>
      <c r="D7" s="334"/>
      <c r="E7" s="334" t="s">
        <v>654</v>
      </c>
      <c r="F7" s="686" t="s">
        <v>170</v>
      </c>
    </row>
    <row r="8" spans="1:6">
      <c r="A8" s="353"/>
      <c r="B8" s="1213"/>
      <c r="C8" s="1214"/>
      <c r="D8" s="1215"/>
      <c r="E8" s="798"/>
      <c r="F8" s="353"/>
    </row>
    <row r="9" spans="1:6">
      <c r="A9" s="94"/>
      <c r="B9" s="1213"/>
      <c r="C9" s="1214"/>
      <c r="D9" s="1215"/>
      <c r="E9" s="798"/>
      <c r="F9" s="94"/>
    </row>
    <row r="10" spans="1:6">
      <c r="A10" s="94"/>
      <c r="B10" s="1213"/>
      <c r="C10" s="1214"/>
      <c r="D10" s="1215"/>
      <c r="E10" s="798"/>
      <c r="F10" s="94"/>
    </row>
    <row r="11" spans="1:6">
      <c r="A11" s="94"/>
      <c r="B11" s="1213"/>
      <c r="C11" s="1214"/>
      <c r="D11" s="1215"/>
      <c r="E11" s="798"/>
      <c r="F11" s="94"/>
    </row>
    <row r="12" spans="1:6">
      <c r="A12" s="94"/>
      <c r="B12" s="1213"/>
      <c r="C12" s="1214"/>
      <c r="D12" s="1215"/>
      <c r="E12" s="798"/>
      <c r="F12" s="94"/>
    </row>
    <row r="13" spans="1:6">
      <c r="A13" s="354"/>
      <c r="B13" s="1207" t="s">
        <v>683</v>
      </c>
      <c r="C13" s="1208"/>
      <c r="D13" s="1209"/>
      <c r="E13" s="799">
        <f>SUM(E8:E12)</f>
        <v>0</v>
      </c>
      <c r="F13" s="354"/>
    </row>
    <row r="14" spans="1:6" ht="30" customHeight="1">
      <c r="A14" s="333"/>
      <c r="B14" s="62"/>
      <c r="C14" s="62"/>
      <c r="D14" s="335"/>
      <c r="E14" s="337"/>
    </row>
    <row r="15" spans="1:6">
      <c r="A15" s="330">
        <v>4</v>
      </c>
      <c r="B15" s="331" t="s">
        <v>684</v>
      </c>
      <c r="C15" s="332" t="s">
        <v>805</v>
      </c>
      <c r="D15" s="800">
        <f>'Page W-3'!E16</f>
        <v>0</v>
      </c>
      <c r="E15" s="324"/>
    </row>
    <row r="16" spans="1:6">
      <c r="A16" s="333" t="s">
        <v>170</v>
      </c>
      <c r="B16" s="334" t="s">
        <v>655</v>
      </c>
      <c r="C16" s="334"/>
      <c r="D16" s="334"/>
      <c r="E16" s="334" t="s">
        <v>654</v>
      </c>
      <c r="F16" s="686" t="s">
        <v>170</v>
      </c>
    </row>
    <row r="17" spans="1:6">
      <c r="A17" s="353"/>
      <c r="B17" s="1213"/>
      <c r="C17" s="1214"/>
      <c r="D17" s="1215"/>
      <c r="E17" s="798"/>
      <c r="F17" s="353"/>
    </row>
    <row r="18" spans="1:6">
      <c r="A18" s="94"/>
      <c r="B18" s="1213"/>
      <c r="C18" s="1214"/>
      <c r="D18" s="1215"/>
      <c r="E18" s="798"/>
      <c r="F18" s="94"/>
    </row>
    <row r="19" spans="1:6">
      <c r="A19" s="94"/>
      <c r="B19" s="1213"/>
      <c r="C19" s="1214"/>
      <c r="D19" s="1215"/>
      <c r="E19" s="798"/>
      <c r="F19" s="94"/>
    </row>
    <row r="20" spans="1:6">
      <c r="A20" s="94"/>
      <c r="B20" s="1213"/>
      <c r="C20" s="1214"/>
      <c r="D20" s="1215"/>
      <c r="E20" s="798"/>
      <c r="F20" s="94"/>
    </row>
    <row r="21" spans="1:6">
      <c r="A21" s="94"/>
      <c r="B21" s="1213"/>
      <c r="C21" s="1214"/>
      <c r="D21" s="1215"/>
      <c r="E21" s="798"/>
      <c r="F21" s="94"/>
    </row>
    <row r="22" spans="1:6">
      <c r="A22" s="354"/>
      <c r="B22" s="1207" t="s">
        <v>685</v>
      </c>
      <c r="C22" s="1208"/>
      <c r="D22" s="1209"/>
      <c r="E22" s="799">
        <f>SUM(E17:E21)</f>
        <v>0</v>
      </c>
      <c r="F22" s="354"/>
    </row>
    <row r="23" spans="1:6" ht="30" customHeight="1"/>
    <row r="24" spans="1:6">
      <c r="A24" s="330">
        <v>5</v>
      </c>
      <c r="B24" s="331" t="s">
        <v>686</v>
      </c>
      <c r="C24" s="332" t="s">
        <v>794</v>
      </c>
      <c r="D24" s="800">
        <f>'Page W-3'!E23</f>
        <v>0</v>
      </c>
      <c r="E24" s="324"/>
    </row>
    <row r="25" spans="1:6">
      <c r="A25" s="333" t="s">
        <v>170</v>
      </c>
      <c r="B25" s="334" t="s">
        <v>655</v>
      </c>
      <c r="C25" s="334"/>
      <c r="D25" s="334"/>
      <c r="E25" s="334" t="s">
        <v>654</v>
      </c>
      <c r="F25" s="686" t="s">
        <v>170</v>
      </c>
    </row>
    <row r="26" spans="1:6">
      <c r="A26" s="353"/>
      <c r="B26" s="1363"/>
      <c r="C26" s="1364"/>
      <c r="D26" s="1365"/>
      <c r="E26" s="798"/>
      <c r="F26" s="353"/>
    </row>
    <row r="27" spans="1:6">
      <c r="A27" s="94"/>
      <c r="B27" s="1363"/>
      <c r="C27" s="1364"/>
      <c r="D27" s="1365"/>
      <c r="E27" s="798"/>
      <c r="F27" s="94"/>
    </row>
    <row r="28" spans="1:6">
      <c r="A28" s="94"/>
      <c r="B28" s="1363"/>
      <c r="C28" s="1364"/>
      <c r="D28" s="1365"/>
      <c r="E28" s="798"/>
      <c r="F28" s="94"/>
    </row>
    <row r="29" spans="1:6">
      <c r="A29" s="94"/>
      <c r="B29" s="1363"/>
      <c r="C29" s="1364"/>
      <c r="D29" s="1365"/>
      <c r="E29" s="798"/>
      <c r="F29" s="94"/>
    </row>
    <row r="30" spans="1:6">
      <c r="A30" s="94"/>
      <c r="B30" s="1363"/>
      <c r="C30" s="1364"/>
      <c r="D30" s="1365"/>
      <c r="E30" s="798"/>
      <c r="F30" s="94"/>
    </row>
    <row r="31" spans="1:6">
      <c r="A31" s="354"/>
      <c r="B31" s="1207" t="s">
        <v>687</v>
      </c>
      <c r="C31" s="1208"/>
      <c r="D31" s="1209"/>
      <c r="E31" s="799">
        <f>SUM(E26:E30)</f>
        <v>0</v>
      </c>
      <c r="F31" s="354"/>
    </row>
    <row r="32" spans="1:6" s="261" customFormat="1" ht="30" customHeight="1">
      <c r="F32" s="710"/>
    </row>
    <row r="33" spans="1:6" s="375" customFormat="1">
      <c r="A33" s="376"/>
      <c r="B33" s="377"/>
      <c r="C33" s="378"/>
      <c r="D33" s="379"/>
      <c r="E33" s="242"/>
      <c r="F33" s="711"/>
    </row>
    <row r="34" spans="1:6" s="375" customFormat="1">
      <c r="A34" s="372"/>
      <c r="B34" s="226"/>
      <c r="C34" s="226"/>
      <c r="D34" s="226"/>
      <c r="E34" s="226"/>
      <c r="F34" s="711"/>
    </row>
    <row r="35" spans="1:6" s="375" customFormat="1">
      <c r="A35" s="372"/>
      <c r="B35" s="1219"/>
      <c r="C35" s="1219"/>
      <c r="D35" s="1219"/>
      <c r="E35" s="380"/>
      <c r="F35" s="711"/>
    </row>
    <row r="36" spans="1:6" s="375" customFormat="1">
      <c r="A36" s="372"/>
      <c r="B36" s="1218"/>
      <c r="C36" s="1218"/>
      <c r="D36" s="1218"/>
      <c r="E36" s="380"/>
      <c r="F36" s="711"/>
    </row>
    <row r="37" spans="1:6" s="375" customFormat="1">
      <c r="A37" s="372"/>
      <c r="B37" s="1218"/>
      <c r="C37" s="1218"/>
      <c r="D37" s="1218"/>
      <c r="E37" s="380"/>
      <c r="F37" s="711"/>
    </row>
    <row r="38" spans="1:6" s="375" customFormat="1">
      <c r="A38" s="372"/>
      <c r="B38" s="1218"/>
      <c r="C38" s="1218"/>
      <c r="D38" s="1218"/>
      <c r="E38" s="380"/>
      <c r="F38" s="711"/>
    </row>
    <row r="39" spans="1:6" s="375" customFormat="1">
      <c r="A39" s="372"/>
      <c r="B39" s="1218"/>
      <c r="C39" s="1218"/>
      <c r="D39" s="1218"/>
      <c r="E39" s="380"/>
      <c r="F39" s="711"/>
    </row>
    <row r="40" spans="1:6" s="375" customFormat="1">
      <c r="A40" s="372"/>
      <c r="B40" s="1218"/>
      <c r="C40" s="1218"/>
      <c r="D40" s="1218"/>
      <c r="E40" s="374"/>
      <c r="F40" s="711"/>
    </row>
    <row r="41" spans="1:6" s="261" customFormat="1" ht="33.75" customHeight="1">
      <c r="A41" s="384"/>
      <c r="B41" s="273"/>
      <c r="C41" s="273"/>
      <c r="D41" s="273"/>
      <c r="E41" s="386"/>
      <c r="F41" s="710"/>
    </row>
    <row r="42" spans="1:6" ht="18">
      <c r="A42" s="297"/>
      <c r="B42" s="298" t="s">
        <v>712</v>
      </c>
      <c r="C42" s="301"/>
      <c r="D42" s="1104"/>
      <c r="E42" s="1105"/>
    </row>
    <row r="43" spans="1:6">
      <c r="A43" s="299"/>
      <c r="B43" s="300" t="s">
        <v>713</v>
      </c>
      <c r="C43" s="300"/>
      <c r="D43" s="316"/>
      <c r="E43" s="302" t="s">
        <v>13</v>
      </c>
    </row>
    <row r="44" spans="1:6">
      <c r="B44" s="57"/>
      <c r="C44" s="21"/>
      <c r="D44" s="21"/>
      <c r="E44" s="21"/>
      <c r="F44" s="61"/>
    </row>
    <row r="45" spans="1:6">
      <c r="B45" s="57"/>
      <c r="C45" s="21"/>
      <c r="D45" s="21"/>
      <c r="E45" s="21"/>
      <c r="F45" s="61"/>
    </row>
    <row r="46" spans="1:6">
      <c r="B46" s="57"/>
      <c r="C46" s="21"/>
      <c r="D46" s="21"/>
      <c r="E46" s="21"/>
      <c r="F46" s="61"/>
    </row>
    <row r="47" spans="1:6">
      <c r="B47" s="57"/>
      <c r="C47" s="21"/>
      <c r="D47" s="21"/>
      <c r="E47" s="21"/>
      <c r="F47" s="61"/>
    </row>
    <row r="48" spans="1:6">
      <c r="B48" s="57"/>
      <c r="C48" s="21"/>
      <c r="D48" s="21"/>
      <c r="E48" s="21"/>
      <c r="F48" s="61"/>
    </row>
    <row r="49" spans="2:6">
      <c r="B49" s="57"/>
      <c r="C49" s="21"/>
      <c r="D49" s="21"/>
      <c r="E49" s="21"/>
      <c r="F49" s="61"/>
    </row>
    <row r="50" spans="2:6">
      <c r="B50" s="57"/>
      <c r="C50" s="21"/>
      <c r="D50" s="21"/>
      <c r="E50" s="21"/>
      <c r="F50" s="61"/>
    </row>
    <row r="51" spans="2:6">
      <c r="B51" s="57"/>
      <c r="C51" s="21"/>
      <c r="D51" s="21"/>
      <c r="E51" s="21"/>
      <c r="F51" s="61"/>
    </row>
    <row r="52" spans="2:6">
      <c r="B52" s="57"/>
      <c r="C52" s="21"/>
      <c r="D52" s="21"/>
      <c r="E52" s="21"/>
      <c r="F52" s="61"/>
    </row>
    <row r="53" spans="2:6">
      <c r="B53" s="57"/>
      <c r="C53" s="21"/>
      <c r="D53" s="21"/>
      <c r="E53" s="21"/>
      <c r="F53" s="61"/>
    </row>
    <row r="54" spans="2:6">
      <c r="B54" s="57"/>
      <c r="C54" s="21"/>
      <c r="D54" s="21"/>
      <c r="E54" s="21"/>
      <c r="F54" s="61"/>
    </row>
    <row r="55" spans="2:6">
      <c r="B55" s="57"/>
      <c r="C55" s="21"/>
      <c r="D55" s="21"/>
      <c r="E55" s="21"/>
      <c r="F55" s="61"/>
    </row>
    <row r="56" spans="2:6">
      <c r="B56" s="57"/>
      <c r="C56" s="21"/>
      <c r="D56" s="21"/>
      <c r="E56" s="21"/>
      <c r="F56" s="61"/>
    </row>
    <row r="57" spans="2:6">
      <c r="B57" s="57"/>
      <c r="C57" s="21"/>
      <c r="D57" s="21"/>
      <c r="E57" s="21"/>
      <c r="F57" s="61"/>
    </row>
    <row r="58" spans="2:6">
      <c r="B58" s="57"/>
      <c r="C58" s="21"/>
      <c r="D58" s="21"/>
      <c r="E58" s="21"/>
      <c r="F58" s="61"/>
    </row>
    <row r="59" spans="2:6">
      <c r="B59" s="57"/>
      <c r="C59" s="21"/>
      <c r="D59" s="21"/>
      <c r="E59" s="21"/>
      <c r="F59" s="61"/>
    </row>
    <row r="60" spans="2:6">
      <c r="B60" s="57"/>
      <c r="C60" s="21"/>
      <c r="D60" s="21" t="s">
        <v>14</v>
      </c>
      <c r="E60" s="21"/>
      <c r="F60" s="61"/>
    </row>
    <row r="61" spans="2:6">
      <c r="B61" s="57"/>
      <c r="C61" s="21"/>
      <c r="D61" s="21" t="s">
        <v>15</v>
      </c>
      <c r="E61" s="21"/>
      <c r="F61" s="61"/>
    </row>
  </sheetData>
  <sheetProtection password="C0F1" sheet="1" formatCells="0" formatColumns="0" formatRows="0" insertColumns="0" insertRows="0"/>
  <customSheetViews>
    <customSheetView guid="{1F4AFEE5-5BDD-4100-B0E9-57B262CA123C}" showPageBreaks="1" showGridLines="0" fitToPage="1" printArea="1" view="pageBreakPreview" topLeftCell="A26">
      <selection activeCell="A43" sqref="A43"/>
      <pageMargins left="0.45" right="0.45" top="0.5" bottom="0.25" header="0.3" footer="0.3"/>
      <printOptions horizontalCentered="1"/>
      <pageSetup scale="99" orientation="portrait" r:id="rId1"/>
      <headerFooter>
        <oddFooter>&amp;C&amp;A</oddFooter>
      </headerFooter>
    </customSheetView>
  </customSheetViews>
  <mergeCells count="27">
    <mergeCell ref="B39:D39"/>
    <mergeCell ref="B40:D40"/>
    <mergeCell ref="D42:E42"/>
    <mergeCell ref="B30:D30"/>
    <mergeCell ref="B31:D31"/>
    <mergeCell ref="B35:D35"/>
    <mergeCell ref="B36:D36"/>
    <mergeCell ref="B37:D37"/>
    <mergeCell ref="B38:D38"/>
    <mergeCell ref="B29:D29"/>
    <mergeCell ref="B12:D12"/>
    <mergeCell ref="B13:D13"/>
    <mergeCell ref="B17:D17"/>
    <mergeCell ref="B18:D18"/>
    <mergeCell ref="B19:D19"/>
    <mergeCell ref="B20:D20"/>
    <mergeCell ref="B21:D21"/>
    <mergeCell ref="B22:D22"/>
    <mergeCell ref="B26:D26"/>
    <mergeCell ref="B27:D27"/>
    <mergeCell ref="B28:D28"/>
    <mergeCell ref="B11:D11"/>
    <mergeCell ref="C2:E2"/>
    <mergeCell ref="A4:E4"/>
    <mergeCell ref="B8:D8"/>
    <mergeCell ref="B9:D9"/>
    <mergeCell ref="B10:D10"/>
  </mergeCells>
  <dataValidations count="1">
    <dataValidation type="list" allowBlank="1" showInputMessage="1" showErrorMessage="1" prompt="This field is to be used when filing under seal." sqref="D42:E42">
      <formula1>$D$59:$D$61</formula1>
    </dataValidation>
  </dataValidations>
  <printOptions horizontalCentered="1"/>
  <pageMargins left="0.45" right="0.45" top="0.5" bottom="0.25" header="0.3" footer="0.3"/>
  <pageSetup scale="95" orientation="portrait" r:id="rId2"/>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
  <sheetViews>
    <sheetView showGridLines="0" zoomScaleNormal="100" zoomScaleSheetLayoutView="100" workbookViewId="0">
      <selection activeCell="C20" sqref="C20"/>
    </sheetView>
  </sheetViews>
  <sheetFormatPr defaultRowHeight="15"/>
  <cols>
    <col min="1" max="1" width="2" style="118" customWidth="1"/>
    <col min="2" max="2" width="3.42578125" style="117" bestFit="1" customWidth="1"/>
    <col min="3" max="3" width="54.28515625" style="57" customWidth="1"/>
    <col min="4" max="7" width="15.7109375" style="57" customWidth="1"/>
    <col min="8" max="8" width="16.5703125" style="118" customWidth="1"/>
    <col min="9" max="9" width="0.85546875" style="174" customWidth="1"/>
    <col min="10" max="10" width="3.28515625" style="327" customWidth="1"/>
    <col min="11" max="11" width="3.140625" style="327" customWidth="1"/>
    <col min="12" max="12" width="9.140625" style="174"/>
    <col min="13" max="16384" width="9.140625" style="118"/>
  </cols>
  <sheetData>
    <row r="1" spans="2:11">
      <c r="C1" s="1171" t="s">
        <v>334</v>
      </c>
      <c r="D1" s="1171"/>
      <c r="E1" s="1171"/>
      <c r="F1" s="1171"/>
      <c r="G1" s="1171"/>
      <c r="H1" s="1171"/>
      <c r="J1" s="406">
        <v>2</v>
      </c>
      <c r="K1" s="406">
        <v>1</v>
      </c>
    </row>
    <row r="2" spans="2:11" ht="12.75" customHeight="1">
      <c r="C2" s="1333" t="s">
        <v>335</v>
      </c>
      <c r="D2" s="1333"/>
      <c r="E2" s="1333"/>
      <c r="F2" s="1333"/>
      <c r="G2" s="1333"/>
      <c r="H2" s="1333"/>
      <c r="J2" s="1248" t="s">
        <v>231</v>
      </c>
      <c r="K2" s="1240" t="s">
        <v>149</v>
      </c>
    </row>
    <row r="3" spans="2:11" ht="8.4499999999999993" customHeight="1" thickBot="1">
      <c r="J3" s="1248"/>
      <c r="K3" s="1240"/>
    </row>
    <row r="4" spans="2:11" ht="31.5" customHeight="1">
      <c r="C4" s="1376" t="s">
        <v>336</v>
      </c>
      <c r="D4" s="1379" t="s">
        <v>596</v>
      </c>
      <c r="E4" s="1225"/>
      <c r="F4" s="1225"/>
      <c r="G4" s="1225"/>
      <c r="H4" s="1380" t="s">
        <v>337</v>
      </c>
      <c r="J4" s="1248"/>
      <c r="K4" s="1240"/>
    </row>
    <row r="5" spans="2:11">
      <c r="B5" s="117">
        <v>3</v>
      </c>
      <c r="C5" s="1377"/>
      <c r="D5" s="1383"/>
      <c r="E5" s="1384"/>
      <c r="F5" s="1384"/>
      <c r="G5" s="1385"/>
      <c r="H5" s="1381"/>
      <c r="J5" s="1248"/>
      <c r="K5" s="1240"/>
    </row>
    <row r="6" spans="2:11">
      <c r="B6" s="117">
        <v>4</v>
      </c>
      <c r="C6" s="1377"/>
      <c r="D6" s="1386"/>
      <c r="E6" s="1387"/>
      <c r="F6" s="1387"/>
      <c r="G6" s="1387"/>
      <c r="H6" s="1381"/>
      <c r="J6" s="1248"/>
      <c r="K6" s="1240"/>
    </row>
    <row r="7" spans="2:11" ht="15" customHeight="1">
      <c r="B7" s="117">
        <v>5</v>
      </c>
      <c r="C7" s="1377"/>
      <c r="D7" s="1386"/>
      <c r="E7" s="1387"/>
      <c r="F7" s="1387"/>
      <c r="G7" s="1387"/>
      <c r="H7" s="1381"/>
      <c r="J7" s="515"/>
      <c r="K7" s="1240"/>
    </row>
    <row r="8" spans="2:11">
      <c r="B8" s="117">
        <v>6</v>
      </c>
      <c r="C8" s="1377"/>
      <c r="D8" s="1386"/>
      <c r="E8" s="1387"/>
      <c r="F8" s="1387"/>
      <c r="G8" s="1387"/>
      <c r="H8" s="1381"/>
      <c r="J8" s="1255" t="str">
        <f>IF(Cover!A1&gt;0, Cover!A1, "")</f>
        <v>Algonquin Water Resources of Missouri, LLC dba Liberty Utilities</v>
      </c>
      <c r="K8" s="1240"/>
    </row>
    <row r="9" spans="2:11">
      <c r="B9" s="117">
        <v>7</v>
      </c>
      <c r="C9" s="1377"/>
      <c r="D9" s="1386"/>
      <c r="E9" s="1387"/>
      <c r="F9" s="1387"/>
      <c r="G9" s="1387"/>
      <c r="H9" s="1381"/>
      <c r="J9" s="1255"/>
      <c r="K9" s="1240"/>
    </row>
    <row r="10" spans="2:11" ht="15.75" thickBot="1">
      <c r="C10" s="1378"/>
      <c r="D10" s="516" t="s">
        <v>193</v>
      </c>
      <c r="E10" s="516" t="s">
        <v>194</v>
      </c>
      <c r="F10" s="516" t="s">
        <v>226</v>
      </c>
      <c r="G10" s="516" t="s">
        <v>227</v>
      </c>
      <c r="H10" s="1382"/>
      <c r="J10" s="1255"/>
      <c r="K10" s="1240"/>
    </row>
    <row r="11" spans="2:11">
      <c r="C11" s="1388" t="s">
        <v>338</v>
      </c>
      <c r="D11" s="1203"/>
      <c r="E11" s="1203"/>
      <c r="F11" s="1203"/>
      <c r="G11" s="1203"/>
      <c r="H11" s="1389"/>
      <c r="J11" s="1255"/>
      <c r="K11" s="1240"/>
    </row>
    <row r="12" spans="2:11" ht="18" customHeight="1">
      <c r="B12" s="117">
        <v>8</v>
      </c>
      <c r="C12" s="151" t="s">
        <v>849</v>
      </c>
      <c r="D12" s="153">
        <v>6794000</v>
      </c>
      <c r="E12" s="153"/>
      <c r="F12" s="153"/>
      <c r="G12" s="153"/>
      <c r="H12" s="517">
        <f>SUM(D12:G12)</f>
        <v>6794000</v>
      </c>
      <c r="J12" s="1255"/>
      <c r="K12" s="1240"/>
    </row>
    <row r="13" spans="2:11" ht="18" customHeight="1">
      <c r="B13" s="117">
        <v>9</v>
      </c>
      <c r="C13" s="151" t="s">
        <v>850</v>
      </c>
      <c r="D13" s="152">
        <v>7147000</v>
      </c>
      <c r="E13" s="152"/>
      <c r="F13" s="152"/>
      <c r="G13" s="152"/>
      <c r="H13" s="517">
        <f t="shared" ref="H13:H23" si="0">SUM(D13:G13)</f>
        <v>7147000</v>
      </c>
      <c r="J13" s="1255"/>
      <c r="K13" s="1240"/>
    </row>
    <row r="14" spans="2:11" ht="18" customHeight="1">
      <c r="B14" s="117">
        <v>10</v>
      </c>
      <c r="C14" s="151" t="s">
        <v>851</v>
      </c>
      <c r="D14" s="152">
        <v>8318000</v>
      </c>
      <c r="E14" s="152"/>
      <c r="F14" s="152"/>
      <c r="G14" s="152"/>
      <c r="H14" s="517">
        <f t="shared" si="0"/>
        <v>8318000</v>
      </c>
      <c r="J14" s="1255"/>
      <c r="K14" s="1240"/>
    </row>
    <row r="15" spans="2:11" ht="18" customHeight="1">
      <c r="B15" s="117">
        <v>11</v>
      </c>
      <c r="C15" s="151" t="s">
        <v>852</v>
      </c>
      <c r="D15" s="152">
        <v>8204000</v>
      </c>
      <c r="E15" s="152"/>
      <c r="F15" s="152"/>
      <c r="G15" s="152"/>
      <c r="H15" s="517">
        <f t="shared" si="0"/>
        <v>8204000</v>
      </c>
      <c r="J15" s="1255"/>
      <c r="K15" s="1240"/>
    </row>
    <row r="16" spans="2:11" ht="18" customHeight="1">
      <c r="B16" s="117">
        <v>12</v>
      </c>
      <c r="C16" s="151" t="s">
        <v>853</v>
      </c>
      <c r="D16" s="152">
        <v>8940000</v>
      </c>
      <c r="E16" s="152"/>
      <c r="F16" s="152"/>
      <c r="G16" s="152"/>
      <c r="H16" s="517">
        <f t="shared" si="0"/>
        <v>8940000</v>
      </c>
      <c r="J16" s="1255"/>
      <c r="K16" s="1240"/>
    </row>
    <row r="17" spans="1:11" ht="18" customHeight="1">
      <c r="B17" s="117">
        <v>13</v>
      </c>
      <c r="C17" s="151" t="s">
        <v>854</v>
      </c>
      <c r="D17" s="152">
        <v>11824000</v>
      </c>
      <c r="E17" s="152"/>
      <c r="F17" s="152"/>
      <c r="G17" s="152"/>
      <c r="H17" s="517">
        <f t="shared" si="0"/>
        <v>11824000</v>
      </c>
      <c r="J17" s="1255"/>
      <c r="K17" s="1240"/>
    </row>
    <row r="18" spans="1:11" ht="18" customHeight="1">
      <c r="A18" s="446"/>
      <c r="B18" s="117">
        <v>14</v>
      </c>
      <c r="C18" s="151" t="s">
        <v>855</v>
      </c>
      <c r="D18" s="152">
        <v>17318000</v>
      </c>
      <c r="E18" s="152"/>
      <c r="F18" s="152"/>
      <c r="G18" s="152"/>
      <c r="H18" s="517">
        <f t="shared" si="0"/>
        <v>17318000</v>
      </c>
      <c r="J18" s="1255"/>
      <c r="K18" s="1240"/>
    </row>
    <row r="19" spans="1:11" ht="18" customHeight="1">
      <c r="B19" s="117">
        <v>15</v>
      </c>
      <c r="C19" s="151" t="s">
        <v>856</v>
      </c>
      <c r="D19" s="152">
        <v>18382000</v>
      </c>
      <c r="E19" s="152"/>
      <c r="F19" s="152"/>
      <c r="G19" s="152"/>
      <c r="H19" s="517">
        <f t="shared" si="0"/>
        <v>18382000</v>
      </c>
      <c r="J19" s="1255"/>
      <c r="K19" s="1240"/>
    </row>
    <row r="20" spans="1:11" ht="18" customHeight="1">
      <c r="B20" s="117">
        <v>16</v>
      </c>
      <c r="C20" s="151" t="s">
        <v>857</v>
      </c>
      <c r="D20" s="152">
        <v>9725000</v>
      </c>
      <c r="E20" s="152"/>
      <c r="F20" s="152"/>
      <c r="G20" s="152"/>
      <c r="H20" s="517">
        <f t="shared" si="0"/>
        <v>9725000</v>
      </c>
      <c r="J20" s="1255"/>
      <c r="K20" s="1240"/>
    </row>
    <row r="21" spans="1:11" ht="18" customHeight="1">
      <c r="B21" s="117">
        <v>17</v>
      </c>
      <c r="C21" s="151" t="s">
        <v>858</v>
      </c>
      <c r="D21" s="152">
        <v>8649000</v>
      </c>
      <c r="E21" s="152"/>
      <c r="F21" s="152"/>
      <c r="G21" s="152"/>
      <c r="H21" s="517">
        <f t="shared" si="0"/>
        <v>8649000</v>
      </c>
      <c r="J21" s="1255"/>
      <c r="K21" s="1240"/>
    </row>
    <row r="22" spans="1:11" ht="18" customHeight="1">
      <c r="B22" s="117">
        <v>18</v>
      </c>
      <c r="C22" s="151" t="s">
        <v>859</v>
      </c>
      <c r="D22" s="152">
        <v>8350000</v>
      </c>
      <c r="E22" s="152"/>
      <c r="F22" s="152"/>
      <c r="G22" s="152"/>
      <c r="H22" s="517">
        <f t="shared" si="0"/>
        <v>8350000</v>
      </c>
      <c r="J22" s="1255"/>
      <c r="K22" s="1240"/>
    </row>
    <row r="23" spans="1:11" ht="18" customHeight="1">
      <c r="B23" s="117">
        <v>19</v>
      </c>
      <c r="C23" s="151" t="s">
        <v>860</v>
      </c>
      <c r="D23" s="152">
        <v>8390000</v>
      </c>
      <c r="E23" s="152"/>
      <c r="F23" s="152"/>
      <c r="G23" s="152"/>
      <c r="H23" s="517">
        <f t="shared" si="0"/>
        <v>8390000</v>
      </c>
      <c r="J23" s="1255"/>
      <c r="K23" s="1240"/>
    </row>
    <row r="24" spans="1:11" ht="18" customHeight="1" thickBot="1">
      <c r="B24" s="117">
        <v>20</v>
      </c>
      <c r="C24" s="364" t="s">
        <v>714</v>
      </c>
      <c r="D24" s="518">
        <f>SUM(D12:D23)</f>
        <v>122041000</v>
      </c>
      <c r="E24" s="518">
        <f>SUM(E12:E23)</f>
        <v>0</v>
      </c>
      <c r="F24" s="518">
        <f>SUM(F12:F23)</f>
        <v>0</v>
      </c>
      <c r="G24" s="518">
        <f>SUM(G12:G23)</f>
        <v>0</v>
      </c>
      <c r="H24" s="519">
        <f>SUM(H12:H23)</f>
        <v>122041000</v>
      </c>
      <c r="J24" s="1255"/>
      <c r="K24" s="1240"/>
    </row>
    <row r="25" spans="1:11" ht="8.25" customHeight="1" thickTop="1" thickBot="1">
      <c r="C25" s="520"/>
      <c r="D25" s="521"/>
      <c r="E25" s="521"/>
      <c r="F25" s="521"/>
      <c r="G25" s="522"/>
      <c r="H25" s="523"/>
      <c r="J25" s="1255"/>
      <c r="K25" s="1240"/>
    </row>
    <row r="26" spans="1:11" ht="8.4499999999999993" customHeight="1">
      <c r="C26" s="1390"/>
      <c r="D26" s="1390"/>
      <c r="E26" s="1390"/>
      <c r="F26" s="1390"/>
      <c r="G26" s="1390"/>
      <c r="H26" s="1390"/>
      <c r="J26" s="1255"/>
      <c r="K26" s="1240"/>
    </row>
    <row r="27" spans="1:11">
      <c r="B27" s="117">
        <v>21</v>
      </c>
      <c r="C27" s="57" t="s">
        <v>339</v>
      </c>
      <c r="D27" s="154"/>
      <c r="E27" s="361"/>
      <c r="F27" s="524" t="s">
        <v>597</v>
      </c>
      <c r="G27" s="154"/>
      <c r="H27" s="361"/>
      <c r="J27" s="1255"/>
      <c r="K27" s="1240"/>
    </row>
    <row r="28" spans="1:11" ht="8.4499999999999993" customHeight="1">
      <c r="C28" s="1170"/>
      <c r="D28" s="1170"/>
      <c r="E28" s="1170"/>
      <c r="F28" s="1170"/>
      <c r="G28" s="1170"/>
      <c r="H28" s="1170"/>
      <c r="J28" s="1255"/>
      <c r="K28" s="1240"/>
    </row>
    <row r="29" spans="1:11">
      <c r="B29" s="117">
        <v>22</v>
      </c>
      <c r="C29" s="57" t="s">
        <v>340</v>
      </c>
      <c r="E29" s="1373"/>
      <c r="F29" s="1161"/>
      <c r="G29" s="1161"/>
      <c r="H29" s="1374"/>
      <c r="J29" s="1255"/>
      <c r="K29" s="1240"/>
    </row>
    <row r="30" spans="1:11" ht="8.4499999999999993" customHeight="1" thickBot="1">
      <c r="C30" s="1170"/>
      <c r="D30" s="1170"/>
      <c r="E30" s="1170"/>
      <c r="F30" s="1170"/>
      <c r="G30" s="1170"/>
      <c r="H30" s="1170"/>
      <c r="J30" s="1255"/>
      <c r="K30" s="1240"/>
    </row>
    <row r="31" spans="1:11" ht="15.75" thickBot="1">
      <c r="C31" s="1370" t="s">
        <v>341</v>
      </c>
      <c r="D31" s="1225"/>
      <c r="E31" s="1225"/>
      <c r="F31" s="1225"/>
      <c r="G31" s="1225"/>
      <c r="H31" s="1371"/>
      <c r="J31" s="1255"/>
      <c r="K31" s="1240"/>
    </row>
    <row r="32" spans="1:11" ht="21" customHeight="1" thickBot="1">
      <c r="C32" s="525" t="s">
        <v>342</v>
      </c>
      <c r="D32" s="1372" t="s">
        <v>343</v>
      </c>
      <c r="E32" s="1372"/>
      <c r="F32" s="1372"/>
      <c r="G32" s="526" t="s">
        <v>344</v>
      </c>
      <c r="H32" s="527" t="s">
        <v>271</v>
      </c>
      <c r="J32" s="1255"/>
      <c r="K32" s="1240"/>
    </row>
    <row r="33" spans="1:12" ht="18" customHeight="1">
      <c r="B33" s="117">
        <v>23</v>
      </c>
      <c r="C33" s="148" t="s">
        <v>448</v>
      </c>
      <c r="D33" s="1366"/>
      <c r="E33" s="1367"/>
      <c r="F33" s="1367"/>
      <c r="G33" s="178"/>
      <c r="H33" s="180"/>
      <c r="J33" s="1255"/>
      <c r="K33" s="1240"/>
    </row>
    <row r="34" spans="1:12" ht="18" customHeight="1">
      <c r="B34" s="117">
        <v>24</v>
      </c>
      <c r="C34" s="148"/>
      <c r="D34" s="1366"/>
      <c r="E34" s="1367"/>
      <c r="F34" s="1367"/>
      <c r="G34" s="178"/>
      <c r="H34" s="180"/>
      <c r="J34" s="1255"/>
      <c r="K34" s="1240"/>
    </row>
    <row r="35" spans="1:12" ht="18" customHeight="1">
      <c r="A35" s="1375" t="s">
        <v>345</v>
      </c>
      <c r="B35" s="117">
        <v>25</v>
      </c>
      <c r="C35" s="148"/>
      <c r="D35" s="1366"/>
      <c r="E35" s="1367"/>
      <c r="F35" s="1367"/>
      <c r="G35" s="178"/>
      <c r="H35" s="180"/>
      <c r="J35" s="1255"/>
      <c r="K35" s="1240"/>
    </row>
    <row r="36" spans="1:12" ht="18" customHeight="1" thickBot="1">
      <c r="A36" s="1375"/>
      <c r="B36" s="117">
        <v>26</v>
      </c>
      <c r="C36" s="155"/>
      <c r="D36" s="1368"/>
      <c r="E36" s="1369"/>
      <c r="F36" s="1369"/>
      <c r="G36" s="179"/>
      <c r="H36" s="181"/>
      <c r="J36" s="1255"/>
      <c r="K36" s="1303">
        <f>IF(Cover!D13&gt;0, Cover!D13, "")</f>
        <v>2011</v>
      </c>
    </row>
    <row r="37" spans="1:12" ht="9" customHeight="1">
      <c r="A37" s="1375"/>
      <c r="D37" s="59"/>
      <c r="E37" s="59"/>
      <c r="F37" s="59"/>
      <c r="G37" s="283"/>
      <c r="H37" s="528"/>
      <c r="J37" s="1255"/>
      <c r="K37" s="1303"/>
    </row>
    <row r="38" spans="1:12" ht="18">
      <c r="A38" s="1375"/>
      <c r="B38" s="297"/>
      <c r="C38" s="298" t="s">
        <v>712</v>
      </c>
      <c r="D38" s="412"/>
      <c r="E38" s="412"/>
      <c r="F38" s="412"/>
      <c r="G38" s="1104"/>
      <c r="H38" s="1105"/>
      <c r="I38" s="529"/>
      <c r="J38" s="1255"/>
      <c r="K38" s="1303"/>
    </row>
    <row r="39" spans="1:12" ht="12.75" customHeight="1">
      <c r="A39" s="1375"/>
      <c r="B39" s="299"/>
      <c r="C39" s="300" t="s">
        <v>713</v>
      </c>
      <c r="G39" s="1106" t="s">
        <v>13</v>
      </c>
      <c r="H39" s="1106"/>
    </row>
    <row r="40" spans="1:12" s="93" customFormat="1">
      <c r="B40" s="92"/>
      <c r="C40" s="83"/>
      <c r="D40" s="83"/>
      <c r="E40" s="83"/>
      <c r="F40" s="83"/>
      <c r="I40" s="237"/>
      <c r="J40" s="101"/>
      <c r="K40" s="101"/>
      <c r="L40" s="237"/>
    </row>
    <row r="41" spans="1:12" s="93" customFormat="1">
      <c r="B41" s="92"/>
      <c r="C41" s="83"/>
      <c r="D41" s="83"/>
      <c r="E41" s="83"/>
      <c r="F41" s="83"/>
      <c r="G41" s="17"/>
      <c r="H41" s="17"/>
      <c r="I41" s="237"/>
      <c r="J41" s="101"/>
      <c r="K41" s="101"/>
      <c r="L41" s="237"/>
    </row>
    <row r="42" spans="1:12" s="93" customFormat="1">
      <c r="B42" s="92"/>
      <c r="C42" s="83"/>
      <c r="D42" s="83"/>
      <c r="E42" s="83"/>
      <c r="F42" s="83"/>
      <c r="G42" s="17"/>
      <c r="H42" s="17"/>
      <c r="I42" s="237"/>
      <c r="J42" s="101"/>
      <c r="K42" s="101"/>
      <c r="L42" s="237"/>
    </row>
    <row r="43" spans="1:12" s="93" customFormat="1">
      <c r="B43" s="92"/>
      <c r="C43" s="83"/>
      <c r="D43" s="83"/>
      <c r="E43" s="83"/>
      <c r="F43" s="83"/>
      <c r="G43" s="17"/>
      <c r="H43" s="17"/>
      <c r="I43" s="237"/>
      <c r="J43" s="101"/>
      <c r="K43" s="101"/>
      <c r="L43" s="237"/>
    </row>
    <row r="44" spans="1:12" s="93" customFormat="1">
      <c r="A44" s="115"/>
      <c r="B44" s="92"/>
      <c r="C44" s="83"/>
      <c r="D44" s="83"/>
      <c r="E44" s="83"/>
      <c r="F44" s="83"/>
      <c r="G44" s="17"/>
      <c r="H44" s="17"/>
      <c r="I44" s="237"/>
      <c r="J44" s="101"/>
      <c r="K44" s="101"/>
      <c r="L44" s="237"/>
    </row>
    <row r="45" spans="1:12" s="93" customFormat="1">
      <c r="B45" s="92"/>
      <c r="C45" s="83"/>
      <c r="D45" s="83"/>
      <c r="E45" s="83"/>
      <c r="F45" s="83"/>
      <c r="G45" s="17"/>
      <c r="H45" s="17"/>
      <c r="I45" s="237"/>
      <c r="J45" s="101"/>
      <c r="K45" s="101"/>
      <c r="L45" s="237"/>
    </row>
    <row r="46" spans="1:12" s="93" customFormat="1">
      <c r="B46" s="92"/>
      <c r="C46" s="83"/>
      <c r="D46" s="83"/>
      <c r="E46" s="83"/>
      <c r="F46" s="83"/>
      <c r="G46" s="17"/>
      <c r="H46" s="17"/>
      <c r="I46" s="237"/>
      <c r="J46" s="101"/>
      <c r="K46" s="101"/>
      <c r="L46" s="237"/>
    </row>
    <row r="47" spans="1:12" s="93" customFormat="1">
      <c r="B47" s="92"/>
      <c r="C47" s="83"/>
      <c r="D47" s="83"/>
      <c r="E47" s="83"/>
      <c r="F47" s="83"/>
      <c r="G47" s="17"/>
      <c r="H47" s="17"/>
      <c r="I47" s="237"/>
      <c r="J47" s="101"/>
      <c r="K47" s="101"/>
      <c r="L47" s="237"/>
    </row>
    <row r="48" spans="1:12" s="93" customFormat="1" ht="12.75" customHeight="1">
      <c r="B48" s="92"/>
      <c r="C48" s="83"/>
      <c r="D48" s="83"/>
      <c r="E48" s="83"/>
      <c r="F48" s="83"/>
      <c r="G48" s="17"/>
      <c r="H48" s="17"/>
      <c r="I48" s="237"/>
      <c r="J48" s="101"/>
      <c r="K48" s="101"/>
      <c r="L48" s="237"/>
    </row>
    <row r="49" spans="2:12" s="93" customFormat="1">
      <c r="B49" s="92"/>
      <c r="C49" s="83"/>
      <c r="D49" s="83"/>
      <c r="E49" s="83"/>
      <c r="F49" s="83"/>
      <c r="G49" s="17"/>
      <c r="H49" s="17"/>
      <c r="I49" s="237"/>
      <c r="J49" s="101"/>
      <c r="K49" s="101"/>
      <c r="L49" s="237"/>
    </row>
    <row r="50" spans="2:12">
      <c r="G50" s="21"/>
      <c r="H50" s="21"/>
    </row>
    <row r="51" spans="2:12">
      <c r="G51" s="21"/>
      <c r="H51" s="21"/>
    </row>
    <row r="52" spans="2:12">
      <c r="G52" s="21"/>
      <c r="H52" s="21"/>
    </row>
    <row r="53" spans="2:12">
      <c r="G53" s="21"/>
      <c r="H53" s="21"/>
    </row>
    <row r="54" spans="2:12">
      <c r="G54" s="21"/>
      <c r="H54" s="21"/>
    </row>
    <row r="55" spans="2:12">
      <c r="G55" s="21"/>
      <c r="H55" s="21"/>
    </row>
    <row r="56" spans="2:12">
      <c r="G56" s="21"/>
      <c r="H56" s="21"/>
    </row>
    <row r="57" spans="2:12">
      <c r="G57" s="21"/>
      <c r="H57" s="21"/>
    </row>
    <row r="62" spans="2:12">
      <c r="J62" s="413"/>
    </row>
    <row r="67" spans="8:8">
      <c r="H67" s="118" t="s">
        <v>14</v>
      </c>
    </row>
    <row r="68" spans="8:8">
      <c r="H68" s="118" t="s">
        <v>15</v>
      </c>
    </row>
  </sheetData>
  <sheetProtection password="C0F1" sheet="1" formatCells="0" formatColumns="0" formatRows="0" insertColumns="0" insertRows="0"/>
  <customSheetViews>
    <customSheetView guid="{1F4AFEE5-5BDD-4100-B0E9-57B262CA123C}" scale="130" showPageBreaks="1" showGridLines="0" fitToPage="1" printArea="1" view="pageBreakPreview">
      <selection activeCell="B3" sqref="B3"/>
      <pageMargins left="0.45" right="0.45" top="0.5" bottom="0.25" header="0.3" footer="0.3"/>
      <printOptions horizontalCentered="1"/>
      <pageSetup scale="88" orientation="landscape" r:id="rId1"/>
      <headerFooter>
        <oddFooter>&amp;C&amp;A</oddFooter>
      </headerFooter>
    </customSheetView>
  </customSheetViews>
  <mergeCells count="28">
    <mergeCell ref="C1:H1"/>
    <mergeCell ref="C2:H2"/>
    <mergeCell ref="J2:J6"/>
    <mergeCell ref="K2:K35"/>
    <mergeCell ref="C4:C10"/>
    <mergeCell ref="D4:G4"/>
    <mergeCell ref="H4:H10"/>
    <mergeCell ref="D5:G5"/>
    <mergeCell ref="D6:G6"/>
    <mergeCell ref="D7:G7"/>
    <mergeCell ref="D8:G8"/>
    <mergeCell ref="J8:J38"/>
    <mergeCell ref="D9:G9"/>
    <mergeCell ref="C11:H11"/>
    <mergeCell ref="C26:H26"/>
    <mergeCell ref="C28:H28"/>
    <mergeCell ref="C30:H30"/>
    <mergeCell ref="C31:H31"/>
    <mergeCell ref="D32:F32"/>
    <mergeCell ref="E29:H29"/>
    <mergeCell ref="A35:A39"/>
    <mergeCell ref="D33:F33"/>
    <mergeCell ref="D34:F34"/>
    <mergeCell ref="K36:K38"/>
    <mergeCell ref="G38:H38"/>
    <mergeCell ref="G39:H39"/>
    <mergeCell ref="D35:F35"/>
    <mergeCell ref="D36:F36"/>
  </mergeCells>
  <dataValidations xWindow="968" yWindow="463" count="3">
    <dataValidation type="list" allowBlank="1" showInputMessage="1" prompt="This field is to be used when filing under seal." sqref="G40:H57">
      <formula1>#REF!</formula1>
    </dataValidation>
    <dataValidation type="list" allowBlank="1" showInputMessage="1" prompt="This field is to be used when filing under seal." sqref="G38:H38">
      <formula1>$H$66:$H$68</formula1>
    </dataValidation>
    <dataValidation allowBlank="1" showInputMessage="1" prompt="This field is to be used when filing under seal." sqref="G39:H39"/>
  </dataValidations>
  <printOptions horizontalCentered="1"/>
  <pageMargins left="0.45" right="0.45" top="0.5" bottom="0.25" header="0.3" footer="0.3"/>
  <pageSetup scale="87" orientation="landscape" r:id="rId2"/>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0"/>
  <sheetViews>
    <sheetView showGridLines="0" topLeftCell="A4" zoomScaleNormal="100" zoomScaleSheetLayoutView="100" workbookViewId="0">
      <selection activeCell="I15" sqref="I15"/>
    </sheetView>
  </sheetViews>
  <sheetFormatPr defaultRowHeight="12.75"/>
  <cols>
    <col min="1" max="1" width="2.7109375" style="117" bestFit="1" customWidth="1"/>
    <col min="2" max="2" width="16.85546875" style="57" customWidth="1"/>
    <col min="3" max="3" width="26.7109375" style="21" customWidth="1"/>
    <col min="4" max="5" width="6.7109375" style="61" customWidth="1"/>
    <col min="6" max="6" width="15.5703125" style="21" customWidth="1"/>
    <col min="7" max="7" width="15.7109375" style="21" customWidth="1"/>
    <col min="8" max="8" width="15.7109375" style="548" customWidth="1"/>
    <col min="9" max="9" width="15.7109375" style="21" customWidth="1"/>
    <col min="10" max="16384" width="9.140625" style="21"/>
  </cols>
  <sheetData>
    <row r="1" spans="1:10">
      <c r="A1" s="117">
        <v>1</v>
      </c>
      <c r="C1" s="57"/>
      <c r="D1" s="57"/>
      <c r="E1" s="57"/>
      <c r="F1" s="57"/>
      <c r="G1" s="57"/>
      <c r="H1" s="285" t="s">
        <v>149</v>
      </c>
      <c r="I1" s="303">
        <f>IF(Cover!D13&gt;0, Cover!D13, "")</f>
        <v>2011</v>
      </c>
    </row>
    <row r="2" spans="1:10">
      <c r="A2" s="117">
        <v>2</v>
      </c>
      <c r="B2" s="57" t="s">
        <v>150</v>
      </c>
      <c r="C2" s="1166" t="str">
        <f>IF(Cover!A1&gt;0, Cover!A1, "")</f>
        <v>Algonquin Water Resources of Missouri, LLC dba Liberty Utilities</v>
      </c>
      <c r="D2" s="1166"/>
      <c r="E2" s="1166"/>
      <c r="F2" s="1166"/>
      <c r="G2" s="1166"/>
      <c r="H2" s="1166"/>
      <c r="I2" s="1166"/>
    </row>
    <row r="3" spans="1:10" ht="3.95" customHeight="1">
      <c r="B3" s="1333"/>
      <c r="C3" s="1333"/>
      <c r="D3" s="1333"/>
      <c r="E3" s="1333"/>
      <c r="F3" s="1333"/>
      <c r="G3" s="1333"/>
      <c r="H3" s="1333"/>
      <c r="I3" s="1333"/>
    </row>
    <row r="4" spans="1:10" ht="12" customHeight="1" thickBot="1">
      <c r="B4" s="1403" t="s">
        <v>346</v>
      </c>
      <c r="C4" s="1403"/>
      <c r="D4" s="1403"/>
      <c r="E4" s="1403"/>
      <c r="F4" s="1403"/>
      <c r="G4" s="1403"/>
      <c r="H4" s="1403"/>
      <c r="I4" s="1403"/>
    </row>
    <row r="5" spans="1:10" ht="43.5" customHeight="1">
      <c r="B5" s="1406" t="s">
        <v>541</v>
      </c>
      <c r="C5" s="1405"/>
      <c r="D5" s="1404" t="s">
        <v>396</v>
      </c>
      <c r="E5" s="1405"/>
      <c r="F5" s="530" t="s">
        <v>598</v>
      </c>
      <c r="G5" s="699" t="s">
        <v>599</v>
      </c>
      <c r="H5" s="531" t="s">
        <v>600</v>
      </c>
      <c r="I5" s="532" t="s">
        <v>601</v>
      </c>
    </row>
    <row r="6" spans="1:10">
      <c r="B6" s="1326" t="s">
        <v>347</v>
      </c>
      <c r="C6" s="1392"/>
      <c r="D6" s="1407" t="s">
        <v>348</v>
      </c>
      <c r="E6" s="1408"/>
      <c r="F6" s="533"/>
      <c r="G6" s="533"/>
      <c r="H6" s="533"/>
      <c r="I6" s="534"/>
    </row>
    <row r="7" spans="1:10" ht="15" customHeight="1">
      <c r="A7" s="117">
        <v>3</v>
      </c>
      <c r="B7" s="1395" t="s">
        <v>349</v>
      </c>
      <c r="C7" s="1396"/>
      <c r="D7" s="1393">
        <v>301</v>
      </c>
      <c r="E7" s="1392"/>
      <c r="F7" s="156"/>
      <c r="G7" s="156">
        <v>35409</v>
      </c>
      <c r="H7" s="156"/>
      <c r="I7" s="536">
        <f>F7+G7-H7</f>
        <v>35409</v>
      </c>
    </row>
    <row r="8" spans="1:10" ht="15" customHeight="1">
      <c r="A8" s="117">
        <v>4</v>
      </c>
      <c r="B8" s="1395" t="s">
        <v>350</v>
      </c>
      <c r="C8" s="1396"/>
      <c r="D8" s="1393">
        <v>302</v>
      </c>
      <c r="E8" s="1392"/>
      <c r="F8" s="156"/>
      <c r="G8" s="156">
        <v>4109</v>
      </c>
      <c r="H8" s="156"/>
      <c r="I8" s="536">
        <f>F8+G8-H8</f>
        <v>4109</v>
      </c>
    </row>
    <row r="9" spans="1:10" ht="15" customHeight="1">
      <c r="A9" s="117">
        <v>5</v>
      </c>
      <c r="B9" s="1395" t="s">
        <v>351</v>
      </c>
      <c r="C9" s="1396"/>
      <c r="D9" s="1393">
        <v>303</v>
      </c>
      <c r="E9" s="1392"/>
      <c r="F9" s="156"/>
      <c r="G9" s="877">
        <f>11160</f>
        <v>11160</v>
      </c>
      <c r="H9" s="156"/>
      <c r="I9" s="536">
        <f>F9+G9-H9</f>
        <v>11160</v>
      </c>
    </row>
    <row r="10" spans="1:10" ht="15" customHeight="1">
      <c r="B10" s="1326" t="s">
        <v>352</v>
      </c>
      <c r="C10" s="1398"/>
      <c r="D10" s="1393"/>
      <c r="E10" s="1392"/>
      <c r="F10" s="533"/>
      <c r="G10" s="878"/>
      <c r="H10" s="533"/>
      <c r="I10" s="537"/>
      <c r="J10" s="61"/>
    </row>
    <row r="11" spans="1:10" ht="15" customHeight="1">
      <c r="A11" s="117">
        <v>6</v>
      </c>
      <c r="B11" s="1395" t="s">
        <v>353</v>
      </c>
      <c r="C11" s="1396"/>
      <c r="D11" s="1393">
        <v>310</v>
      </c>
      <c r="E11" s="1392"/>
      <c r="F11" s="156"/>
      <c r="G11" s="877">
        <f>2025+7321.6</f>
        <v>9346.6</v>
      </c>
      <c r="H11" s="156"/>
      <c r="I11" s="536">
        <f t="shared" ref="I11:I43" si="0">F11+G11-H11</f>
        <v>9346.6</v>
      </c>
      <c r="J11" s="61"/>
    </row>
    <row r="12" spans="1:10" ht="15" customHeight="1">
      <c r="A12" s="117">
        <v>7</v>
      </c>
      <c r="B12" s="1395" t="s">
        <v>354</v>
      </c>
      <c r="C12" s="1396"/>
      <c r="D12" s="1393">
        <v>311</v>
      </c>
      <c r="E12" s="1392"/>
      <c r="F12" s="156">
        <v>446389.49</v>
      </c>
      <c r="G12" s="877">
        <f>20236.4</f>
        <v>20236.400000000001</v>
      </c>
      <c r="H12" s="156"/>
      <c r="I12" s="536">
        <f t="shared" si="0"/>
        <v>466625.89</v>
      </c>
      <c r="J12" s="61"/>
    </row>
    <row r="13" spans="1:10" ht="15" customHeight="1">
      <c r="A13" s="117">
        <v>8</v>
      </c>
      <c r="B13" s="1395" t="s">
        <v>355</v>
      </c>
      <c r="C13" s="1396"/>
      <c r="D13" s="1393">
        <v>312</v>
      </c>
      <c r="E13" s="1392"/>
      <c r="F13" s="156"/>
      <c r="G13" s="877"/>
      <c r="H13" s="156"/>
      <c r="I13" s="536">
        <f t="shared" si="0"/>
        <v>0</v>
      </c>
      <c r="J13" s="61"/>
    </row>
    <row r="14" spans="1:10" ht="15" customHeight="1">
      <c r="A14" s="117">
        <v>9</v>
      </c>
      <c r="B14" s="1395" t="s">
        <v>356</v>
      </c>
      <c r="C14" s="1396"/>
      <c r="D14" s="1393">
        <v>313</v>
      </c>
      <c r="E14" s="1392"/>
      <c r="F14" s="156"/>
      <c r="G14" s="877"/>
      <c r="H14" s="156"/>
      <c r="I14" s="536">
        <f t="shared" si="0"/>
        <v>0</v>
      </c>
      <c r="J14" s="61"/>
    </row>
    <row r="15" spans="1:10" ht="15" customHeight="1">
      <c r="A15" s="117">
        <v>10</v>
      </c>
      <c r="B15" s="1395" t="s">
        <v>357</v>
      </c>
      <c r="C15" s="1396"/>
      <c r="D15" s="1393">
        <v>314</v>
      </c>
      <c r="E15" s="1392"/>
      <c r="F15" s="156">
        <v>28841.21</v>
      </c>
      <c r="G15" s="877">
        <f>120654.6+12979</f>
        <v>133633.60000000001</v>
      </c>
      <c r="H15" s="156"/>
      <c r="I15" s="536">
        <f t="shared" si="0"/>
        <v>162474.81</v>
      </c>
      <c r="J15" s="61"/>
    </row>
    <row r="16" spans="1:10" ht="15" customHeight="1">
      <c r="A16" s="117">
        <v>11</v>
      </c>
      <c r="B16" s="1395" t="s">
        <v>358</v>
      </c>
      <c r="C16" s="1396"/>
      <c r="D16" s="1393">
        <v>315</v>
      </c>
      <c r="E16" s="1392"/>
      <c r="F16" s="156"/>
      <c r="G16" s="877"/>
      <c r="H16" s="156"/>
      <c r="I16" s="536">
        <f t="shared" si="0"/>
        <v>0</v>
      </c>
      <c r="J16" s="61"/>
    </row>
    <row r="17" spans="1:10" ht="15" customHeight="1">
      <c r="A17" s="117">
        <v>12</v>
      </c>
      <c r="B17" s="1395" t="s">
        <v>359</v>
      </c>
      <c r="C17" s="1396"/>
      <c r="D17" s="1393">
        <v>316</v>
      </c>
      <c r="E17" s="1392"/>
      <c r="F17" s="156">
        <v>5536.89</v>
      </c>
      <c r="G17" s="877"/>
      <c r="H17" s="156"/>
      <c r="I17" s="536">
        <f t="shared" si="0"/>
        <v>5536.89</v>
      </c>
      <c r="J17" s="61"/>
    </row>
    <row r="18" spans="1:10" ht="15" customHeight="1">
      <c r="A18" s="117">
        <v>13</v>
      </c>
      <c r="B18" s="1395" t="s">
        <v>764</v>
      </c>
      <c r="C18" s="1396"/>
      <c r="D18" s="1393">
        <v>317</v>
      </c>
      <c r="E18" s="1392"/>
      <c r="F18" s="156"/>
      <c r="G18" s="877"/>
      <c r="H18" s="156"/>
      <c r="I18" s="536">
        <f t="shared" si="0"/>
        <v>0</v>
      </c>
      <c r="J18" s="61"/>
    </row>
    <row r="19" spans="1:10" ht="15" customHeight="1">
      <c r="B19" s="1326" t="s">
        <v>360</v>
      </c>
      <c r="C19" s="1398"/>
      <c r="D19" s="1393"/>
      <c r="E19" s="1392"/>
      <c r="F19" s="533"/>
      <c r="G19" s="878"/>
      <c r="H19" s="533"/>
      <c r="I19" s="534"/>
      <c r="J19" s="61"/>
    </row>
    <row r="20" spans="1:10" ht="15" customHeight="1">
      <c r="A20" s="117">
        <v>14</v>
      </c>
      <c r="B20" s="1395" t="s">
        <v>353</v>
      </c>
      <c r="C20" s="1396"/>
      <c r="D20" s="1393">
        <v>320</v>
      </c>
      <c r="E20" s="1392"/>
      <c r="F20" s="156"/>
      <c r="G20" s="877"/>
      <c r="H20" s="156"/>
      <c r="I20" s="536">
        <f t="shared" si="0"/>
        <v>0</v>
      </c>
      <c r="J20" s="61"/>
    </row>
    <row r="21" spans="1:10" ht="15" customHeight="1">
      <c r="A21" s="117">
        <v>15</v>
      </c>
      <c r="B21" s="1395" t="s">
        <v>354</v>
      </c>
      <c r="C21" s="1396"/>
      <c r="D21" s="1393">
        <v>321</v>
      </c>
      <c r="E21" s="1392"/>
      <c r="F21" s="156"/>
      <c r="G21" s="877">
        <f>60551.1+43958</f>
        <v>104509.1</v>
      </c>
      <c r="H21" s="156"/>
      <c r="I21" s="536">
        <f t="shared" si="0"/>
        <v>104509.1</v>
      </c>
      <c r="J21" s="61"/>
    </row>
    <row r="22" spans="1:10" ht="15" customHeight="1">
      <c r="A22" s="117">
        <v>16</v>
      </c>
      <c r="B22" s="1395" t="s">
        <v>361</v>
      </c>
      <c r="C22" s="1396"/>
      <c r="D22" s="1393">
        <v>322</v>
      </c>
      <c r="E22" s="1392"/>
      <c r="F22" s="156"/>
      <c r="G22" s="877"/>
      <c r="H22" s="156"/>
      <c r="I22" s="536">
        <f t="shared" si="0"/>
        <v>0</v>
      </c>
      <c r="J22" s="61"/>
    </row>
    <row r="23" spans="1:10" ht="25.5" customHeight="1">
      <c r="A23" s="284">
        <v>17</v>
      </c>
      <c r="B23" s="1399" t="s">
        <v>765</v>
      </c>
      <c r="C23" s="1400"/>
      <c r="D23" s="1401">
        <v>323</v>
      </c>
      <c r="E23" s="1402"/>
      <c r="F23" s="235"/>
      <c r="G23" s="879">
        <v>22847</v>
      </c>
      <c r="H23" s="235"/>
      <c r="I23" s="539">
        <f t="shared" si="0"/>
        <v>22847</v>
      </c>
      <c r="J23" s="66"/>
    </row>
    <row r="24" spans="1:10" ht="15" customHeight="1">
      <c r="A24" s="117">
        <v>18</v>
      </c>
      <c r="B24" s="1395" t="s">
        <v>362</v>
      </c>
      <c r="C24" s="1396"/>
      <c r="D24" s="1393">
        <v>325.10000000000002</v>
      </c>
      <c r="E24" s="1392"/>
      <c r="F24" s="156">
        <v>536014.51</v>
      </c>
      <c r="G24" s="877">
        <f>288684.06+27</f>
        <v>288711.06</v>
      </c>
      <c r="H24" s="156"/>
      <c r="I24" s="536">
        <f t="shared" si="0"/>
        <v>824725.57000000007</v>
      </c>
      <c r="J24" s="61"/>
    </row>
    <row r="25" spans="1:10" ht="15" customHeight="1">
      <c r="A25" s="117">
        <v>19</v>
      </c>
      <c r="B25" s="1395" t="s">
        <v>363</v>
      </c>
      <c r="C25" s="1396"/>
      <c r="D25" s="1393">
        <v>325.2</v>
      </c>
      <c r="E25" s="1392"/>
      <c r="F25" s="156"/>
      <c r="G25" s="877">
        <f>12347.13</f>
        <v>12347.13</v>
      </c>
      <c r="H25" s="156"/>
      <c r="I25" s="536">
        <f t="shared" si="0"/>
        <v>12347.13</v>
      </c>
      <c r="J25" s="61"/>
    </row>
    <row r="26" spans="1:10" ht="15" customHeight="1">
      <c r="A26" s="117">
        <v>20</v>
      </c>
      <c r="B26" s="1395" t="s">
        <v>364</v>
      </c>
      <c r="C26" s="1396"/>
      <c r="D26" s="1393">
        <v>326</v>
      </c>
      <c r="E26" s="1392"/>
      <c r="F26" s="156"/>
      <c r="G26" s="877"/>
      <c r="H26" s="156"/>
      <c r="I26" s="536">
        <f t="shared" si="0"/>
        <v>0</v>
      </c>
      <c r="J26" s="61"/>
    </row>
    <row r="27" spans="1:10" ht="15" customHeight="1">
      <c r="A27" s="117">
        <v>21</v>
      </c>
      <c r="B27" s="1395" t="s">
        <v>365</v>
      </c>
      <c r="C27" s="1396"/>
      <c r="D27" s="1393">
        <v>327</v>
      </c>
      <c r="E27" s="1392"/>
      <c r="F27" s="156"/>
      <c r="G27" s="877"/>
      <c r="H27" s="156"/>
      <c r="I27" s="536">
        <f t="shared" si="0"/>
        <v>0</v>
      </c>
      <c r="J27" s="61"/>
    </row>
    <row r="28" spans="1:10" ht="15" customHeight="1">
      <c r="A28" s="117">
        <v>22</v>
      </c>
      <c r="B28" s="1395" t="s">
        <v>766</v>
      </c>
      <c r="C28" s="1396"/>
      <c r="D28" s="1393">
        <v>328</v>
      </c>
      <c r="E28" s="1392"/>
      <c r="F28" s="156"/>
      <c r="G28" s="877"/>
      <c r="H28" s="156"/>
      <c r="I28" s="536">
        <f t="shared" si="0"/>
        <v>0</v>
      </c>
      <c r="J28" s="61"/>
    </row>
    <row r="29" spans="1:10" ht="15" customHeight="1">
      <c r="B29" s="1326" t="s">
        <v>366</v>
      </c>
      <c r="C29" s="1398"/>
      <c r="D29" s="1393"/>
      <c r="E29" s="1392"/>
      <c r="F29" s="533"/>
      <c r="G29" s="878"/>
      <c r="H29" s="533"/>
      <c r="I29" s="534"/>
      <c r="J29" s="61"/>
    </row>
    <row r="30" spans="1:10" ht="15" customHeight="1">
      <c r="A30" s="117">
        <v>23</v>
      </c>
      <c r="B30" s="1395" t="s">
        <v>353</v>
      </c>
      <c r="C30" s="1396"/>
      <c r="D30" s="1393">
        <v>330</v>
      </c>
      <c r="E30" s="1392"/>
      <c r="F30" s="156"/>
      <c r="G30" s="877"/>
      <c r="H30" s="156"/>
      <c r="I30" s="536">
        <f t="shared" si="0"/>
        <v>0</v>
      </c>
      <c r="J30" s="61"/>
    </row>
    <row r="31" spans="1:10" ht="15" customHeight="1">
      <c r="A31" s="117">
        <v>24</v>
      </c>
      <c r="B31" s="1395" t="s">
        <v>354</v>
      </c>
      <c r="C31" s="1396"/>
      <c r="D31" s="1393">
        <v>331</v>
      </c>
      <c r="E31" s="1392"/>
      <c r="F31" s="156"/>
      <c r="G31" s="877"/>
      <c r="H31" s="156"/>
      <c r="I31" s="536">
        <f t="shared" si="0"/>
        <v>0</v>
      </c>
      <c r="J31" s="61"/>
    </row>
    <row r="32" spans="1:10" ht="15" customHeight="1">
      <c r="A32" s="117">
        <v>25</v>
      </c>
      <c r="B32" s="1395" t="s">
        <v>367</v>
      </c>
      <c r="C32" s="1396"/>
      <c r="D32" s="1393">
        <v>332</v>
      </c>
      <c r="E32" s="1392"/>
      <c r="F32" s="156">
        <v>843142.41</v>
      </c>
      <c r="G32" s="156">
        <f>17314.66-111.18</f>
        <v>17203.48</v>
      </c>
      <c r="H32" s="156"/>
      <c r="I32" s="536">
        <f t="shared" si="0"/>
        <v>860345.89</v>
      </c>
      <c r="J32" s="61"/>
    </row>
    <row r="33" spans="1:10" ht="15" customHeight="1">
      <c r="B33" s="1326" t="s">
        <v>368</v>
      </c>
      <c r="C33" s="1392"/>
      <c r="D33" s="1393"/>
      <c r="E33" s="1392"/>
      <c r="F33" s="533"/>
      <c r="G33" s="533"/>
      <c r="H33" s="533"/>
      <c r="I33" s="534"/>
      <c r="J33" s="61"/>
    </row>
    <row r="34" spans="1:10" ht="15" customHeight="1">
      <c r="A34" s="117">
        <v>26</v>
      </c>
      <c r="B34" s="1395" t="s">
        <v>353</v>
      </c>
      <c r="C34" s="1396"/>
      <c r="D34" s="1393">
        <v>340</v>
      </c>
      <c r="E34" s="1392"/>
      <c r="F34" s="156"/>
      <c r="G34" s="156"/>
      <c r="H34" s="156"/>
      <c r="I34" s="536">
        <f t="shared" si="0"/>
        <v>0</v>
      </c>
      <c r="J34" s="61"/>
    </row>
    <row r="35" spans="1:10" ht="15" customHeight="1">
      <c r="A35" s="117">
        <v>27</v>
      </c>
      <c r="B35" s="1395" t="s">
        <v>354</v>
      </c>
      <c r="C35" s="1396"/>
      <c r="D35" s="1393">
        <v>341</v>
      </c>
      <c r="E35" s="1392"/>
      <c r="F35" s="156"/>
      <c r="G35" s="156"/>
      <c r="H35" s="156"/>
      <c r="I35" s="536">
        <f t="shared" si="0"/>
        <v>0</v>
      </c>
      <c r="J35" s="61"/>
    </row>
    <row r="36" spans="1:10" ht="15" customHeight="1">
      <c r="A36" s="117">
        <v>28</v>
      </c>
      <c r="B36" s="1395" t="s">
        <v>369</v>
      </c>
      <c r="C36" s="1396"/>
      <c r="D36" s="1393">
        <v>342</v>
      </c>
      <c r="E36" s="1392"/>
      <c r="F36" s="156">
        <v>385472.22</v>
      </c>
      <c r="G36" s="156">
        <v>375218.83</v>
      </c>
      <c r="H36" s="156"/>
      <c r="I36" s="536">
        <f t="shared" si="0"/>
        <v>760691.05</v>
      </c>
      <c r="J36" s="61"/>
    </row>
    <row r="37" spans="1:10" ht="15" customHeight="1">
      <c r="A37" s="117">
        <v>29</v>
      </c>
      <c r="B37" s="1395" t="s">
        <v>370</v>
      </c>
      <c r="C37" s="1396"/>
      <c r="D37" s="1393">
        <v>343</v>
      </c>
      <c r="E37" s="1392"/>
      <c r="F37" s="156">
        <v>2319599.94</v>
      </c>
      <c r="G37" s="156">
        <v>689650.02</v>
      </c>
      <c r="H37" s="156"/>
      <c r="I37" s="536">
        <f t="shared" si="0"/>
        <v>3009249.96</v>
      </c>
      <c r="J37" s="61"/>
    </row>
    <row r="38" spans="1:10" ht="15" customHeight="1">
      <c r="A38" s="117">
        <v>30</v>
      </c>
      <c r="B38" s="1395" t="s">
        <v>371</v>
      </c>
      <c r="C38" s="1396"/>
      <c r="D38" s="1393">
        <v>344</v>
      </c>
      <c r="E38" s="1392"/>
      <c r="F38" s="156"/>
      <c r="G38" s="156"/>
      <c r="H38" s="156"/>
      <c r="I38" s="536">
        <f t="shared" si="0"/>
        <v>0</v>
      </c>
      <c r="J38" s="61"/>
    </row>
    <row r="39" spans="1:10" ht="15" customHeight="1">
      <c r="A39" s="117">
        <v>31</v>
      </c>
      <c r="B39" s="1395" t="s">
        <v>372</v>
      </c>
      <c r="C39" s="1396"/>
      <c r="D39" s="1393">
        <v>345</v>
      </c>
      <c r="E39" s="1392"/>
      <c r="F39" s="156">
        <v>120873</v>
      </c>
      <c r="G39" s="156">
        <f>749.89+11082.22</f>
        <v>11832.109999999999</v>
      </c>
      <c r="H39" s="156"/>
      <c r="I39" s="536">
        <f t="shared" si="0"/>
        <v>132705.10999999999</v>
      </c>
      <c r="J39" s="61"/>
    </row>
    <row r="40" spans="1:10" ht="15" customHeight="1">
      <c r="A40" s="117">
        <v>32</v>
      </c>
      <c r="B40" s="1395" t="s">
        <v>373</v>
      </c>
      <c r="C40" s="1396"/>
      <c r="D40" s="1393">
        <v>346</v>
      </c>
      <c r="E40" s="1392"/>
      <c r="F40" s="156">
        <v>215011.15</v>
      </c>
      <c r="G40" s="156">
        <v>220384.48</v>
      </c>
      <c r="H40" s="156"/>
      <c r="I40" s="536">
        <f t="shared" si="0"/>
        <v>435395.63</v>
      </c>
      <c r="J40" s="61"/>
    </row>
    <row r="41" spans="1:10" ht="15" customHeight="1">
      <c r="A41" s="117">
        <v>33</v>
      </c>
      <c r="B41" s="1395" t="s">
        <v>374</v>
      </c>
      <c r="C41" s="1396"/>
      <c r="D41" s="1393">
        <v>347</v>
      </c>
      <c r="E41" s="1392"/>
      <c r="F41" s="156"/>
      <c r="G41" s="156">
        <v>31674</v>
      </c>
      <c r="H41" s="156"/>
      <c r="I41" s="536">
        <f t="shared" si="0"/>
        <v>31674</v>
      </c>
      <c r="J41" s="61"/>
    </row>
    <row r="42" spans="1:10" ht="15" customHeight="1">
      <c r="A42" s="117">
        <v>34</v>
      </c>
      <c r="B42" s="1395" t="s">
        <v>375</v>
      </c>
      <c r="C42" s="1396"/>
      <c r="D42" s="1393">
        <v>348</v>
      </c>
      <c r="E42" s="1392"/>
      <c r="F42" s="156">
        <v>67975.41</v>
      </c>
      <c r="G42" s="156">
        <f>23073.32+16900</f>
        <v>39973.32</v>
      </c>
      <c r="H42" s="156"/>
      <c r="I42" s="536">
        <f t="shared" si="0"/>
        <v>107948.73000000001</v>
      </c>
      <c r="J42" s="61"/>
    </row>
    <row r="43" spans="1:10" ht="15" customHeight="1">
      <c r="A43" s="117">
        <v>35</v>
      </c>
      <c r="B43" s="1395" t="s">
        <v>376</v>
      </c>
      <c r="C43" s="1396"/>
      <c r="D43" s="1393">
        <v>349</v>
      </c>
      <c r="E43" s="1392"/>
      <c r="F43" s="156"/>
      <c r="G43" s="156"/>
      <c r="H43" s="156"/>
      <c r="I43" s="536">
        <f t="shared" si="0"/>
        <v>0</v>
      </c>
      <c r="J43" s="61"/>
    </row>
    <row r="44" spans="1:10" ht="15" customHeight="1">
      <c r="B44" s="1326" t="s">
        <v>377</v>
      </c>
      <c r="C44" s="1392"/>
      <c r="D44" s="1393"/>
      <c r="E44" s="1392"/>
      <c r="F44" s="533"/>
      <c r="G44" s="533"/>
      <c r="H44" s="533"/>
      <c r="I44" s="534"/>
    </row>
    <row r="45" spans="1:10" ht="15" customHeight="1">
      <c r="B45" s="1394" t="s">
        <v>378</v>
      </c>
      <c r="C45" s="1198"/>
      <c r="D45" s="540" t="s">
        <v>379</v>
      </c>
      <c r="E45" s="119" t="s">
        <v>380</v>
      </c>
      <c r="F45" s="533"/>
      <c r="G45" s="533"/>
      <c r="H45" s="533"/>
      <c r="I45" s="534"/>
    </row>
    <row r="46" spans="1:10" ht="15" customHeight="1">
      <c r="A46" s="117">
        <v>36</v>
      </c>
      <c r="B46" s="1395" t="s">
        <v>381</v>
      </c>
      <c r="C46" s="1396"/>
      <c r="D46" s="123">
        <v>389</v>
      </c>
      <c r="E46" s="535">
        <v>370</v>
      </c>
      <c r="F46" s="156"/>
      <c r="G46" s="156"/>
      <c r="H46" s="156"/>
      <c r="I46" s="536">
        <f t="shared" ref="I46:I58" si="1">F46+G46-H46</f>
        <v>0</v>
      </c>
    </row>
    <row r="47" spans="1:10" ht="15" customHeight="1">
      <c r="A47" s="117">
        <v>37</v>
      </c>
      <c r="B47" s="319" t="s">
        <v>382</v>
      </c>
      <c r="C47" s="309"/>
      <c r="D47" s="123">
        <v>390</v>
      </c>
      <c r="E47" s="535">
        <v>371</v>
      </c>
      <c r="F47" s="156"/>
      <c r="G47" s="156"/>
      <c r="H47" s="156"/>
      <c r="I47" s="536">
        <f t="shared" si="1"/>
        <v>0</v>
      </c>
    </row>
    <row r="48" spans="1:10" ht="15" customHeight="1">
      <c r="A48" s="117">
        <v>38</v>
      </c>
      <c r="B48" s="319" t="s">
        <v>383</v>
      </c>
      <c r="C48" s="309"/>
      <c r="D48" s="123">
        <v>391</v>
      </c>
      <c r="E48" s="535">
        <v>372</v>
      </c>
      <c r="F48" s="156">
        <v>66096.39</v>
      </c>
      <c r="G48" s="156">
        <f>13583.79+3607</f>
        <v>17190.79</v>
      </c>
      <c r="H48" s="156"/>
      <c r="I48" s="536">
        <f t="shared" si="1"/>
        <v>83287.179999999993</v>
      </c>
    </row>
    <row r="49" spans="1:10" ht="15" customHeight="1">
      <c r="A49" s="117">
        <v>39</v>
      </c>
      <c r="B49" s="319" t="s">
        <v>384</v>
      </c>
      <c r="C49" s="309"/>
      <c r="D49" s="123">
        <v>391.1</v>
      </c>
      <c r="E49" s="535">
        <v>372.1</v>
      </c>
      <c r="F49" s="156"/>
      <c r="G49" s="156"/>
      <c r="H49" s="156"/>
      <c r="I49" s="536">
        <f t="shared" si="1"/>
        <v>0</v>
      </c>
    </row>
    <row r="50" spans="1:10" ht="15" customHeight="1">
      <c r="A50" s="117">
        <v>40</v>
      </c>
      <c r="B50" s="319" t="s">
        <v>385</v>
      </c>
      <c r="C50" s="309"/>
      <c r="D50" s="123">
        <v>392</v>
      </c>
      <c r="E50" s="535">
        <v>373</v>
      </c>
      <c r="F50" s="156"/>
      <c r="G50" s="156">
        <v>26717</v>
      </c>
      <c r="H50" s="156"/>
      <c r="I50" s="536">
        <f t="shared" si="1"/>
        <v>26717</v>
      </c>
    </row>
    <row r="51" spans="1:10" ht="15" customHeight="1">
      <c r="A51" s="117">
        <v>41</v>
      </c>
      <c r="B51" s="1395" t="s">
        <v>386</v>
      </c>
      <c r="C51" s="1396"/>
      <c r="D51" s="123" t="s">
        <v>387</v>
      </c>
      <c r="E51" s="535">
        <v>379</v>
      </c>
      <c r="F51" s="156"/>
      <c r="G51" s="156"/>
      <c r="H51" s="156"/>
      <c r="I51" s="536">
        <f t="shared" si="1"/>
        <v>0</v>
      </c>
    </row>
    <row r="52" spans="1:10" ht="15" customHeight="1">
      <c r="A52" s="117">
        <v>42</v>
      </c>
      <c r="B52" s="319" t="s">
        <v>388</v>
      </c>
      <c r="C52" s="309"/>
      <c r="D52" s="123">
        <v>393</v>
      </c>
      <c r="E52" s="123" t="s">
        <v>387</v>
      </c>
      <c r="F52" s="156"/>
      <c r="G52" s="156"/>
      <c r="H52" s="156"/>
      <c r="I52" s="536">
        <f t="shared" si="1"/>
        <v>0</v>
      </c>
    </row>
    <row r="53" spans="1:10" ht="15" customHeight="1">
      <c r="A53" s="117">
        <v>43</v>
      </c>
      <c r="B53" s="319" t="s">
        <v>389</v>
      </c>
      <c r="C53" s="309"/>
      <c r="D53" s="123">
        <v>394</v>
      </c>
      <c r="E53" s="123" t="s">
        <v>387</v>
      </c>
      <c r="F53" s="156">
        <v>15338.28</v>
      </c>
      <c r="G53" s="156">
        <v>13735.11</v>
      </c>
      <c r="H53" s="156"/>
      <c r="I53" s="536">
        <f t="shared" si="1"/>
        <v>29073.39</v>
      </c>
    </row>
    <row r="54" spans="1:10" ht="15" customHeight="1">
      <c r="A54" s="117">
        <v>44</v>
      </c>
      <c r="B54" s="319" t="s">
        <v>390</v>
      </c>
      <c r="C54" s="309"/>
      <c r="D54" s="123">
        <v>395</v>
      </c>
      <c r="E54" s="123" t="s">
        <v>387</v>
      </c>
      <c r="F54" s="156"/>
      <c r="G54" s="156"/>
      <c r="H54" s="156"/>
      <c r="I54" s="536">
        <f t="shared" si="1"/>
        <v>0</v>
      </c>
    </row>
    <row r="55" spans="1:10" ht="15" customHeight="1">
      <c r="A55" s="117">
        <v>45</v>
      </c>
      <c r="B55" s="319" t="s">
        <v>391</v>
      </c>
      <c r="C55" s="309"/>
      <c r="D55" s="123">
        <v>396</v>
      </c>
      <c r="E55" s="123" t="s">
        <v>387</v>
      </c>
      <c r="F55" s="156"/>
      <c r="G55" s="156">
        <v>24467.99</v>
      </c>
      <c r="H55" s="156"/>
      <c r="I55" s="536">
        <f t="shared" si="1"/>
        <v>24467.99</v>
      </c>
    </row>
    <row r="56" spans="1:10" ht="15" customHeight="1">
      <c r="A56" s="117">
        <v>46</v>
      </c>
      <c r="B56" s="319" t="s">
        <v>392</v>
      </c>
      <c r="C56" s="309"/>
      <c r="D56" s="123">
        <v>397</v>
      </c>
      <c r="E56" s="123" t="s">
        <v>387</v>
      </c>
      <c r="F56" s="156">
        <v>5706.86</v>
      </c>
      <c r="G56" s="156">
        <v>85</v>
      </c>
      <c r="H56" s="156"/>
      <c r="I56" s="536">
        <f t="shared" si="1"/>
        <v>5791.86</v>
      </c>
    </row>
    <row r="57" spans="1:10" ht="15" customHeight="1">
      <c r="A57" s="117">
        <v>47</v>
      </c>
      <c r="B57" s="319" t="s">
        <v>393</v>
      </c>
      <c r="C57" s="309"/>
      <c r="D57" s="123">
        <v>398</v>
      </c>
      <c r="E57" s="123" t="s">
        <v>387</v>
      </c>
      <c r="F57" s="156">
        <v>1159.74</v>
      </c>
      <c r="G57" s="156"/>
      <c r="H57" s="156"/>
      <c r="I57" s="536">
        <f t="shared" si="1"/>
        <v>1159.74</v>
      </c>
    </row>
    <row r="58" spans="1:10" ht="15" customHeight="1">
      <c r="A58" s="117">
        <v>48</v>
      </c>
      <c r="B58" s="319" t="s">
        <v>767</v>
      </c>
      <c r="C58" s="57"/>
      <c r="D58" s="123">
        <v>399</v>
      </c>
      <c r="E58" s="123" t="s">
        <v>387</v>
      </c>
      <c r="F58" s="156"/>
      <c r="G58" s="156"/>
      <c r="H58" s="156"/>
      <c r="I58" s="536">
        <f t="shared" si="1"/>
        <v>0</v>
      </c>
    </row>
    <row r="59" spans="1:10" ht="15" customHeight="1" thickBot="1">
      <c r="A59" s="117">
        <v>49</v>
      </c>
      <c r="B59" s="319" t="s">
        <v>394</v>
      </c>
      <c r="C59" s="57"/>
      <c r="D59" s="123"/>
      <c r="E59" s="535"/>
      <c r="F59" s="541">
        <f>SUM(F7:F58)</f>
        <v>5057157.5000000009</v>
      </c>
      <c r="G59" s="541">
        <f>SUM(G7:G58)</f>
        <v>2110441.0200000005</v>
      </c>
      <c r="H59" s="541">
        <f>SUM(H7:H58)</f>
        <v>0</v>
      </c>
      <c r="I59" s="542">
        <f>SUM(I7:I58)</f>
        <v>7167598.5200000005</v>
      </c>
    </row>
    <row r="60" spans="1:10" ht="12" customHeight="1" thickTop="1" thickBot="1">
      <c r="B60" s="1391"/>
      <c r="C60" s="1224"/>
      <c r="D60" s="460"/>
      <c r="E60" s="543"/>
      <c r="F60" s="544"/>
      <c r="G60" s="544"/>
      <c r="H60" s="545"/>
      <c r="I60" s="546" t="s">
        <v>602</v>
      </c>
    </row>
    <row r="61" spans="1:10" ht="25.5" customHeight="1">
      <c r="A61" s="1397" t="s">
        <v>603</v>
      </c>
      <c r="B61" s="1397"/>
      <c r="C61" s="1397"/>
      <c r="D61" s="1397"/>
      <c r="E61" s="1397"/>
      <c r="F61" s="1397"/>
      <c r="G61" s="1397"/>
      <c r="H61" s="1191"/>
      <c r="I61" s="1105"/>
    </row>
    <row r="62" spans="1:10" ht="12" customHeight="1">
      <c r="A62" s="1397"/>
      <c r="B62" s="1397"/>
      <c r="C62" s="1397"/>
      <c r="D62" s="1397"/>
      <c r="E62" s="1397"/>
      <c r="F62" s="1397"/>
      <c r="G62" s="1397"/>
      <c r="H62" s="56"/>
      <c r="I62" s="315" t="s">
        <v>13</v>
      </c>
      <c r="J62" s="302"/>
    </row>
    <row r="63" spans="1:10" s="83" customFormat="1">
      <c r="A63" s="92"/>
      <c r="B63" s="387"/>
      <c r="C63" s="387"/>
      <c r="D63" s="387"/>
      <c r="E63" s="387"/>
      <c r="F63" s="387"/>
      <c r="G63" s="387"/>
    </row>
    <row r="64" spans="1:10" s="83" customFormat="1" ht="15">
      <c r="A64" s="92"/>
      <c r="B64" s="116"/>
      <c r="C64" s="116"/>
      <c r="D64" s="116"/>
      <c r="E64" s="116"/>
      <c r="F64" s="116"/>
      <c r="G64" s="116"/>
      <c r="H64" s="244"/>
      <c r="I64" s="244"/>
    </row>
    <row r="65" spans="1:11" s="83" customFormat="1">
      <c r="A65" s="92"/>
      <c r="B65" s="116"/>
      <c r="C65" s="116"/>
      <c r="D65" s="116"/>
      <c r="E65" s="116"/>
      <c r="F65" s="116"/>
      <c r="G65" s="855"/>
      <c r="H65" s="17"/>
      <c r="I65" s="17"/>
    </row>
    <row r="66" spans="1:11" s="83" customFormat="1">
      <c r="A66" s="92"/>
      <c r="B66" s="116"/>
      <c r="C66" s="116"/>
      <c r="D66" s="116"/>
      <c r="E66" s="116"/>
      <c r="F66" s="116"/>
      <c r="G66" s="116"/>
      <c r="H66" s="17"/>
      <c r="I66" s="17"/>
    </row>
    <row r="67" spans="1:11" s="83" customFormat="1">
      <c r="A67" s="92"/>
      <c r="B67" s="116"/>
      <c r="C67" s="116"/>
      <c r="D67" s="116"/>
      <c r="E67" s="116"/>
      <c r="F67" s="116"/>
      <c r="G67" s="855"/>
      <c r="H67" s="17"/>
      <c r="I67" s="17"/>
    </row>
    <row r="68" spans="1:11" s="83" customFormat="1">
      <c r="A68" s="92"/>
      <c r="B68" s="116"/>
      <c r="C68" s="116"/>
      <c r="D68" s="116"/>
      <c r="E68" s="116"/>
      <c r="F68" s="116"/>
      <c r="G68" s="116"/>
      <c r="H68" s="17"/>
      <c r="I68" s="17"/>
    </row>
    <row r="69" spans="1:11" s="83" customFormat="1">
      <c r="A69" s="92"/>
      <c r="B69" s="116"/>
      <c r="C69" s="116"/>
      <c r="D69" s="116"/>
      <c r="E69" s="116"/>
      <c r="F69" s="116"/>
      <c r="G69" s="116"/>
      <c r="H69" s="17"/>
      <c r="I69" s="17"/>
    </row>
    <row r="70" spans="1:11" s="83" customFormat="1">
      <c r="A70" s="92"/>
      <c r="B70" s="116"/>
      <c r="C70" s="116"/>
      <c r="D70" s="116"/>
      <c r="E70" s="116"/>
      <c r="F70" s="116"/>
      <c r="G70" s="116"/>
      <c r="H70" s="17"/>
      <c r="I70" s="17"/>
    </row>
    <row r="71" spans="1:11" s="83" customFormat="1">
      <c r="A71" s="92"/>
      <c r="B71" s="116"/>
      <c r="C71" s="116"/>
      <c r="D71" s="116"/>
      <c r="E71" s="116"/>
      <c r="F71" s="116"/>
      <c r="G71" s="116"/>
      <c r="H71" s="17"/>
      <c r="I71" s="17"/>
    </row>
    <row r="72" spans="1:11" s="83" customFormat="1">
      <c r="A72" s="92"/>
      <c r="B72" s="116"/>
      <c r="C72" s="116"/>
      <c r="D72" s="116"/>
      <c r="E72" s="116"/>
      <c r="F72" s="116"/>
      <c r="G72" s="116"/>
      <c r="H72" s="17"/>
      <c r="I72" s="17"/>
    </row>
    <row r="73" spans="1:11">
      <c r="C73" s="57"/>
      <c r="D73" s="57"/>
      <c r="E73" s="57"/>
      <c r="F73" s="57"/>
      <c r="G73" s="57"/>
      <c r="H73" s="21"/>
    </row>
    <row r="74" spans="1:11">
      <c r="A74" s="21"/>
      <c r="H74" s="21"/>
      <c r="K74" s="57"/>
    </row>
    <row r="75" spans="1:11">
      <c r="H75" s="21"/>
    </row>
    <row r="76" spans="1:11">
      <c r="H76" s="21"/>
    </row>
    <row r="77" spans="1:11">
      <c r="H77" s="21"/>
    </row>
    <row r="78" spans="1:11">
      <c r="H78" s="21"/>
    </row>
    <row r="79" spans="1:11">
      <c r="H79" s="21"/>
    </row>
    <row r="99" spans="9:9">
      <c r="I99" s="21" t="s">
        <v>14</v>
      </c>
    </row>
    <row r="100" spans="9:9">
      <c r="I100" s="21" t="s">
        <v>15</v>
      </c>
    </row>
  </sheetData>
  <sheetProtection password="C0F1" sheet="1" formatCells="0" formatColumns="0" formatRows="0" insertColumns="0" insertRows="0"/>
  <customSheetViews>
    <customSheetView guid="{1F4AFEE5-5BDD-4100-B0E9-57B262CA123C}" scale="145" showPageBreaks="1" showGridLines="0" fitToPage="1" printArea="1" view="pageBreakPreview">
      <selection activeCell="B10" sqref="B10:C10"/>
      <pageMargins left="0.45" right="0.45" top="0.4" bottom="0.3" header="0.3" footer="0.25"/>
      <printOptions horizontalCentered="1"/>
      <pageSetup scale="79" orientation="portrait" r:id="rId1"/>
      <headerFooter>
        <oddFooter>&amp;C&amp;A</oddFooter>
      </headerFooter>
    </customSheetView>
  </customSheetViews>
  <mergeCells count="89">
    <mergeCell ref="B7:C7"/>
    <mergeCell ref="D7:E7"/>
    <mergeCell ref="C2:I2"/>
    <mergeCell ref="B3:I3"/>
    <mergeCell ref="B4:I4"/>
    <mergeCell ref="D5:E5"/>
    <mergeCell ref="B5:C5"/>
    <mergeCell ref="B6:C6"/>
    <mergeCell ref="D6:E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36:C36"/>
    <mergeCell ref="D36:E36"/>
    <mergeCell ref="B37:C37"/>
    <mergeCell ref="D37:E37"/>
    <mergeCell ref="B38:C38"/>
    <mergeCell ref="D38:E38"/>
    <mergeCell ref="B39:C39"/>
    <mergeCell ref="D39:E39"/>
    <mergeCell ref="B40:C40"/>
    <mergeCell ref="D40:E40"/>
    <mergeCell ref="B41:C41"/>
    <mergeCell ref="D41:E41"/>
    <mergeCell ref="B42:C42"/>
    <mergeCell ref="D42:E42"/>
    <mergeCell ref="B43:C43"/>
    <mergeCell ref="D43:E43"/>
    <mergeCell ref="H61:I61"/>
    <mergeCell ref="B60:C60"/>
    <mergeCell ref="B44:C44"/>
    <mergeCell ref="D44:E44"/>
    <mergeCell ref="B45:C45"/>
    <mergeCell ref="B46:C46"/>
    <mergeCell ref="B51:C51"/>
    <mergeCell ref="A61:G62"/>
  </mergeCells>
  <dataValidations count="3">
    <dataValidation type="list" allowBlank="1" showInputMessage="1" prompt="This field is to be used when filing under seal." sqref="H64:I79">
      <formula1>#REF!</formula1>
    </dataValidation>
    <dataValidation type="list" allowBlank="1" showInputMessage="1" prompt="This field is to be used when filing under seal." sqref="H61:I61">
      <formula1>$I$98:$I$100</formula1>
    </dataValidation>
    <dataValidation allowBlank="1" showInputMessage="1" prompt="This field is to be used when filing under seal." sqref="I62:J62"/>
  </dataValidations>
  <printOptions horizontalCentered="1"/>
  <pageMargins left="0.45" right="0.45" top="0.4" bottom="0.3" header="0.3" footer="0.25"/>
  <pageSetup scale="79" orientation="portrait" r:id="rId2"/>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
  <sheetViews>
    <sheetView showGridLines="0" zoomScaleNormal="100" zoomScaleSheetLayoutView="100" workbookViewId="0">
      <selection activeCell="B18" sqref="B18:D18"/>
    </sheetView>
  </sheetViews>
  <sheetFormatPr defaultRowHeight="15"/>
  <cols>
    <col min="1" max="1" width="3.140625" style="329" customWidth="1"/>
    <col min="2" max="2" width="16.5703125" style="329" customWidth="1"/>
    <col min="3" max="3" width="42.140625" style="329" customWidth="1"/>
    <col min="4" max="4" width="18.7109375" style="329" customWidth="1"/>
    <col min="5" max="5" width="16.28515625" style="329" bestFit="1" customWidth="1"/>
    <col min="6" max="6" width="3.7109375" style="333" customWidth="1"/>
    <col min="7" max="16384" width="9.140625" style="329"/>
  </cols>
  <sheetData>
    <row r="1" spans="1:6">
      <c r="A1" s="328">
        <v>1</v>
      </c>
      <c r="B1" s="21"/>
      <c r="C1" s="21"/>
      <c r="D1" s="285" t="s">
        <v>149</v>
      </c>
      <c r="E1" s="303">
        <f>IF(Cover!D13&gt;0, Cover!D13,"")</f>
        <v>2011</v>
      </c>
    </row>
    <row r="2" spans="1:6">
      <c r="A2" s="328">
        <v>2</v>
      </c>
      <c r="B2" s="57" t="s">
        <v>150</v>
      </c>
      <c r="C2" s="1203" t="str">
        <f>IF(Cover!A1&gt;0, Cover!A1, "")</f>
        <v>Algonquin Water Resources of Missouri, LLC dba Liberty Utilities</v>
      </c>
      <c r="D2" s="1203"/>
      <c r="E2" s="1203"/>
    </row>
    <row r="3" spans="1:6" ht="12.75" customHeight="1">
      <c r="A3" s="328"/>
      <c r="B3" s="57"/>
      <c r="C3" s="57"/>
      <c r="D3" s="61"/>
      <c r="E3" s="61"/>
    </row>
    <row r="4" spans="1:6">
      <c r="A4" s="1171" t="s">
        <v>816</v>
      </c>
      <c r="B4" s="1171"/>
      <c r="C4" s="1171"/>
      <c r="D4" s="1171"/>
      <c r="E4" s="1171"/>
    </row>
    <row r="5" spans="1:6">
      <c r="A5" s="304"/>
      <c r="B5" s="304"/>
      <c r="C5" s="304"/>
      <c r="D5" s="304"/>
      <c r="E5" s="304"/>
    </row>
    <row r="6" spans="1:6">
      <c r="A6" s="549" t="str">
        <f>A2+1&amp;"."</f>
        <v>3.</v>
      </c>
      <c r="B6" s="331" t="s">
        <v>737</v>
      </c>
      <c r="C6" s="332" t="s">
        <v>801</v>
      </c>
      <c r="D6" s="800">
        <f>'Page W-5'!I18</f>
        <v>0</v>
      </c>
      <c r="E6" s="324"/>
    </row>
    <row r="7" spans="1:6">
      <c r="A7" s="333" t="s">
        <v>170</v>
      </c>
      <c r="B7" s="334" t="s">
        <v>655</v>
      </c>
      <c r="C7" s="334"/>
      <c r="D7" s="334"/>
      <c r="E7" s="334" t="s">
        <v>654</v>
      </c>
      <c r="F7" s="333" t="s">
        <v>170</v>
      </c>
    </row>
    <row r="8" spans="1:6">
      <c r="A8" s="353"/>
      <c r="B8" s="1213"/>
      <c r="C8" s="1214"/>
      <c r="D8" s="1215"/>
      <c r="E8" s="798"/>
      <c r="F8" s="353"/>
    </row>
    <row r="9" spans="1:6">
      <c r="A9" s="94"/>
      <c r="B9" s="1213"/>
      <c r="C9" s="1214"/>
      <c r="D9" s="1215"/>
      <c r="E9" s="798"/>
      <c r="F9" s="94"/>
    </row>
    <row r="10" spans="1:6">
      <c r="A10" s="94"/>
      <c r="B10" s="1213"/>
      <c r="C10" s="1214"/>
      <c r="D10" s="1215"/>
      <c r="E10" s="798"/>
      <c r="F10" s="94"/>
    </row>
    <row r="11" spans="1:6">
      <c r="A11" s="94"/>
      <c r="B11" s="1213"/>
      <c r="C11" s="1214"/>
      <c r="D11" s="1215"/>
      <c r="E11" s="798"/>
      <c r="F11" s="94"/>
    </row>
    <row r="12" spans="1:6">
      <c r="A12" s="94"/>
      <c r="B12" s="1213"/>
      <c r="C12" s="1214"/>
      <c r="D12" s="1215"/>
      <c r="E12" s="798"/>
      <c r="F12" s="94"/>
    </row>
    <row r="13" spans="1:6">
      <c r="A13" s="354"/>
      <c r="B13" s="1207" t="s">
        <v>738</v>
      </c>
      <c r="C13" s="1208"/>
      <c r="D13" s="1209"/>
      <c r="E13" s="799">
        <f>SUM(E8:E12)</f>
        <v>0</v>
      </c>
      <c r="F13" s="354"/>
    </row>
    <row r="14" spans="1:6" ht="30" customHeight="1">
      <c r="A14" s="333"/>
      <c r="B14" s="62"/>
      <c r="C14" s="62"/>
      <c r="D14" s="335"/>
      <c r="E14" s="337"/>
    </row>
    <row r="15" spans="1:6">
      <c r="A15" s="330" t="str">
        <f>A6+1&amp;"."</f>
        <v>4.</v>
      </c>
      <c r="B15" s="331" t="s">
        <v>739</v>
      </c>
      <c r="C15" s="332" t="s">
        <v>802</v>
      </c>
      <c r="D15" s="800">
        <f>'Page W-5'!I23</f>
        <v>22847</v>
      </c>
      <c r="E15" s="324"/>
    </row>
    <row r="16" spans="1:6">
      <c r="A16" s="333" t="s">
        <v>170</v>
      </c>
      <c r="B16" s="334" t="s">
        <v>655</v>
      </c>
      <c r="C16" s="334"/>
      <c r="D16" s="334"/>
      <c r="E16" s="334" t="s">
        <v>654</v>
      </c>
      <c r="F16" s="333" t="s">
        <v>170</v>
      </c>
    </row>
    <row r="17" spans="1:6" ht="15.75">
      <c r="A17" s="805"/>
      <c r="B17" s="1213" t="s">
        <v>1062</v>
      </c>
      <c r="C17" s="1214"/>
      <c r="D17" s="1215"/>
      <c r="E17" s="798">
        <v>22847</v>
      </c>
      <c r="F17" s="353"/>
    </row>
    <row r="18" spans="1:6">
      <c r="A18" s="806"/>
      <c r="B18" s="1213"/>
      <c r="C18" s="1214"/>
      <c r="D18" s="1215"/>
      <c r="E18" s="798"/>
      <c r="F18" s="94"/>
    </row>
    <row r="19" spans="1:6">
      <c r="A19" s="806"/>
      <c r="B19" s="1213"/>
      <c r="C19" s="1214"/>
      <c r="D19" s="1215"/>
      <c r="E19" s="798"/>
      <c r="F19" s="94"/>
    </row>
    <row r="20" spans="1:6">
      <c r="A20" s="806"/>
      <c r="B20" s="1213"/>
      <c r="C20" s="1214"/>
      <c r="D20" s="1215"/>
      <c r="E20" s="798"/>
      <c r="F20" s="94"/>
    </row>
    <row r="21" spans="1:6">
      <c r="A21" s="806"/>
      <c r="B21" s="1213"/>
      <c r="C21" s="1214"/>
      <c r="D21" s="1215"/>
      <c r="E21" s="798"/>
      <c r="F21" s="94"/>
    </row>
    <row r="22" spans="1:6">
      <c r="A22" s="807"/>
      <c r="B22" s="1207" t="s">
        <v>740</v>
      </c>
      <c r="C22" s="1208"/>
      <c r="D22" s="1209"/>
      <c r="E22" s="799">
        <f>SUM(E17:E21)</f>
        <v>22847</v>
      </c>
      <c r="F22" s="354"/>
    </row>
    <row r="23" spans="1:6" ht="30" customHeight="1"/>
    <row r="24" spans="1:6">
      <c r="A24" s="330" t="str">
        <f>A15+1&amp;"."</f>
        <v>5.</v>
      </c>
      <c r="B24" s="331" t="s">
        <v>741</v>
      </c>
      <c r="C24" s="503" t="s">
        <v>803</v>
      </c>
      <c r="D24" s="800">
        <f>'Page W-5'!I28</f>
        <v>0</v>
      </c>
      <c r="E24" s="324"/>
    </row>
    <row r="25" spans="1:6">
      <c r="A25" s="333" t="s">
        <v>170</v>
      </c>
      <c r="B25" s="334" t="s">
        <v>655</v>
      </c>
      <c r="C25" s="334"/>
      <c r="D25" s="334"/>
      <c r="E25" s="334" t="s">
        <v>654</v>
      </c>
      <c r="F25" s="333" t="s">
        <v>170</v>
      </c>
    </row>
    <row r="26" spans="1:6">
      <c r="A26" s="805"/>
      <c r="B26" s="1213"/>
      <c r="C26" s="1214"/>
      <c r="D26" s="1215"/>
      <c r="E26" s="798"/>
      <c r="F26" s="353"/>
    </row>
    <row r="27" spans="1:6">
      <c r="A27" s="806"/>
      <c r="B27" s="1213"/>
      <c r="C27" s="1214"/>
      <c r="D27" s="1215"/>
      <c r="E27" s="798"/>
      <c r="F27" s="94"/>
    </row>
    <row r="28" spans="1:6">
      <c r="A28" s="806"/>
      <c r="B28" s="1213"/>
      <c r="C28" s="1214"/>
      <c r="D28" s="1215"/>
      <c r="E28" s="798"/>
      <c r="F28" s="94"/>
    </row>
    <row r="29" spans="1:6">
      <c r="A29" s="806"/>
      <c r="B29" s="1213"/>
      <c r="C29" s="1214"/>
      <c r="D29" s="1215"/>
      <c r="E29" s="798"/>
      <c r="F29" s="94"/>
    </row>
    <row r="30" spans="1:6">
      <c r="A30" s="806"/>
      <c r="B30" s="1213"/>
      <c r="C30" s="1214"/>
      <c r="D30" s="1215"/>
      <c r="E30" s="798"/>
      <c r="F30" s="94"/>
    </row>
    <row r="31" spans="1:6">
      <c r="A31" s="807"/>
      <c r="B31" s="1207" t="s">
        <v>742</v>
      </c>
      <c r="C31" s="1208"/>
      <c r="D31" s="1209"/>
      <c r="E31" s="799">
        <f>SUM(E26:E30)</f>
        <v>0</v>
      </c>
      <c r="F31" s="354"/>
    </row>
    <row r="32" spans="1:6" ht="30" customHeight="1"/>
    <row r="33" spans="1:6">
      <c r="A33" s="330" t="str">
        <f>A24+1&amp;"."</f>
        <v>6.</v>
      </c>
      <c r="B33" s="331" t="s">
        <v>779</v>
      </c>
      <c r="C33" s="503" t="s">
        <v>804</v>
      </c>
      <c r="D33" s="800">
        <f>'Page W-5'!I58</f>
        <v>0</v>
      </c>
      <c r="E33" s="324"/>
    </row>
    <row r="34" spans="1:6">
      <c r="A34" s="333" t="s">
        <v>170</v>
      </c>
      <c r="B34" s="334" t="s">
        <v>655</v>
      </c>
      <c r="C34" s="334"/>
      <c r="D34" s="334"/>
      <c r="E34" s="334" t="s">
        <v>654</v>
      </c>
      <c r="F34" s="333" t="s">
        <v>170</v>
      </c>
    </row>
    <row r="35" spans="1:6">
      <c r="A35" s="805"/>
      <c r="B35" s="1213"/>
      <c r="C35" s="1214"/>
      <c r="D35" s="1215"/>
      <c r="E35" s="798"/>
      <c r="F35" s="353"/>
    </row>
    <row r="36" spans="1:6">
      <c r="A36" s="806"/>
      <c r="B36" s="1213"/>
      <c r="C36" s="1214"/>
      <c r="D36" s="1215"/>
      <c r="E36" s="798"/>
      <c r="F36" s="94"/>
    </row>
    <row r="37" spans="1:6">
      <c r="A37" s="806"/>
      <c r="B37" s="1213"/>
      <c r="C37" s="1214"/>
      <c r="D37" s="1215"/>
      <c r="E37" s="798"/>
      <c r="F37" s="94"/>
    </row>
    <row r="38" spans="1:6">
      <c r="A38" s="806"/>
      <c r="B38" s="1213"/>
      <c r="C38" s="1214"/>
      <c r="D38" s="1215"/>
      <c r="E38" s="798"/>
      <c r="F38" s="94"/>
    </row>
    <row r="39" spans="1:6">
      <c r="A39" s="806"/>
      <c r="B39" s="1213"/>
      <c r="C39" s="1214"/>
      <c r="D39" s="1215"/>
      <c r="E39" s="798"/>
      <c r="F39" s="94"/>
    </row>
    <row r="40" spans="1:6">
      <c r="A40" s="807"/>
      <c r="B40" s="1207" t="s">
        <v>780</v>
      </c>
      <c r="C40" s="1208"/>
      <c r="D40" s="1209"/>
      <c r="E40" s="799">
        <f>SUM(E35:E39)</f>
        <v>0</v>
      </c>
      <c r="F40" s="354"/>
    </row>
    <row r="41" spans="1:6" s="261" customFormat="1" ht="72" customHeight="1">
      <c r="A41" s="384"/>
      <c r="B41" s="273"/>
      <c r="C41" s="273"/>
      <c r="D41" s="273"/>
      <c r="E41" s="386"/>
      <c r="F41" s="384"/>
    </row>
    <row r="42" spans="1:6" s="261" customFormat="1" ht="18">
      <c r="A42" s="274"/>
      <c r="B42" s="275" t="s">
        <v>712</v>
      </c>
      <c r="C42" s="226"/>
      <c r="D42" s="1104"/>
      <c r="E42" s="1105"/>
      <c r="F42" s="384"/>
    </row>
    <row r="43" spans="1:6" s="261" customFormat="1">
      <c r="A43" s="276"/>
      <c r="B43" s="277" t="s">
        <v>713</v>
      </c>
      <c r="C43" s="277"/>
      <c r="D43" s="244"/>
      <c r="E43" s="77" t="s">
        <v>13</v>
      </c>
      <c r="F43" s="384"/>
    </row>
    <row r="44" spans="1:6" s="261" customFormat="1">
      <c r="B44" s="83"/>
      <c r="C44" s="17"/>
      <c r="D44" s="17"/>
      <c r="E44" s="17"/>
      <c r="F44" s="804"/>
    </row>
    <row r="45" spans="1:6" s="261" customFormat="1">
      <c r="B45" s="83"/>
      <c r="C45" s="17"/>
      <c r="D45" s="17"/>
      <c r="E45" s="17"/>
      <c r="F45" s="804"/>
    </row>
    <row r="46" spans="1:6" s="261" customFormat="1">
      <c r="B46" s="83"/>
      <c r="C46" s="17"/>
      <c r="D46" s="17"/>
      <c r="E46" s="17"/>
      <c r="F46" s="804"/>
    </row>
    <row r="47" spans="1:6" s="261" customFormat="1">
      <c r="B47" s="83"/>
      <c r="C47" s="17"/>
      <c r="D47" s="17"/>
      <c r="E47" s="17"/>
      <c r="F47" s="804"/>
    </row>
    <row r="48" spans="1:6">
      <c r="B48" s="57"/>
      <c r="C48" s="21"/>
      <c r="D48" s="21"/>
      <c r="E48" s="21"/>
      <c r="F48" s="801"/>
    </row>
    <row r="49" spans="2:6">
      <c r="B49" s="57"/>
      <c r="C49" s="21"/>
      <c r="D49" s="21"/>
      <c r="E49" s="21"/>
      <c r="F49" s="801"/>
    </row>
    <row r="50" spans="2:6">
      <c r="B50" s="57"/>
      <c r="C50" s="21"/>
      <c r="D50" s="21"/>
      <c r="E50" s="21"/>
      <c r="F50" s="801"/>
    </row>
    <row r="51" spans="2:6">
      <c r="B51" s="57"/>
      <c r="C51" s="21"/>
      <c r="D51" s="21"/>
      <c r="E51" s="21"/>
      <c r="F51" s="801"/>
    </row>
    <row r="52" spans="2:6">
      <c r="B52" s="57"/>
      <c r="C52" s="21"/>
      <c r="D52" s="21"/>
      <c r="E52" s="21"/>
      <c r="F52" s="801"/>
    </row>
    <row r="53" spans="2:6">
      <c r="B53" s="57"/>
      <c r="C53" s="21"/>
      <c r="D53" s="21"/>
      <c r="E53" s="21"/>
      <c r="F53" s="801"/>
    </row>
    <row r="54" spans="2:6">
      <c r="B54" s="57"/>
      <c r="C54" s="21"/>
      <c r="D54" s="21"/>
      <c r="E54" s="21"/>
      <c r="F54" s="801"/>
    </row>
    <row r="55" spans="2:6">
      <c r="B55" s="57"/>
      <c r="C55" s="21"/>
      <c r="D55" s="21"/>
      <c r="E55" s="21"/>
      <c r="F55" s="801"/>
    </row>
    <row r="56" spans="2:6">
      <c r="B56" s="57"/>
      <c r="C56" s="21"/>
      <c r="D56" s="21"/>
      <c r="E56" s="21"/>
      <c r="F56" s="801"/>
    </row>
    <row r="57" spans="2:6">
      <c r="B57" s="57"/>
      <c r="C57" s="21"/>
      <c r="D57" s="21"/>
      <c r="E57" s="21"/>
      <c r="F57" s="801"/>
    </row>
    <row r="58" spans="2:6">
      <c r="B58" s="57"/>
      <c r="C58" s="21"/>
      <c r="D58" s="21"/>
      <c r="E58" s="21"/>
      <c r="F58" s="801"/>
    </row>
    <row r="59" spans="2:6">
      <c r="B59" s="57"/>
      <c r="C59" s="21"/>
      <c r="D59" s="21"/>
      <c r="E59" s="21"/>
      <c r="F59" s="801"/>
    </row>
    <row r="60" spans="2:6">
      <c r="B60" s="57"/>
      <c r="C60" s="21"/>
      <c r="D60" s="21" t="s">
        <v>14</v>
      </c>
      <c r="E60" s="21"/>
      <c r="F60" s="801"/>
    </row>
    <row r="61" spans="2:6">
      <c r="B61" s="57"/>
      <c r="C61" s="21"/>
      <c r="D61" s="21" t="s">
        <v>15</v>
      </c>
      <c r="E61" s="21"/>
      <c r="F61" s="801"/>
    </row>
  </sheetData>
  <sheetProtection password="C0F1" sheet="1" formatCells="0" formatColumns="0" formatRows="0" insertColumns="0" insertRows="0"/>
  <customSheetViews>
    <customSheetView guid="{1F4AFEE5-5BDD-4100-B0E9-57B262CA123C}" scale="130" showPageBreaks="1" showGridLines="0" fitToPage="1" printArea="1" view="pageBreakPreview" topLeftCell="A38">
      <selection activeCell="C51" sqref="C51"/>
      <pageMargins left="0.45" right="0.45" top="0.5" bottom="0.25" header="0.3" footer="0.3"/>
      <printOptions horizontalCentered="1"/>
      <pageSetup scale="99" orientation="portrait" r:id="rId1"/>
      <headerFooter>
        <oddFooter>&amp;C&amp;A</oddFooter>
      </headerFooter>
    </customSheetView>
  </customSheetViews>
  <mergeCells count="27">
    <mergeCell ref="B39:D39"/>
    <mergeCell ref="B40:D40"/>
    <mergeCell ref="D42:E42"/>
    <mergeCell ref="B30:D30"/>
    <mergeCell ref="B31:D31"/>
    <mergeCell ref="B35:D35"/>
    <mergeCell ref="B36:D36"/>
    <mergeCell ref="B37:D37"/>
    <mergeCell ref="B38:D38"/>
    <mergeCell ref="B29:D29"/>
    <mergeCell ref="B12:D12"/>
    <mergeCell ref="B13:D13"/>
    <mergeCell ref="B17:D17"/>
    <mergeCell ref="B18:D18"/>
    <mergeCell ref="B19:D19"/>
    <mergeCell ref="B20:D20"/>
    <mergeCell ref="B21:D21"/>
    <mergeCell ref="B22:D22"/>
    <mergeCell ref="B26:D26"/>
    <mergeCell ref="B27:D27"/>
    <mergeCell ref="B28:D28"/>
    <mergeCell ref="B11:D11"/>
    <mergeCell ref="C2:E2"/>
    <mergeCell ref="A4:E4"/>
    <mergeCell ref="B8:D8"/>
    <mergeCell ref="B9:D9"/>
    <mergeCell ref="B10:D10"/>
  </mergeCells>
  <dataValidations xWindow="793" yWindow="462" count="1">
    <dataValidation type="list" allowBlank="1" showInputMessage="1" showErrorMessage="1" prompt="This field is to be used when filing under seal." sqref="D42:E42">
      <formula1>$D$59:$D$61</formula1>
    </dataValidation>
  </dataValidations>
  <printOptions horizontalCentered="1"/>
  <pageMargins left="0.45" right="0.45" top="0.5" bottom="0.25" header="0.3" footer="0.3"/>
  <pageSetup scale="96" orientation="portrait" r:id="rId2"/>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4"/>
  <sheetViews>
    <sheetView showGridLines="0" zoomScale="85" zoomScaleNormal="85" zoomScaleSheetLayoutView="100" workbookViewId="0">
      <selection activeCell="J8" sqref="J8"/>
    </sheetView>
  </sheetViews>
  <sheetFormatPr defaultRowHeight="15"/>
  <cols>
    <col min="1" max="1" width="2.7109375" style="117" customWidth="1"/>
    <col min="2" max="3" width="6.7109375" style="117" customWidth="1"/>
    <col min="4" max="4" width="11" style="446" customWidth="1"/>
    <col min="5" max="5" width="15.7109375" style="446" bestFit="1" customWidth="1"/>
    <col min="6" max="6" width="14.28515625" style="446" bestFit="1" customWidth="1"/>
    <col min="7" max="7" width="14.140625" style="446" customWidth="1"/>
    <col min="8" max="8" width="11.7109375" style="446" customWidth="1"/>
    <col min="9" max="9" width="10.140625" style="446" customWidth="1"/>
    <col min="10" max="11" width="14" style="446" bestFit="1" customWidth="1"/>
    <col min="12" max="16384" width="9.140625" style="118"/>
  </cols>
  <sheetData>
    <row r="1" spans="1:14" s="21" customFormat="1" ht="15" customHeight="1">
      <c r="A1" s="117">
        <v>1</v>
      </c>
      <c r="B1" s="117"/>
      <c r="C1" s="1184" t="s">
        <v>149</v>
      </c>
      <c r="D1" s="1184"/>
      <c r="E1" s="1184"/>
      <c r="F1" s="1184"/>
      <c r="G1" s="1184"/>
      <c r="H1" s="1184"/>
      <c r="I1" s="1184"/>
      <c r="J1" s="1184"/>
      <c r="K1" s="303">
        <f>IF(Cover!D13&gt;0, Cover!D13, "")</f>
        <v>2011</v>
      </c>
      <c r="L1" s="285"/>
      <c r="M1" s="285"/>
      <c r="N1" s="285"/>
    </row>
    <row r="2" spans="1:14" s="21" customFormat="1" ht="12.75">
      <c r="A2" s="117">
        <v>2</v>
      </c>
      <c r="B2" s="117"/>
      <c r="C2" s="117"/>
      <c r="D2" s="285" t="s">
        <v>150</v>
      </c>
      <c r="E2" s="1166" t="str">
        <f>IF(Cover!A1&gt;0, Cover!A1, "")</f>
        <v>Algonquin Water Resources of Missouri, LLC dba Liberty Utilities</v>
      </c>
      <c r="F2" s="1166"/>
      <c r="G2" s="1166"/>
      <c r="H2" s="1166"/>
      <c r="I2" s="1166"/>
      <c r="J2" s="1166"/>
      <c r="K2" s="1166"/>
      <c r="L2" s="293"/>
      <c r="M2" s="293"/>
      <c r="N2" s="293"/>
    </row>
    <row r="3" spans="1:14" ht="2.1" customHeight="1">
      <c r="D3" s="1263"/>
      <c r="E3" s="1263"/>
      <c r="F3" s="1263"/>
      <c r="G3" s="1263"/>
      <c r="H3" s="1263"/>
      <c r="I3" s="1263"/>
      <c r="J3" s="1263"/>
      <c r="K3" s="1263"/>
    </row>
    <row r="4" spans="1:14" ht="15.75" thickBot="1">
      <c r="B4" s="1171" t="s">
        <v>395</v>
      </c>
      <c r="C4" s="1171"/>
      <c r="D4" s="1171"/>
      <c r="E4" s="1171"/>
      <c r="F4" s="1171"/>
      <c r="G4" s="1171"/>
      <c r="H4" s="1171"/>
      <c r="I4" s="1171"/>
      <c r="J4" s="1171"/>
      <c r="K4" s="1171"/>
    </row>
    <row r="5" spans="1:14" ht="12.75" customHeight="1">
      <c r="B5" s="1419" t="s">
        <v>396</v>
      </c>
      <c r="C5" s="1420"/>
      <c r="D5" s="1423" t="s">
        <v>604</v>
      </c>
      <c r="E5" s="1425" t="s">
        <v>605</v>
      </c>
      <c r="F5" s="1425" t="s">
        <v>606</v>
      </c>
      <c r="G5" s="1415" t="s">
        <v>397</v>
      </c>
      <c r="H5" s="1416"/>
      <c r="I5" s="1417"/>
      <c r="J5" s="1425" t="s">
        <v>609</v>
      </c>
      <c r="K5" s="1412" t="s">
        <v>610</v>
      </c>
    </row>
    <row r="6" spans="1:14" ht="68.25" customHeight="1" thickBot="1">
      <c r="B6" s="1421"/>
      <c r="C6" s="1422"/>
      <c r="D6" s="1424"/>
      <c r="E6" s="1426"/>
      <c r="F6" s="1426"/>
      <c r="G6" s="550" t="s">
        <v>481</v>
      </c>
      <c r="H6" s="550" t="s">
        <v>607</v>
      </c>
      <c r="I6" s="550" t="s">
        <v>608</v>
      </c>
      <c r="J6" s="1426"/>
      <c r="K6" s="1413"/>
    </row>
    <row r="7" spans="1:14" ht="12.95" customHeight="1">
      <c r="B7" s="1418" t="str">
        <f>'Page W-5'!$D$6</f>
        <v>Class B, C or D</v>
      </c>
      <c r="C7" s="1408"/>
      <c r="D7" s="551"/>
      <c r="E7" s="552"/>
      <c r="F7" s="552"/>
      <c r="G7" s="552"/>
      <c r="H7" s="552"/>
      <c r="I7" s="552"/>
      <c r="J7" s="552"/>
      <c r="K7" s="422"/>
    </row>
    <row r="8" spans="1:14" ht="12.95" customHeight="1">
      <c r="A8" s="117">
        <v>3</v>
      </c>
      <c r="B8" s="1409">
        <f>'Page W-5'!D7</f>
        <v>301</v>
      </c>
      <c r="C8" s="1392"/>
      <c r="D8" s="182"/>
      <c r="E8" s="183"/>
      <c r="F8" s="183"/>
      <c r="G8" s="553">
        <f>'Page W-5'!H7</f>
        <v>0</v>
      </c>
      <c r="H8" s="183"/>
      <c r="I8" s="183"/>
      <c r="J8" s="881">
        <v>35515</v>
      </c>
      <c r="K8" s="554">
        <f>SUM(E8+F8-G8-H8+I8+J8)</f>
        <v>35515</v>
      </c>
    </row>
    <row r="9" spans="1:14" ht="12.95" customHeight="1">
      <c r="A9" s="117">
        <v>4</v>
      </c>
      <c r="B9" s="1409">
        <f>'Page W-5'!D8</f>
        <v>302</v>
      </c>
      <c r="C9" s="1392"/>
      <c r="D9" s="182"/>
      <c r="E9" s="183"/>
      <c r="F9" s="183"/>
      <c r="G9" s="553">
        <f>'Page W-5'!H8</f>
        <v>0</v>
      </c>
      <c r="H9" s="183"/>
      <c r="I9" s="183"/>
      <c r="J9" s="881">
        <v>4109</v>
      </c>
      <c r="K9" s="554">
        <f t="shared" ref="K9:K58" si="0">SUM(E9+F9-G9-H9+I9+J9)</f>
        <v>4109</v>
      </c>
    </row>
    <row r="10" spans="1:14" ht="12.95" customHeight="1">
      <c r="A10" s="117">
        <v>5</v>
      </c>
      <c r="B10" s="1409">
        <f>'Page W-5'!D9</f>
        <v>303</v>
      </c>
      <c r="C10" s="1392"/>
      <c r="D10" s="182"/>
      <c r="E10" s="183"/>
      <c r="F10" s="183"/>
      <c r="G10" s="553">
        <f>'Page W-5'!H9</f>
        <v>0</v>
      </c>
      <c r="H10" s="183"/>
      <c r="I10" s="183"/>
      <c r="J10" s="881">
        <v>11160</v>
      </c>
      <c r="K10" s="554">
        <f t="shared" si="0"/>
        <v>11160</v>
      </c>
    </row>
    <row r="11" spans="1:14" ht="5.0999999999999996" customHeight="1">
      <c r="B11" s="1409"/>
      <c r="C11" s="1392"/>
      <c r="D11" s="551"/>
      <c r="E11" s="552"/>
      <c r="F11" s="552"/>
      <c r="G11" s="552"/>
      <c r="H11" s="552"/>
      <c r="I11" s="552"/>
      <c r="J11" s="882"/>
      <c r="K11" s="555"/>
    </row>
    <row r="12" spans="1:14" ht="12.95" customHeight="1">
      <c r="A12" s="117">
        <v>6</v>
      </c>
      <c r="B12" s="1409">
        <f>'Page W-5'!D11</f>
        <v>310</v>
      </c>
      <c r="C12" s="1392"/>
      <c r="D12" s="182"/>
      <c r="E12" s="183"/>
      <c r="F12" s="183"/>
      <c r="G12" s="553">
        <f>'Page W-5'!H11</f>
        <v>0</v>
      </c>
      <c r="H12" s="183"/>
      <c r="I12" s="183"/>
      <c r="J12" s="881"/>
      <c r="K12" s="554">
        <f t="shared" si="0"/>
        <v>0</v>
      </c>
    </row>
    <row r="13" spans="1:14" ht="12.95" customHeight="1">
      <c r="A13" s="117">
        <v>7</v>
      </c>
      <c r="B13" s="1409">
        <f>'Page W-5'!D12</f>
        <v>311</v>
      </c>
      <c r="C13" s="1392"/>
      <c r="D13" s="182">
        <v>2.5000000000000001E-2</v>
      </c>
      <c r="E13" s="183">
        <f>+'Page W-6a'!Q10</f>
        <v>11159.73725</v>
      </c>
      <c r="F13" s="183">
        <v>369775.05</v>
      </c>
      <c r="G13" s="553">
        <f>'Page W-5'!H12</f>
        <v>0</v>
      </c>
      <c r="H13" s="183"/>
      <c r="I13" s="183"/>
      <c r="J13" s="881"/>
      <c r="K13" s="554">
        <f t="shared" si="0"/>
        <v>380934.78724999999</v>
      </c>
    </row>
    <row r="14" spans="1:14" ht="12.95" customHeight="1">
      <c r="A14" s="117">
        <v>8</v>
      </c>
      <c r="B14" s="1409">
        <f>'Page W-5'!D13</f>
        <v>312</v>
      </c>
      <c r="C14" s="1392"/>
      <c r="D14" s="182"/>
      <c r="E14" s="183"/>
      <c r="F14" s="183"/>
      <c r="G14" s="553">
        <f>'Page W-5'!H13</f>
        <v>0</v>
      </c>
      <c r="H14" s="183"/>
      <c r="I14" s="183"/>
      <c r="J14" s="881"/>
      <c r="K14" s="554">
        <f t="shared" si="0"/>
        <v>0</v>
      </c>
    </row>
    <row r="15" spans="1:14" ht="12.95" customHeight="1">
      <c r="A15" s="117">
        <v>9</v>
      </c>
      <c r="B15" s="1409">
        <f>'Page W-5'!D14</f>
        <v>313</v>
      </c>
      <c r="C15" s="1392"/>
      <c r="D15" s="182"/>
      <c r="E15" s="183"/>
      <c r="F15" s="183"/>
      <c r="G15" s="553">
        <f>'Page W-5'!H14</f>
        <v>0</v>
      </c>
      <c r="H15" s="183"/>
      <c r="I15" s="183"/>
      <c r="J15" s="881"/>
      <c r="K15" s="554">
        <f t="shared" si="0"/>
        <v>0</v>
      </c>
    </row>
    <row r="16" spans="1:14" ht="12.95" customHeight="1">
      <c r="A16" s="117">
        <v>10</v>
      </c>
      <c r="B16" s="1409">
        <f>'Page W-5'!D15</f>
        <v>314</v>
      </c>
      <c r="C16" s="1392"/>
      <c r="D16" s="182">
        <v>0.02</v>
      </c>
      <c r="E16" s="183">
        <f>+'Page W-6a'!Q13</f>
        <v>2135.8875333333335</v>
      </c>
      <c r="F16" s="183">
        <v>2394.56</v>
      </c>
      <c r="G16" s="553">
        <f>'Page W-5'!H15</f>
        <v>0</v>
      </c>
      <c r="H16" s="183"/>
      <c r="I16" s="183"/>
      <c r="J16" s="881">
        <v>62576.41</v>
      </c>
      <c r="K16" s="554">
        <f t="shared" si="0"/>
        <v>67106.857533333343</v>
      </c>
    </row>
    <row r="17" spans="1:11" ht="12.95" customHeight="1">
      <c r="A17" s="117">
        <v>11</v>
      </c>
      <c r="B17" s="1409">
        <f>'Page W-5'!D16</f>
        <v>315</v>
      </c>
      <c r="C17" s="1392"/>
      <c r="D17" s="182"/>
      <c r="E17" s="183"/>
      <c r="F17" s="183"/>
      <c r="G17" s="553">
        <f>'Page W-5'!H16</f>
        <v>0</v>
      </c>
      <c r="H17" s="183"/>
      <c r="I17" s="183"/>
      <c r="J17" s="881"/>
      <c r="K17" s="554">
        <f t="shared" si="0"/>
        <v>0</v>
      </c>
    </row>
    <row r="18" spans="1:11" ht="12.95" customHeight="1">
      <c r="A18" s="117">
        <v>12</v>
      </c>
      <c r="B18" s="1409">
        <f>'Page W-5'!D17</f>
        <v>316</v>
      </c>
      <c r="C18" s="1392"/>
      <c r="D18" s="182">
        <v>0.02</v>
      </c>
      <c r="E18" s="183">
        <f>+'Page W-6a'!Q15</f>
        <v>110.73780000000001</v>
      </c>
      <c r="F18" s="183">
        <v>1090</v>
      </c>
      <c r="G18" s="553">
        <f>'Page W-5'!H17</f>
        <v>0</v>
      </c>
      <c r="H18" s="183"/>
      <c r="I18" s="183"/>
      <c r="J18" s="881"/>
      <c r="K18" s="554">
        <f t="shared" si="0"/>
        <v>1200.7378000000001</v>
      </c>
    </row>
    <row r="19" spans="1:11" ht="12.95" customHeight="1">
      <c r="A19" s="117">
        <v>13</v>
      </c>
      <c r="B19" s="1409">
        <f>'Page W-5'!D18</f>
        <v>317</v>
      </c>
      <c r="C19" s="1392"/>
      <c r="D19" s="182"/>
      <c r="E19" s="183"/>
      <c r="F19" s="183"/>
      <c r="G19" s="553">
        <f>'Page W-5'!H18</f>
        <v>0</v>
      </c>
      <c r="H19" s="183"/>
      <c r="I19" s="183"/>
      <c r="J19" s="881"/>
      <c r="K19" s="554">
        <f t="shared" si="0"/>
        <v>0</v>
      </c>
    </row>
    <row r="20" spans="1:11" ht="12.95" customHeight="1">
      <c r="B20" s="1409"/>
      <c r="C20" s="1392"/>
      <c r="D20" s="551"/>
      <c r="E20" s="552"/>
      <c r="F20" s="552"/>
      <c r="G20" s="552"/>
      <c r="H20" s="552"/>
      <c r="I20" s="552"/>
      <c r="J20" s="882"/>
      <c r="K20" s="555"/>
    </row>
    <row r="21" spans="1:11" ht="12.95" customHeight="1">
      <c r="A21" s="117">
        <v>14</v>
      </c>
      <c r="B21" s="1409">
        <f>'Page W-5'!D20</f>
        <v>320</v>
      </c>
      <c r="C21" s="1392"/>
      <c r="D21" s="182"/>
      <c r="E21" s="183"/>
      <c r="F21" s="183"/>
      <c r="G21" s="553">
        <f>'Page W-5'!H20</f>
        <v>0</v>
      </c>
      <c r="H21" s="183"/>
      <c r="I21" s="183"/>
      <c r="J21" s="881"/>
      <c r="K21" s="554">
        <f t="shared" si="0"/>
        <v>0</v>
      </c>
    </row>
    <row r="22" spans="1:11" ht="12.95" customHeight="1">
      <c r="A22" s="117">
        <v>15</v>
      </c>
      <c r="B22" s="1409">
        <f>'Page W-5'!D21</f>
        <v>321</v>
      </c>
      <c r="C22" s="1392"/>
      <c r="D22" s="182">
        <v>2.5000000000000001E-2</v>
      </c>
      <c r="E22" s="183">
        <f>+'Page W-6a'!Q19</f>
        <v>1524.0895833333334</v>
      </c>
      <c r="F22" s="183"/>
      <c r="G22" s="553">
        <f>'Page W-5'!H21</f>
        <v>0</v>
      </c>
      <c r="H22" s="183"/>
      <c r="I22" s="183"/>
      <c r="J22" s="881">
        <v>34508.400000000001</v>
      </c>
      <c r="K22" s="554">
        <f t="shared" si="0"/>
        <v>36032.489583333336</v>
      </c>
    </row>
    <row r="23" spans="1:11" ht="12.95" customHeight="1">
      <c r="A23" s="117">
        <v>16</v>
      </c>
      <c r="B23" s="1409">
        <f>'Page W-5'!D22</f>
        <v>322</v>
      </c>
      <c r="C23" s="1392"/>
      <c r="D23" s="182"/>
      <c r="E23" s="183"/>
      <c r="F23" s="183"/>
      <c r="G23" s="553">
        <f>'Page W-5'!H22</f>
        <v>0</v>
      </c>
      <c r="H23" s="183"/>
      <c r="I23" s="183"/>
      <c r="J23" s="881"/>
      <c r="K23" s="554">
        <f t="shared" si="0"/>
        <v>0</v>
      </c>
    </row>
    <row r="24" spans="1:11" ht="12.95" customHeight="1">
      <c r="A24" s="117">
        <v>17</v>
      </c>
      <c r="B24" s="1409">
        <f>'Page W-5'!D23</f>
        <v>323</v>
      </c>
      <c r="C24" s="1392"/>
      <c r="D24" s="182"/>
      <c r="E24" s="183"/>
      <c r="F24" s="183"/>
      <c r="G24" s="553">
        <f>'Page W-5'!H23</f>
        <v>0</v>
      </c>
      <c r="H24" s="183"/>
      <c r="I24" s="183"/>
      <c r="J24" s="881"/>
      <c r="K24" s="554">
        <f t="shared" si="0"/>
        <v>0</v>
      </c>
    </row>
    <row r="25" spans="1:11" ht="12.95" customHeight="1">
      <c r="A25" s="117">
        <v>18</v>
      </c>
      <c r="B25" s="1409">
        <f>'Page W-5'!D24</f>
        <v>325.10000000000002</v>
      </c>
      <c r="C25" s="1392"/>
      <c r="D25" s="182">
        <v>0.1</v>
      </c>
      <c r="E25" s="183">
        <f>+'Page W-6a'!Q22</f>
        <v>66501.284333333344</v>
      </c>
      <c r="F25" s="183">
        <v>246376.14</v>
      </c>
      <c r="G25" s="553">
        <f>'Page W-5'!H24</f>
        <v>0</v>
      </c>
      <c r="H25" s="183"/>
      <c r="I25" s="183"/>
      <c r="J25" s="881">
        <v>172437</v>
      </c>
      <c r="K25" s="554">
        <f t="shared" si="0"/>
        <v>485314.42433333339</v>
      </c>
    </row>
    <row r="26" spans="1:11" ht="12.95" customHeight="1">
      <c r="A26" s="117">
        <v>19</v>
      </c>
      <c r="B26" s="1409">
        <f>'Page W-5'!D25</f>
        <v>325.2</v>
      </c>
      <c r="C26" s="1392"/>
      <c r="D26" s="182">
        <v>6.7000000000000004E-2</v>
      </c>
      <c r="E26" s="183">
        <f>+'Page W-6a'!Q23</f>
        <v>481.8584166666667</v>
      </c>
      <c r="F26" s="183"/>
      <c r="G26" s="553">
        <f>'Page W-5'!H25</f>
        <v>0</v>
      </c>
      <c r="H26" s="183"/>
      <c r="I26" s="183"/>
      <c r="J26" s="881">
        <v>6931</v>
      </c>
      <c r="K26" s="554">
        <f t="shared" si="0"/>
        <v>7412.8584166666669</v>
      </c>
    </row>
    <row r="27" spans="1:11" ht="12.95" customHeight="1">
      <c r="A27" s="117">
        <v>20</v>
      </c>
      <c r="B27" s="1409">
        <f>'Page W-5'!D26</f>
        <v>326</v>
      </c>
      <c r="C27" s="1392"/>
      <c r="D27" s="182"/>
      <c r="E27" s="183"/>
      <c r="F27" s="183"/>
      <c r="G27" s="553">
        <f>'Page W-5'!H26</f>
        <v>0</v>
      </c>
      <c r="H27" s="183"/>
      <c r="I27" s="183"/>
      <c r="J27" s="881"/>
      <c r="K27" s="554">
        <f t="shared" si="0"/>
        <v>0</v>
      </c>
    </row>
    <row r="28" spans="1:11" ht="12.95" customHeight="1">
      <c r="A28" s="117">
        <v>21</v>
      </c>
      <c r="B28" s="1409">
        <f>'Page W-5'!D27</f>
        <v>327</v>
      </c>
      <c r="C28" s="1392"/>
      <c r="D28" s="182"/>
      <c r="E28" s="183"/>
      <c r="F28" s="183"/>
      <c r="G28" s="553">
        <f>'Page W-5'!H27</f>
        <v>0</v>
      </c>
      <c r="H28" s="183"/>
      <c r="I28" s="183"/>
      <c r="J28" s="881"/>
      <c r="K28" s="554">
        <f t="shared" si="0"/>
        <v>0</v>
      </c>
    </row>
    <row r="29" spans="1:11" ht="12.95" customHeight="1">
      <c r="A29" s="117">
        <v>22</v>
      </c>
      <c r="B29" s="1409">
        <f>'Page W-5'!D28</f>
        <v>328</v>
      </c>
      <c r="C29" s="1392"/>
      <c r="D29" s="182">
        <v>6.7000000000000004E-2</v>
      </c>
      <c r="E29" s="183"/>
      <c r="F29" s="183"/>
      <c r="G29" s="553">
        <f>'Page W-5'!H28</f>
        <v>0</v>
      </c>
      <c r="H29" s="183"/>
      <c r="I29" s="183"/>
      <c r="J29" s="881">
        <v>26439</v>
      </c>
      <c r="K29" s="554">
        <f t="shared" si="0"/>
        <v>26439</v>
      </c>
    </row>
    <row r="30" spans="1:11" ht="5.0999999999999996" customHeight="1">
      <c r="B30" s="1409"/>
      <c r="C30" s="1392"/>
      <c r="D30" s="551"/>
      <c r="E30" s="552"/>
      <c r="F30" s="552"/>
      <c r="G30" s="552"/>
      <c r="H30" s="552"/>
      <c r="I30" s="552"/>
      <c r="J30" s="882"/>
      <c r="K30" s="555"/>
    </row>
    <row r="31" spans="1:11" ht="12.95" customHeight="1">
      <c r="A31" s="117">
        <v>23</v>
      </c>
      <c r="B31" s="1409">
        <f>'Page W-5'!D30</f>
        <v>330</v>
      </c>
      <c r="C31" s="1392"/>
      <c r="D31" s="182"/>
      <c r="E31" s="183"/>
      <c r="F31" s="183"/>
      <c r="G31" s="553">
        <f>'Page W-5'!H30</f>
        <v>0</v>
      </c>
      <c r="H31" s="183"/>
      <c r="I31" s="183"/>
      <c r="J31" s="881"/>
      <c r="K31" s="554">
        <f t="shared" si="0"/>
        <v>0</v>
      </c>
    </row>
    <row r="32" spans="1:11" ht="12.95" customHeight="1">
      <c r="A32" s="117">
        <v>24</v>
      </c>
      <c r="B32" s="1409">
        <f>'Page W-5'!D31</f>
        <v>331</v>
      </c>
      <c r="C32" s="1392"/>
      <c r="D32" s="182"/>
      <c r="E32" s="183"/>
      <c r="F32" s="183"/>
      <c r="G32" s="553">
        <f>'Page W-5'!H31</f>
        <v>0</v>
      </c>
      <c r="H32" s="183"/>
      <c r="I32" s="183"/>
      <c r="J32" s="881"/>
      <c r="K32" s="554">
        <f t="shared" si="0"/>
        <v>0</v>
      </c>
    </row>
    <row r="33" spans="1:11" ht="12.95" customHeight="1">
      <c r="A33" s="117">
        <v>25</v>
      </c>
      <c r="B33" s="1409">
        <f>'Page W-5'!D32</f>
        <v>332</v>
      </c>
      <c r="C33" s="1392"/>
      <c r="D33" s="182">
        <v>2.9000000000000001E-2</v>
      </c>
      <c r="E33" s="183">
        <f>+'Page W-6a'!Q30</f>
        <v>24742.107673333336</v>
      </c>
      <c r="F33" s="183">
        <v>336319.81</v>
      </c>
      <c r="G33" s="553">
        <f>'Page W-5'!H32</f>
        <v>0</v>
      </c>
      <c r="H33" s="183"/>
      <c r="I33" s="183"/>
      <c r="J33" s="881">
        <v>8499.380000000001</v>
      </c>
      <c r="K33" s="554">
        <f t="shared" si="0"/>
        <v>369561.29767333332</v>
      </c>
    </row>
    <row r="34" spans="1:11" ht="12.95" customHeight="1">
      <c r="B34" s="1409"/>
      <c r="C34" s="1392"/>
      <c r="D34" s="551"/>
      <c r="E34" s="552"/>
      <c r="F34" s="552"/>
      <c r="G34" s="552"/>
      <c r="H34" s="552"/>
      <c r="I34" s="552"/>
      <c r="J34" s="882"/>
      <c r="K34" s="555"/>
    </row>
    <row r="35" spans="1:11" ht="12.95" customHeight="1">
      <c r="A35" s="117">
        <v>26</v>
      </c>
      <c r="B35" s="1409">
        <f>'Page W-5'!D34</f>
        <v>340</v>
      </c>
      <c r="C35" s="1392"/>
      <c r="D35" s="182"/>
      <c r="E35" s="183"/>
      <c r="F35" s="183"/>
      <c r="G35" s="553">
        <f>'Page W-5'!H34</f>
        <v>0</v>
      </c>
      <c r="H35" s="183"/>
      <c r="I35" s="183"/>
      <c r="J35" s="881"/>
      <c r="K35" s="554">
        <f t="shared" si="0"/>
        <v>0</v>
      </c>
    </row>
    <row r="36" spans="1:11" ht="12.95" customHeight="1">
      <c r="A36" s="117">
        <v>27</v>
      </c>
      <c r="B36" s="1409">
        <f>'Page W-5'!D35</f>
        <v>341</v>
      </c>
      <c r="C36" s="1392"/>
      <c r="D36" s="182"/>
      <c r="E36" s="183"/>
      <c r="F36" s="183"/>
      <c r="G36" s="553">
        <f>'Page W-5'!H35</f>
        <v>0</v>
      </c>
      <c r="H36" s="183"/>
      <c r="I36" s="183"/>
      <c r="J36" s="881"/>
      <c r="K36" s="554">
        <f t="shared" si="0"/>
        <v>0</v>
      </c>
    </row>
    <row r="37" spans="1:11" ht="12.95" customHeight="1">
      <c r="A37" s="117">
        <v>28</v>
      </c>
      <c r="B37" s="1409">
        <f>'Page W-5'!D36</f>
        <v>342</v>
      </c>
      <c r="C37" s="1392"/>
      <c r="D37" s="182">
        <v>2.5000000000000001E-2</v>
      </c>
      <c r="E37" s="183">
        <f>+'Page W-6a'!Q34</f>
        <v>15106.124250000001</v>
      </c>
      <c r="F37" s="183">
        <v>127574.12</v>
      </c>
      <c r="G37" s="553">
        <f>'Page W-5'!H36</f>
        <v>0</v>
      </c>
      <c r="H37" s="183"/>
      <c r="I37" s="183"/>
      <c r="J37" s="881">
        <f>19849+95853.28</f>
        <v>115702.28</v>
      </c>
      <c r="K37" s="554">
        <f t="shared" si="0"/>
        <v>258382.52424999999</v>
      </c>
    </row>
    <row r="38" spans="1:11" ht="12.95" customHeight="1">
      <c r="A38" s="117">
        <v>29</v>
      </c>
      <c r="B38" s="1409">
        <f>'Page W-5'!D37</f>
        <v>343</v>
      </c>
      <c r="C38" s="1392"/>
      <c r="D38" s="182">
        <v>0.02</v>
      </c>
      <c r="E38" s="183">
        <f>+'Page W-6a'!Q35</f>
        <v>53827.153800000007</v>
      </c>
      <c r="F38" s="183">
        <v>512938.58</v>
      </c>
      <c r="G38" s="553">
        <f>'Page W-5'!H37</f>
        <v>0</v>
      </c>
      <c r="H38" s="183"/>
      <c r="I38" s="183"/>
      <c r="J38" s="880">
        <v>328603.21999999997</v>
      </c>
      <c r="K38" s="554">
        <f t="shared" si="0"/>
        <v>895368.95380000002</v>
      </c>
    </row>
    <row r="39" spans="1:11" ht="12.95" customHeight="1">
      <c r="A39" s="117">
        <v>30</v>
      </c>
      <c r="B39" s="1409">
        <f>'Page W-5'!D38</f>
        <v>344</v>
      </c>
      <c r="C39" s="1392"/>
      <c r="D39" s="182"/>
      <c r="E39" s="183"/>
      <c r="F39" s="183"/>
      <c r="G39" s="553">
        <f>'Page W-5'!H38</f>
        <v>0</v>
      </c>
      <c r="H39" s="183"/>
      <c r="I39" s="183"/>
      <c r="J39" s="881"/>
      <c r="K39" s="554">
        <f t="shared" si="0"/>
        <v>0</v>
      </c>
    </row>
    <row r="40" spans="1:11" ht="12.95" customHeight="1">
      <c r="A40" s="117">
        <v>31</v>
      </c>
      <c r="B40" s="1409">
        <f>'Page W-5'!D39</f>
        <v>345</v>
      </c>
      <c r="C40" s="1392"/>
      <c r="D40" s="182">
        <v>2.5000000000000001E-2</v>
      </c>
      <c r="E40" s="183">
        <f>+'Page W-6a'!Q37</f>
        <v>3168.0083333333337</v>
      </c>
      <c r="F40" s="183">
        <v>21748.05</v>
      </c>
      <c r="G40" s="553">
        <f>'Page W-5'!H39</f>
        <v>0</v>
      </c>
      <c r="H40" s="183"/>
      <c r="I40" s="183"/>
      <c r="J40" s="880">
        <v>71</v>
      </c>
      <c r="K40" s="554">
        <f t="shared" si="0"/>
        <v>24987.058333333334</v>
      </c>
    </row>
    <row r="41" spans="1:11" ht="12.95" customHeight="1">
      <c r="A41" s="117">
        <v>32</v>
      </c>
      <c r="B41" s="1409">
        <f>'Page W-5'!D40</f>
        <v>346</v>
      </c>
      <c r="C41" s="1392"/>
      <c r="D41" s="182">
        <v>3.3000000000000002E-2</v>
      </c>
      <c r="E41" s="183">
        <f>+'Page W-6a'!Q38</f>
        <v>14408.326866666666</v>
      </c>
      <c r="F41" s="183">
        <v>61211.13</v>
      </c>
      <c r="G41" s="553">
        <f>'Page W-5'!H40</f>
        <v>0</v>
      </c>
      <c r="H41" s="183"/>
      <c r="I41" s="183"/>
      <c r="J41" s="880">
        <v>133865</v>
      </c>
      <c r="K41" s="554">
        <f t="shared" si="0"/>
        <v>209484.45686666667</v>
      </c>
    </row>
    <row r="42" spans="1:11" ht="12.95" customHeight="1">
      <c r="A42" s="117">
        <v>33</v>
      </c>
      <c r="B42" s="1409">
        <f>'Page W-5'!D41</f>
        <v>347</v>
      </c>
      <c r="C42" s="1392"/>
      <c r="D42" s="182">
        <v>2.5000000000000001E-2</v>
      </c>
      <c r="E42" s="183">
        <f>+'Page W-6a'!Q39</f>
        <v>1411.85625</v>
      </c>
      <c r="F42" s="183"/>
      <c r="G42" s="553">
        <f>'Page W-5'!H41</f>
        <v>0</v>
      </c>
      <c r="H42" s="183"/>
      <c r="I42" s="183"/>
      <c r="J42" s="880">
        <v>15882</v>
      </c>
      <c r="K42" s="554">
        <f t="shared" si="0"/>
        <v>17293.856250000001</v>
      </c>
    </row>
    <row r="43" spans="1:11" ht="12.95" customHeight="1">
      <c r="A43" s="117">
        <v>34</v>
      </c>
      <c r="B43" s="1409">
        <f>'Page W-5'!D42</f>
        <v>348</v>
      </c>
      <c r="C43" s="1392"/>
      <c r="D43" s="182">
        <v>0.02</v>
      </c>
      <c r="E43" s="183">
        <f>+'Page W-6a'!Q40</f>
        <v>1822.6048666666668</v>
      </c>
      <c r="F43" s="183">
        <v>5399.95</v>
      </c>
      <c r="G43" s="553">
        <f>'Page W-5'!H42</f>
        <v>0</v>
      </c>
      <c r="H43" s="183"/>
      <c r="I43" s="183"/>
      <c r="J43" s="880">
        <v>13352.52</v>
      </c>
      <c r="K43" s="554">
        <f t="shared" si="0"/>
        <v>20575.074866666666</v>
      </c>
    </row>
    <row r="44" spans="1:11" ht="12.95" customHeight="1">
      <c r="A44" s="117">
        <v>35</v>
      </c>
      <c r="B44" s="1409">
        <f>'Page W-5'!D43</f>
        <v>349</v>
      </c>
      <c r="C44" s="1392"/>
      <c r="D44" s="182"/>
      <c r="E44" s="183"/>
      <c r="F44" s="183"/>
      <c r="G44" s="553">
        <f>'Page W-5'!H43</f>
        <v>0</v>
      </c>
      <c r="H44" s="183"/>
      <c r="I44" s="183"/>
      <c r="J44" s="881"/>
      <c r="K44" s="554">
        <f t="shared" si="0"/>
        <v>0</v>
      </c>
    </row>
    <row r="45" spans="1:11" ht="5.0999999999999996" customHeight="1">
      <c r="B45" s="1409"/>
      <c r="C45" s="1392"/>
      <c r="D45" s="556"/>
      <c r="E45" s="552"/>
      <c r="F45" s="552"/>
      <c r="G45" s="552"/>
      <c r="H45" s="552"/>
      <c r="I45" s="552"/>
      <c r="J45" s="882"/>
      <c r="K45" s="555"/>
    </row>
    <row r="46" spans="1:11" ht="12.95" customHeight="1">
      <c r="A46" s="117">
        <v>36</v>
      </c>
      <c r="B46" s="184" t="str">
        <f>'Page W-5'!D45</f>
        <v xml:space="preserve">B &amp;C  </v>
      </c>
      <c r="C46" s="119" t="str">
        <f>'Page W-5'!E45</f>
        <v>D</v>
      </c>
      <c r="D46" s="551"/>
      <c r="E46" s="552"/>
      <c r="F46" s="552"/>
      <c r="G46" s="552"/>
      <c r="H46" s="552"/>
      <c r="I46" s="552"/>
      <c r="J46" s="882"/>
      <c r="K46" s="555"/>
    </row>
    <row r="47" spans="1:11" ht="12.95" customHeight="1">
      <c r="A47" s="117">
        <v>37</v>
      </c>
      <c r="B47" s="209">
        <f>'Page W-5'!D46</f>
        <v>389</v>
      </c>
      <c r="C47" s="535">
        <f>'Page W-5'!E46</f>
        <v>370</v>
      </c>
      <c r="D47" s="182"/>
      <c r="E47" s="183"/>
      <c r="F47" s="183"/>
      <c r="G47" s="553">
        <f>'Page W-5'!H46</f>
        <v>0</v>
      </c>
      <c r="H47" s="183"/>
      <c r="I47" s="183"/>
      <c r="J47" s="881"/>
      <c r="K47" s="554">
        <f t="shared" si="0"/>
        <v>0</v>
      </c>
    </row>
    <row r="48" spans="1:11" ht="12.95" customHeight="1">
      <c r="A48" s="117">
        <v>38</v>
      </c>
      <c r="B48" s="209">
        <f>'Page W-5'!D47</f>
        <v>390</v>
      </c>
      <c r="C48" s="535">
        <f>'Page W-5'!E47</f>
        <v>371</v>
      </c>
      <c r="D48" s="182"/>
      <c r="E48" s="183"/>
      <c r="F48" s="183"/>
      <c r="G48" s="553">
        <f>'Page W-5'!H47</f>
        <v>0</v>
      </c>
      <c r="H48" s="183"/>
      <c r="I48" s="183"/>
      <c r="J48" s="881"/>
      <c r="K48" s="554">
        <f t="shared" si="0"/>
        <v>0</v>
      </c>
    </row>
    <row r="49" spans="1:11" ht="12.95" customHeight="1">
      <c r="A49" s="117">
        <v>39</v>
      </c>
      <c r="B49" s="209">
        <f>'Page W-5'!D48</f>
        <v>391</v>
      </c>
      <c r="C49" s="535">
        <f>'Page W-5'!E48</f>
        <v>372</v>
      </c>
      <c r="D49" s="182">
        <v>0.05</v>
      </c>
      <c r="E49" s="183">
        <f>+'Page W-6a'!Q46</f>
        <v>3673.7486666666668</v>
      </c>
      <c r="F49" s="183">
        <v>19990.79</v>
      </c>
      <c r="G49" s="553">
        <f>'Page W-5'!H48</f>
        <v>0</v>
      </c>
      <c r="H49" s="183"/>
      <c r="I49" s="183"/>
      <c r="J49" s="880">
        <v>12280.8</v>
      </c>
      <c r="K49" s="554">
        <f t="shared" si="0"/>
        <v>35945.338666666663</v>
      </c>
    </row>
    <row r="50" spans="1:11" ht="12.95" customHeight="1">
      <c r="A50" s="117">
        <v>40</v>
      </c>
      <c r="B50" s="209">
        <f>'Page W-5'!D49</f>
        <v>391.1</v>
      </c>
      <c r="C50" s="535">
        <f>'Page W-5'!E49</f>
        <v>372.1</v>
      </c>
      <c r="D50" s="182">
        <v>0.14299999999999999</v>
      </c>
      <c r="E50" s="183">
        <f>+'Page W-6a'!Q47:Q47</f>
        <v>21.040833333333332</v>
      </c>
      <c r="F50" s="183"/>
      <c r="G50" s="553">
        <f>'Page W-5'!H49</f>
        <v>0</v>
      </c>
      <c r="H50" s="183"/>
      <c r="I50" s="183"/>
      <c r="J50" s="881"/>
      <c r="K50" s="554">
        <f t="shared" si="0"/>
        <v>21.040833333333332</v>
      </c>
    </row>
    <row r="51" spans="1:11" ht="12.95" customHeight="1">
      <c r="A51" s="117">
        <v>41</v>
      </c>
      <c r="B51" s="209">
        <f>'Page W-5'!D50</f>
        <v>392</v>
      </c>
      <c r="C51" s="535">
        <f>'Page W-5'!E50</f>
        <v>373</v>
      </c>
      <c r="D51" s="182">
        <v>0.125</v>
      </c>
      <c r="E51" s="183">
        <f>+'Page W-6a'!Q48</f>
        <v>1673.2245833333336</v>
      </c>
      <c r="F51" s="183"/>
      <c r="G51" s="553">
        <f>'Page W-5'!H50</f>
        <v>0</v>
      </c>
      <c r="H51" s="183"/>
      <c r="I51" s="183"/>
      <c r="J51" s="881">
        <f>7975+18149</f>
        <v>26124</v>
      </c>
      <c r="K51" s="554">
        <f t="shared" si="0"/>
        <v>27797.224583333333</v>
      </c>
    </row>
    <row r="52" spans="1:11" ht="12.95" customHeight="1">
      <c r="A52" s="117">
        <v>42</v>
      </c>
      <c r="B52" s="209" t="str">
        <f>'Page W-5'!D51</f>
        <v xml:space="preserve">none  </v>
      </c>
      <c r="C52" s="123">
        <f>'Page W-5'!E51</f>
        <v>379</v>
      </c>
      <c r="D52" s="182"/>
      <c r="E52" s="183"/>
      <c r="F52" s="183"/>
      <c r="G52" s="553">
        <f>'Page W-5'!H51</f>
        <v>0</v>
      </c>
      <c r="H52" s="183"/>
      <c r="I52" s="183"/>
      <c r="J52" s="881"/>
      <c r="K52" s="554">
        <f t="shared" si="0"/>
        <v>0</v>
      </c>
    </row>
    <row r="53" spans="1:11" ht="12.95" customHeight="1">
      <c r="A53" s="117">
        <v>43</v>
      </c>
      <c r="B53" s="209">
        <f>'Page W-5'!D52</f>
        <v>393</v>
      </c>
      <c r="C53" s="123" t="str">
        <f>'Page W-5'!E52</f>
        <v xml:space="preserve">none  </v>
      </c>
      <c r="D53" s="182"/>
      <c r="E53" s="183"/>
      <c r="F53" s="183"/>
      <c r="G53" s="553">
        <f>'Page W-5'!H52</f>
        <v>0</v>
      </c>
      <c r="H53" s="183"/>
      <c r="I53" s="183"/>
      <c r="J53" s="881"/>
      <c r="K53" s="554">
        <f t="shared" si="0"/>
        <v>0</v>
      </c>
    </row>
    <row r="54" spans="1:11" ht="12.95" customHeight="1">
      <c r="A54" s="117">
        <v>44</v>
      </c>
      <c r="B54" s="209">
        <f>'Page W-5'!D53</f>
        <v>394</v>
      </c>
      <c r="C54" s="123" t="str">
        <f>'Page W-5'!E53</f>
        <v xml:space="preserve">none  </v>
      </c>
      <c r="D54" s="182">
        <v>0.05</v>
      </c>
      <c r="E54" s="183">
        <f>+'Page W-6a'!Q51</f>
        <v>853.18900000000008</v>
      </c>
      <c r="F54" s="183">
        <v>2133.3200000000002</v>
      </c>
      <c r="G54" s="553">
        <f>'Page W-5'!H53</f>
        <v>0</v>
      </c>
      <c r="H54" s="183"/>
      <c r="I54" s="183"/>
      <c r="J54" s="880">
        <v>4131</v>
      </c>
      <c r="K54" s="554">
        <f t="shared" si="0"/>
        <v>7117.509</v>
      </c>
    </row>
    <row r="55" spans="1:11" ht="12.95" customHeight="1">
      <c r="A55" s="117">
        <v>45</v>
      </c>
      <c r="B55" s="209">
        <f>'Page W-5'!D54</f>
        <v>395</v>
      </c>
      <c r="C55" s="123" t="str">
        <f>'Page W-5'!E54</f>
        <v xml:space="preserve">none  </v>
      </c>
      <c r="D55" s="182"/>
      <c r="E55" s="183"/>
      <c r="F55" s="183"/>
      <c r="G55" s="553">
        <f>'Page W-5'!H54</f>
        <v>0</v>
      </c>
      <c r="H55" s="183"/>
      <c r="I55" s="183"/>
      <c r="J55" s="881"/>
      <c r="K55" s="554">
        <f t="shared" si="0"/>
        <v>0</v>
      </c>
    </row>
    <row r="56" spans="1:11" ht="12.95" customHeight="1">
      <c r="A56" s="117">
        <v>46</v>
      </c>
      <c r="B56" s="209">
        <f>'Page W-5'!D55</f>
        <v>396</v>
      </c>
      <c r="C56" s="123" t="str">
        <f>'Page W-5'!E55</f>
        <v xml:space="preserve">none  </v>
      </c>
      <c r="D56" s="182"/>
      <c r="E56" s="183"/>
      <c r="F56" s="183"/>
      <c r="G56" s="553">
        <f>'Page W-5'!H55</f>
        <v>0</v>
      </c>
      <c r="H56" s="183"/>
      <c r="I56" s="183"/>
      <c r="J56" s="881"/>
      <c r="K56" s="554">
        <f t="shared" si="0"/>
        <v>0</v>
      </c>
    </row>
    <row r="57" spans="1:11" ht="12.95" customHeight="1">
      <c r="A57" s="117">
        <v>47</v>
      </c>
      <c r="B57" s="209">
        <f>'Page W-5'!D56</f>
        <v>397</v>
      </c>
      <c r="C57" s="123" t="str">
        <f>'Page W-5'!E56</f>
        <v xml:space="preserve">none  </v>
      </c>
      <c r="D57" s="182">
        <v>6.7000000000000004E-2</v>
      </c>
      <c r="E57" s="183">
        <f>+'Page W-6a'!Q54</f>
        <v>385.68170333333336</v>
      </c>
      <c r="F57" s="183">
        <v>3580.65</v>
      </c>
      <c r="G57" s="553">
        <f>'Page W-5'!H56</f>
        <v>0</v>
      </c>
      <c r="H57" s="183"/>
      <c r="I57" s="183"/>
      <c r="J57" s="880">
        <v>51</v>
      </c>
      <c r="K57" s="554">
        <f t="shared" si="0"/>
        <v>4017.3317033333333</v>
      </c>
    </row>
    <row r="58" spans="1:11" ht="12.95" customHeight="1">
      <c r="A58" s="117">
        <v>48</v>
      </c>
      <c r="B58" s="209">
        <f>'Page W-5'!D57</f>
        <v>398</v>
      </c>
      <c r="C58" s="123" t="str">
        <f>'Page W-5'!E57</f>
        <v xml:space="preserve">none  </v>
      </c>
      <c r="D58" s="182"/>
      <c r="E58" s="183"/>
      <c r="F58" s="183">
        <v>339.83</v>
      </c>
      <c r="G58" s="553">
        <f>'Page W-5'!H57</f>
        <v>0</v>
      </c>
      <c r="H58" s="183"/>
      <c r="I58" s="183"/>
      <c r="J58" s="183"/>
      <c r="K58" s="554">
        <f t="shared" si="0"/>
        <v>339.83</v>
      </c>
    </row>
    <row r="59" spans="1:11" s="174" customFormat="1" ht="12.95" customHeight="1">
      <c r="A59" s="117">
        <v>49</v>
      </c>
      <c r="B59" s="209"/>
      <c r="C59" s="535"/>
      <c r="D59" s="557" t="s">
        <v>233</v>
      </c>
      <c r="E59" s="558">
        <f t="shared" ref="E59:K59" si="1">SUM(E7:E58)</f>
        <v>203006.66174333339</v>
      </c>
      <c r="F59" s="558">
        <f t="shared" si="1"/>
        <v>1710871.9800000002</v>
      </c>
      <c r="G59" s="558">
        <f t="shared" si="1"/>
        <v>0</v>
      </c>
      <c r="H59" s="558">
        <f t="shared" si="1"/>
        <v>0</v>
      </c>
      <c r="I59" s="558">
        <f t="shared" si="1"/>
        <v>0</v>
      </c>
      <c r="J59" s="558">
        <f t="shared" si="1"/>
        <v>1012238.01</v>
      </c>
      <c r="K59" s="558">
        <f t="shared" si="1"/>
        <v>2926116.6517433333</v>
      </c>
    </row>
    <row r="60" spans="1:11" ht="12" customHeight="1" thickBot="1">
      <c r="B60" s="559"/>
      <c r="C60" s="543"/>
      <c r="D60" s="560"/>
      <c r="E60" s="561" t="s">
        <v>398</v>
      </c>
      <c r="F60" s="562"/>
      <c r="G60" s="562"/>
      <c r="H60" s="562"/>
      <c r="I60" s="562"/>
      <c r="J60" s="562"/>
      <c r="K60" s="563" t="s">
        <v>272</v>
      </c>
    </row>
    <row r="61" spans="1:11" ht="24" customHeight="1">
      <c r="B61" s="1410" t="s">
        <v>399</v>
      </c>
      <c r="C61" s="1410"/>
      <c r="D61" s="1410"/>
      <c r="E61" s="1410"/>
      <c r="F61" s="1410"/>
      <c r="G61" s="1410"/>
      <c r="H61" s="1410"/>
      <c r="I61" s="1410"/>
      <c r="J61" s="1410"/>
      <c r="K61" s="1410"/>
    </row>
    <row r="62" spans="1:11" ht="21.75" customHeight="1">
      <c r="A62" s="502" t="s">
        <v>400</v>
      </c>
      <c r="B62" s="1411" t="s">
        <v>401</v>
      </c>
      <c r="C62" s="1411"/>
      <c r="D62" s="1411"/>
      <c r="E62" s="1411"/>
      <c r="F62" s="1411"/>
      <c r="G62" s="1411"/>
      <c r="H62" s="1411"/>
      <c r="I62" s="1411"/>
      <c r="J62" s="1411"/>
      <c r="K62" s="1411"/>
    </row>
    <row r="63" spans="1:11" ht="12" customHeight="1">
      <c r="A63" s="398" t="s">
        <v>170</v>
      </c>
      <c r="B63" s="1410" t="s">
        <v>402</v>
      </c>
      <c r="C63" s="1410"/>
      <c r="D63" s="1410"/>
      <c r="E63" s="1410"/>
      <c r="F63" s="1410"/>
      <c r="G63" s="1410"/>
      <c r="H63" s="1410"/>
      <c r="I63" s="1410"/>
      <c r="J63" s="1410"/>
      <c r="K63" s="1410"/>
    </row>
    <row r="64" spans="1:11" ht="24" customHeight="1">
      <c r="A64" s="564" t="s">
        <v>403</v>
      </c>
      <c r="B64" s="1411" t="s">
        <v>611</v>
      </c>
      <c r="C64" s="1411"/>
      <c r="D64" s="1411"/>
      <c r="E64" s="1411"/>
      <c r="F64" s="1411"/>
      <c r="G64" s="1411"/>
      <c r="H64" s="1411"/>
      <c r="I64" s="1104"/>
      <c r="J64" s="1191"/>
      <c r="K64" s="1105"/>
    </row>
    <row r="65" spans="1:11" s="93" customFormat="1">
      <c r="A65" s="274"/>
      <c r="B65" s="275" t="s">
        <v>712</v>
      </c>
      <c r="D65" s="120"/>
      <c r="E65" s="237"/>
      <c r="F65" s="237"/>
      <c r="G65" s="237"/>
      <c r="H65" s="237"/>
      <c r="I65" s="1414" t="s">
        <v>13</v>
      </c>
      <c r="J65" s="1414"/>
      <c r="K65" s="1414"/>
    </row>
    <row r="66" spans="1:11" s="93" customFormat="1">
      <c r="A66" s="276"/>
      <c r="B66" s="277" t="s">
        <v>713</v>
      </c>
      <c r="D66" s="120"/>
      <c r="E66" s="120"/>
      <c r="F66" s="120"/>
      <c r="G66" s="120"/>
      <c r="H66" s="120"/>
    </row>
    <row r="67" spans="1:11" s="93" customFormat="1">
      <c r="A67" s="92"/>
      <c r="B67" s="92"/>
      <c r="C67" s="92"/>
      <c r="D67" s="120"/>
      <c r="E67" s="120"/>
      <c r="F67" s="856"/>
      <c r="G67" s="120"/>
      <c r="H67" s="120"/>
      <c r="I67" s="17"/>
      <c r="J67" s="17"/>
      <c r="K67" s="83"/>
    </row>
    <row r="68" spans="1:11" s="93" customFormat="1">
      <c r="A68" s="92"/>
      <c r="B68" s="92"/>
      <c r="C68" s="92"/>
      <c r="D68" s="120"/>
      <c r="E68" s="120"/>
      <c r="F68" s="120"/>
      <c r="G68" s="856"/>
      <c r="H68" s="120"/>
      <c r="I68" s="17"/>
      <c r="J68" s="17"/>
      <c r="K68" s="83"/>
    </row>
    <row r="69" spans="1:11" s="93" customFormat="1">
      <c r="A69" s="92"/>
      <c r="B69" s="92"/>
      <c r="C69" s="92"/>
      <c r="D69" s="120"/>
      <c r="E69" s="120"/>
      <c r="F69" s="120"/>
      <c r="G69" s="120"/>
      <c r="H69" s="120"/>
      <c r="I69" s="17"/>
      <c r="J69" s="17"/>
      <c r="K69" s="83"/>
    </row>
    <row r="70" spans="1:11" s="93" customFormat="1">
      <c r="A70" s="92"/>
      <c r="B70" s="92"/>
      <c r="C70" s="92"/>
      <c r="D70" s="120"/>
      <c r="E70" s="120"/>
      <c r="F70" s="856"/>
      <c r="G70" s="856"/>
      <c r="H70" s="120"/>
      <c r="I70" s="17"/>
      <c r="J70" s="17"/>
      <c r="K70" s="83"/>
    </row>
    <row r="71" spans="1:11" s="93" customFormat="1">
      <c r="A71" s="92"/>
      <c r="B71" s="92"/>
      <c r="C71" s="92"/>
      <c r="D71" s="120"/>
      <c r="E71" s="120"/>
      <c r="F71" s="120"/>
      <c r="G71" s="120"/>
      <c r="H71" s="120"/>
      <c r="I71" s="17"/>
      <c r="J71" s="17"/>
      <c r="K71" s="83"/>
    </row>
    <row r="72" spans="1:11">
      <c r="I72" s="21"/>
      <c r="J72" s="21"/>
      <c r="K72" s="57"/>
    </row>
    <row r="73" spans="1:11">
      <c r="I73" s="21"/>
      <c r="J73" s="21"/>
      <c r="K73" s="57"/>
    </row>
    <row r="74" spans="1:11">
      <c r="A74" s="21"/>
      <c r="B74" s="21"/>
      <c r="C74" s="21"/>
      <c r="I74" s="21"/>
      <c r="J74" s="21"/>
      <c r="K74" s="57"/>
    </row>
    <row r="75" spans="1:11">
      <c r="I75" s="21"/>
      <c r="J75" s="21"/>
      <c r="K75" s="57"/>
    </row>
    <row r="76" spans="1:11">
      <c r="I76" s="21"/>
      <c r="J76" s="21"/>
      <c r="K76" s="57"/>
    </row>
    <row r="77" spans="1:11">
      <c r="I77" s="21"/>
      <c r="J77" s="21"/>
      <c r="K77" s="57"/>
    </row>
    <row r="78" spans="1:11">
      <c r="I78" s="21"/>
      <c r="J78" s="21"/>
      <c r="K78" s="57"/>
    </row>
    <row r="79" spans="1:11">
      <c r="I79" s="21"/>
      <c r="J79" s="21"/>
      <c r="K79" s="57"/>
    </row>
    <row r="80" spans="1:11">
      <c r="I80" s="21" t="s">
        <v>14</v>
      </c>
      <c r="J80" s="21"/>
      <c r="K80" s="57"/>
    </row>
    <row r="81" spans="9:11">
      <c r="I81" s="21" t="s">
        <v>15</v>
      </c>
      <c r="J81" s="21"/>
      <c r="K81" s="57"/>
    </row>
    <row r="82" spans="9:11">
      <c r="I82" s="57"/>
      <c r="J82" s="548"/>
      <c r="K82" s="451"/>
    </row>
    <row r="83" spans="9:11">
      <c r="I83" s="57"/>
      <c r="J83" s="548"/>
      <c r="K83" s="451"/>
    </row>
    <row r="84" spans="9:11">
      <c r="I84" s="57"/>
      <c r="J84" s="548"/>
      <c r="K84" s="451"/>
    </row>
  </sheetData>
  <sheetProtection password="C0F1" sheet="1" formatCells="0" formatColumns="0" formatRows="0" insertColumns="0" insertRows="0"/>
  <customSheetViews>
    <customSheetView guid="{1F4AFEE5-5BDD-4100-B0E9-57B262CA123C}" scale="145" showPageBreaks="1" showGridLines="0" fitToPage="1" printArea="1" view="pageBreakPreview">
      <selection activeCell="A5" sqref="A5"/>
      <pageMargins left="0.45" right="0.45" top="0.5" bottom="0.25" header="0.3" footer="0.3"/>
      <printOptions horizontalCentered="1"/>
      <pageSetup scale="84" orientation="portrait" r:id="rId1"/>
      <headerFooter>
        <oddFooter>&amp;C&amp;A</oddFooter>
      </headerFooter>
    </customSheetView>
  </customSheetViews>
  <mergeCells count="56">
    <mergeCell ref="B5:C6"/>
    <mergeCell ref="D5:D6"/>
    <mergeCell ref="E5:E6"/>
    <mergeCell ref="F5:F6"/>
    <mergeCell ref="J5:J6"/>
    <mergeCell ref="K5:K6"/>
    <mergeCell ref="B64:H64"/>
    <mergeCell ref="I65:K65"/>
    <mergeCell ref="C1:J1"/>
    <mergeCell ref="E2:K2"/>
    <mergeCell ref="D3:K3"/>
    <mergeCell ref="B4:K4"/>
    <mergeCell ref="G5:I5"/>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I64:K64"/>
    <mergeCell ref="B45:C45"/>
    <mergeCell ref="B61:K61"/>
    <mergeCell ref="B62:K62"/>
    <mergeCell ref="B63:K63"/>
  </mergeCells>
  <dataValidations count="3">
    <dataValidation type="list" allowBlank="1" showInputMessage="1" prompt="This field is to be used when filing under seal." sqref="I66:K81">
      <formula1>$H$61:$H$63</formula1>
    </dataValidation>
    <dataValidation type="list" allowBlank="1" showInputMessage="1" prompt="This field is to be used when filing under seal." sqref="I64:K64">
      <formula1>$I$79:$I$81</formula1>
    </dataValidation>
    <dataValidation allowBlank="1" showInputMessage="1" prompt="This field is to be used when filing under seal." sqref="I65:K65"/>
  </dataValidations>
  <printOptions horizontalCentered="1"/>
  <pageMargins left="0.45" right="0.45" top="0.5" bottom="0.25" header="0.3" footer="0.3"/>
  <pageSetup scale="79" orientation="portrait" r:id="rId2"/>
  <headerFooter>
    <oddFooter>&amp;C&amp;A</oddFooter>
  </headerFooter>
  <ignoredErrors>
    <ignoredError sqref="G8:G10" unlockedFormula="1"/>
  </ignoredError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59"/>
  <sheetViews>
    <sheetView zoomScale="55" zoomScaleNormal="55" workbookViewId="0">
      <pane xSplit="4" ySplit="3" topLeftCell="E4" activePane="bottomRight" state="frozen"/>
      <selection pane="topRight" activeCell="E1" sqref="E1"/>
      <selection pane="bottomLeft" activeCell="A4" sqref="A4"/>
      <selection pane="bottomRight" activeCell="N26" sqref="N26"/>
    </sheetView>
  </sheetViews>
  <sheetFormatPr defaultRowHeight="15"/>
  <cols>
    <col min="1" max="1" width="52.140625" style="1042" bestFit="1" customWidth="1"/>
    <col min="2" max="2" width="28.5703125" style="1042" customWidth="1"/>
    <col min="3" max="4" width="6.42578125" style="1042" bestFit="1" customWidth="1"/>
    <col min="5" max="5" width="23.42578125" style="1042" bestFit="1" customWidth="1"/>
    <col min="6" max="6" width="20.5703125" style="1042" bestFit="1" customWidth="1"/>
    <col min="7" max="7" width="21" style="1042" bestFit="1" customWidth="1"/>
    <col min="8" max="8" width="16.85546875" style="1042" bestFit="1" customWidth="1"/>
    <col min="9" max="9" width="15.85546875" style="1042" bestFit="1" customWidth="1"/>
    <col min="10" max="10" width="16.85546875" style="1042" bestFit="1" customWidth="1"/>
    <col min="11" max="12" width="13.42578125" style="1042" bestFit="1" customWidth="1"/>
    <col min="13" max="13" width="21" style="1042" bestFit="1" customWidth="1"/>
    <col min="14" max="14" width="16.28515625" style="1042" bestFit="1" customWidth="1"/>
    <col min="15" max="15" width="16.7109375" style="1042" bestFit="1" customWidth="1"/>
    <col min="16" max="16" width="13.5703125" style="1042" bestFit="1" customWidth="1"/>
    <col min="17" max="17" width="20.7109375" style="1042" bestFit="1" customWidth="1"/>
    <col min="18" max="18" width="20" style="1042" bestFit="1" customWidth="1"/>
    <col min="19" max="20" width="17.7109375" style="1042" bestFit="1" customWidth="1"/>
    <col min="21" max="21" width="20" style="1042" bestFit="1" customWidth="1"/>
    <col min="22" max="16384" width="9.140625" style="1042"/>
  </cols>
  <sheetData>
    <row r="1" spans="1:21" ht="58.5" customHeight="1"/>
    <row r="2" spans="1:21" ht="15.75" thickBot="1">
      <c r="E2" s="1427" t="s">
        <v>1195</v>
      </c>
      <c r="F2" s="1428"/>
      <c r="G2" s="1428"/>
      <c r="H2" s="1428"/>
      <c r="I2" s="1428"/>
      <c r="J2" s="1429"/>
      <c r="K2" s="1427" t="s">
        <v>1196</v>
      </c>
      <c r="L2" s="1428"/>
      <c r="M2" s="1428"/>
      <c r="N2" s="1428"/>
      <c r="O2" s="1428"/>
      <c r="P2" s="1428"/>
      <c r="Q2" s="1428"/>
      <c r="R2" s="1428"/>
      <c r="S2" s="1428"/>
      <c r="T2" s="1428"/>
      <c r="U2" s="1429"/>
    </row>
    <row r="3" spans="1:21" ht="77.25" customHeight="1">
      <c r="A3" s="1430" t="s">
        <v>541</v>
      </c>
      <c r="B3" s="1431"/>
      <c r="C3" s="1432" t="s">
        <v>396</v>
      </c>
      <c r="D3" s="1433"/>
      <c r="E3" s="1069" t="s">
        <v>1197</v>
      </c>
      <c r="F3" s="1070" t="s">
        <v>1198</v>
      </c>
      <c r="G3" s="1070" t="s">
        <v>1199</v>
      </c>
      <c r="H3" s="1070" t="s">
        <v>1200</v>
      </c>
      <c r="I3" s="1070" t="s">
        <v>1201</v>
      </c>
      <c r="J3" s="1071" t="s">
        <v>1202</v>
      </c>
      <c r="K3" s="1069" t="s">
        <v>1203</v>
      </c>
      <c r="L3" s="1069" t="s">
        <v>1204</v>
      </c>
      <c r="M3" s="1070" t="s">
        <v>1205</v>
      </c>
      <c r="N3" s="1070" t="s">
        <v>1206</v>
      </c>
      <c r="O3" s="1070" t="s">
        <v>1207</v>
      </c>
      <c r="P3" s="1070" t="s">
        <v>1208</v>
      </c>
      <c r="Q3" s="1070" t="s">
        <v>1209</v>
      </c>
      <c r="R3" s="1069" t="s">
        <v>1210</v>
      </c>
      <c r="S3" s="1070" t="s">
        <v>1211</v>
      </c>
      <c r="T3" s="1070" t="s">
        <v>1212</v>
      </c>
      <c r="U3" s="1071" t="s">
        <v>1213</v>
      </c>
    </row>
    <row r="4" spans="1:21">
      <c r="A4" s="1326" t="s">
        <v>347</v>
      </c>
      <c r="B4" s="1392"/>
      <c r="C4" s="1434" t="s">
        <v>348</v>
      </c>
      <c r="D4" s="1435"/>
      <c r="E4" s="944"/>
      <c r="F4" s="944"/>
      <c r="G4" s="944"/>
      <c r="H4" s="944"/>
      <c r="I4" s="944"/>
      <c r="J4" s="1072"/>
      <c r="K4" s="1073"/>
      <c r="L4" s="1073"/>
      <c r="M4" s="944"/>
      <c r="N4" s="944"/>
      <c r="O4" s="944"/>
      <c r="P4" s="944"/>
      <c r="Q4" s="944"/>
      <c r="R4" s="944"/>
      <c r="S4" s="944"/>
      <c r="T4" s="944"/>
      <c r="U4" s="1072"/>
    </row>
    <row r="5" spans="1:21">
      <c r="A5" s="1395" t="s">
        <v>349</v>
      </c>
      <c r="B5" s="1396"/>
      <c r="C5" s="1436">
        <v>301</v>
      </c>
      <c r="D5" s="1437"/>
      <c r="E5" s="944"/>
      <c r="F5" s="944">
        <v>35409</v>
      </c>
      <c r="G5" s="944"/>
      <c r="H5" s="944"/>
      <c r="I5" s="944"/>
      <c r="J5" s="1074">
        <f>SUM(E5:H5)-I5</f>
        <v>35409</v>
      </c>
      <c r="K5" s="1073"/>
      <c r="L5" s="1075"/>
      <c r="M5" s="944"/>
      <c r="N5" s="944"/>
      <c r="O5" s="944"/>
      <c r="P5" s="944"/>
      <c r="Q5" s="944">
        <f t="shared" ref="Q5:Q7" si="0">SUM(M5:P5)</f>
        <v>0</v>
      </c>
      <c r="R5" s="944"/>
      <c r="S5" s="944">
        <v>35515</v>
      </c>
      <c r="T5" s="944"/>
      <c r="U5" s="1074">
        <f t="shared" ref="U5:U7" si="1">SUM(Q5:T5)</f>
        <v>35515</v>
      </c>
    </row>
    <row r="6" spans="1:21">
      <c r="A6" s="1395" t="s">
        <v>350</v>
      </c>
      <c r="B6" s="1396"/>
      <c r="C6" s="1436">
        <v>302</v>
      </c>
      <c r="D6" s="1437"/>
      <c r="E6" s="944"/>
      <c r="F6" s="944">
        <v>4109</v>
      </c>
      <c r="G6" s="944"/>
      <c r="H6" s="944"/>
      <c r="I6" s="944"/>
      <c r="J6" s="1074">
        <f t="shared" ref="J6:J7" si="2">SUM(E6:H6)-I6</f>
        <v>4109</v>
      </c>
      <c r="K6" s="1073"/>
      <c r="L6" s="1075"/>
      <c r="M6" s="944"/>
      <c r="N6" s="944"/>
      <c r="O6" s="944"/>
      <c r="P6" s="944"/>
      <c r="Q6" s="944">
        <f t="shared" si="0"/>
        <v>0</v>
      </c>
      <c r="R6" s="944"/>
      <c r="S6" s="944">
        <v>4109</v>
      </c>
      <c r="T6" s="944"/>
      <c r="U6" s="1074">
        <f t="shared" si="1"/>
        <v>4109</v>
      </c>
    </row>
    <row r="7" spans="1:21">
      <c r="A7" s="1395" t="s">
        <v>351</v>
      </c>
      <c r="B7" s="1396"/>
      <c r="C7" s="1436">
        <v>303</v>
      </c>
      <c r="D7" s="1437"/>
      <c r="E7" s="944"/>
      <c r="F7" s="944">
        <v>11160</v>
      </c>
      <c r="G7" s="944"/>
      <c r="H7" s="944"/>
      <c r="I7" s="944"/>
      <c r="J7" s="1074">
        <f t="shared" si="2"/>
        <v>11160</v>
      </c>
      <c r="K7" s="1073"/>
      <c r="L7" s="1075"/>
      <c r="M7" s="944"/>
      <c r="N7" s="944"/>
      <c r="O7" s="944"/>
      <c r="P7" s="944"/>
      <c r="Q7" s="944">
        <f t="shared" si="0"/>
        <v>0</v>
      </c>
      <c r="R7" s="944"/>
      <c r="S7" s="944">
        <v>11160</v>
      </c>
      <c r="T7" s="944"/>
      <c r="U7" s="1074">
        <f t="shared" si="1"/>
        <v>11160</v>
      </c>
    </row>
    <row r="8" spans="1:21">
      <c r="A8" s="1326" t="s">
        <v>352</v>
      </c>
      <c r="B8" s="1398"/>
      <c r="C8" s="1436"/>
      <c r="D8" s="1437"/>
      <c r="E8" s="944"/>
      <c r="F8" s="944"/>
      <c r="G8" s="944"/>
      <c r="H8" s="944"/>
      <c r="I8" s="944"/>
      <c r="J8" s="1074"/>
      <c r="K8" s="1073"/>
      <c r="L8" s="1075"/>
      <c r="M8" s="944"/>
      <c r="N8" s="944"/>
      <c r="O8" s="944"/>
      <c r="P8" s="944"/>
      <c r="Q8" s="944"/>
      <c r="R8" s="944"/>
      <c r="S8" s="944"/>
      <c r="T8" s="944"/>
      <c r="U8" s="1074"/>
    </row>
    <row r="9" spans="1:21">
      <c r="A9" s="1395" t="s">
        <v>353</v>
      </c>
      <c r="B9" s="1396"/>
      <c r="C9" s="1436">
        <v>310</v>
      </c>
      <c r="D9" s="1437"/>
      <c r="E9" s="944"/>
      <c r="F9" s="944">
        <v>2025</v>
      </c>
      <c r="G9" s="944">
        <v>6734</v>
      </c>
      <c r="H9" s="944"/>
      <c r="I9" s="944"/>
      <c r="J9" s="1074">
        <f t="shared" ref="J9:J16" si="3">SUM(E9:H9)-I9</f>
        <v>8759</v>
      </c>
      <c r="K9" s="1076">
        <v>0</v>
      </c>
      <c r="L9" s="1075"/>
      <c r="M9" s="944"/>
      <c r="N9" s="944"/>
      <c r="O9" s="944"/>
      <c r="P9" s="944"/>
      <c r="Q9" s="944">
        <f t="shared" ref="Q9:Q12" si="4">SUM(M9:P9)</f>
        <v>0</v>
      </c>
      <c r="R9" s="944"/>
      <c r="S9" s="944"/>
      <c r="T9" s="944"/>
      <c r="U9" s="1074">
        <f>SUM(Q9:T9)</f>
        <v>0</v>
      </c>
    </row>
    <row r="10" spans="1:21">
      <c r="A10" s="1395" t="s">
        <v>354</v>
      </c>
      <c r="B10" s="1396"/>
      <c r="C10" s="1436">
        <v>311</v>
      </c>
      <c r="D10" s="1437"/>
      <c r="E10" s="944">
        <v>446389.49</v>
      </c>
      <c r="F10" s="944"/>
      <c r="G10" s="944"/>
      <c r="H10" s="944"/>
      <c r="I10" s="944"/>
      <c r="J10" s="1074">
        <f t="shared" si="3"/>
        <v>446389.49</v>
      </c>
      <c r="K10" s="1073">
        <v>2.5000000000000001E-2</v>
      </c>
      <c r="L10" s="1075"/>
      <c r="M10" s="1077">
        <f>E10*K10</f>
        <v>11159.73725</v>
      </c>
      <c r="N10" s="944"/>
      <c r="O10" s="944"/>
      <c r="P10" s="944"/>
      <c r="Q10" s="944">
        <f t="shared" si="4"/>
        <v>11159.73725</v>
      </c>
      <c r="R10" s="944">
        <v>369775.05</v>
      </c>
      <c r="S10" s="944"/>
      <c r="T10" s="944"/>
      <c r="U10" s="1074">
        <f>SUM(Q10:T10)</f>
        <v>380934.78724999999</v>
      </c>
    </row>
    <row r="11" spans="1:21">
      <c r="A11" s="1395" t="s">
        <v>355</v>
      </c>
      <c r="B11" s="1396"/>
      <c r="C11" s="1436">
        <v>312</v>
      </c>
      <c r="D11" s="1437"/>
      <c r="E11" s="944"/>
      <c r="F11" s="944"/>
      <c r="G11" s="944"/>
      <c r="H11" s="944"/>
      <c r="I11" s="944"/>
      <c r="J11" s="1074">
        <f t="shared" si="3"/>
        <v>0</v>
      </c>
      <c r="K11" s="1073"/>
      <c r="L11" s="1075"/>
      <c r="M11" s="944"/>
      <c r="N11" s="944"/>
      <c r="O11" s="944"/>
      <c r="P11" s="944"/>
      <c r="Q11" s="944">
        <f t="shared" si="4"/>
        <v>0</v>
      </c>
      <c r="R11" s="944"/>
      <c r="S11" s="944"/>
      <c r="T11" s="944"/>
      <c r="U11" s="1074">
        <f t="shared" ref="U11:U12" si="5">SUM(Q11:T11)</f>
        <v>0</v>
      </c>
    </row>
    <row r="12" spans="1:21">
      <c r="A12" s="1395" t="s">
        <v>356</v>
      </c>
      <c r="B12" s="1396"/>
      <c r="C12" s="1436">
        <v>313</v>
      </c>
      <c r="D12" s="1437"/>
      <c r="E12" s="944"/>
      <c r="F12" s="944"/>
      <c r="G12" s="944"/>
      <c r="H12" s="944"/>
      <c r="I12" s="944"/>
      <c r="J12" s="1074">
        <f t="shared" si="3"/>
        <v>0</v>
      </c>
      <c r="K12" s="1073"/>
      <c r="L12" s="1075"/>
      <c r="M12" s="944"/>
      <c r="N12" s="944"/>
      <c r="O12" s="944"/>
      <c r="P12" s="944"/>
      <c r="Q12" s="944">
        <f t="shared" si="4"/>
        <v>0</v>
      </c>
      <c r="R12" s="944"/>
      <c r="S12" s="944"/>
      <c r="T12" s="944"/>
      <c r="U12" s="1074">
        <f t="shared" si="5"/>
        <v>0</v>
      </c>
    </row>
    <row r="13" spans="1:21">
      <c r="A13" s="1395" t="s">
        <v>357</v>
      </c>
      <c r="B13" s="1396"/>
      <c r="C13" s="1436">
        <v>314</v>
      </c>
      <c r="D13" s="1437"/>
      <c r="E13" s="944">
        <v>28841.21</v>
      </c>
      <c r="F13" s="944">
        <v>12979</v>
      </c>
      <c r="G13" s="944">
        <v>120655</v>
      </c>
      <c r="H13" s="944"/>
      <c r="I13" s="944"/>
      <c r="J13" s="1074">
        <f t="shared" si="3"/>
        <v>162475.21</v>
      </c>
      <c r="K13" s="1078">
        <v>0.02</v>
      </c>
      <c r="L13" s="1075">
        <v>0.02</v>
      </c>
      <c r="M13" s="1077">
        <f>E13*K13</f>
        <v>576.82420000000002</v>
      </c>
      <c r="N13" s="944">
        <f>F13*L13/12*7</f>
        <v>151.42166666666665</v>
      </c>
      <c r="O13" s="944">
        <f>G13*K13/12*7</f>
        <v>1407.6416666666667</v>
      </c>
      <c r="P13" s="944"/>
      <c r="Q13" s="944">
        <f>SUM(M13:P13)</f>
        <v>2135.8875333333335</v>
      </c>
      <c r="R13" s="944">
        <v>2394.56</v>
      </c>
      <c r="S13" s="944">
        <v>10607</v>
      </c>
      <c r="T13" s="944">
        <v>45806</v>
      </c>
      <c r="U13" s="1074">
        <f>SUM(Q13:T13)</f>
        <v>60943.447533333332</v>
      </c>
    </row>
    <row r="14" spans="1:21">
      <c r="A14" s="1395" t="s">
        <v>358</v>
      </c>
      <c r="B14" s="1396"/>
      <c r="C14" s="1436">
        <v>315</v>
      </c>
      <c r="D14" s="1437"/>
      <c r="E14" s="944"/>
      <c r="F14" s="944"/>
      <c r="G14" s="944"/>
      <c r="H14" s="944"/>
      <c r="I14" s="944"/>
      <c r="J14" s="1074">
        <f t="shared" si="3"/>
        <v>0</v>
      </c>
      <c r="K14" s="1073"/>
      <c r="L14" s="1075"/>
      <c r="M14" s="944"/>
      <c r="N14" s="944"/>
      <c r="O14" s="944"/>
      <c r="P14" s="944"/>
      <c r="Q14" s="944">
        <f t="shared" ref="Q14:Q16" si="6">SUM(M14:P14)</f>
        <v>0</v>
      </c>
      <c r="R14" s="944"/>
      <c r="S14" s="944"/>
      <c r="T14" s="944"/>
      <c r="U14" s="1074">
        <f>SUM(Q14:T14)</f>
        <v>0</v>
      </c>
    </row>
    <row r="15" spans="1:21">
      <c r="A15" s="1395" t="s">
        <v>359</v>
      </c>
      <c r="B15" s="1396"/>
      <c r="C15" s="1436">
        <v>316</v>
      </c>
      <c r="D15" s="1437"/>
      <c r="E15" s="944">
        <v>5536.89</v>
      </c>
      <c r="F15" s="944"/>
      <c r="G15" s="944"/>
      <c r="H15" s="944"/>
      <c r="I15" s="944"/>
      <c r="J15" s="1074">
        <f t="shared" si="3"/>
        <v>5536.89</v>
      </c>
      <c r="K15" s="1078">
        <v>0.02</v>
      </c>
      <c r="L15" s="1075"/>
      <c r="M15" s="944">
        <f>E15*K15</f>
        <v>110.73780000000001</v>
      </c>
      <c r="N15" s="944"/>
      <c r="O15" s="944"/>
      <c r="P15" s="944"/>
      <c r="Q15" s="944">
        <f t="shared" si="6"/>
        <v>110.73780000000001</v>
      </c>
      <c r="R15" s="944">
        <v>1090</v>
      </c>
      <c r="S15" s="944"/>
      <c r="T15" s="944"/>
      <c r="U15" s="1074">
        <f>SUM(Q15:T15)</f>
        <v>1200.7378000000001</v>
      </c>
    </row>
    <row r="16" spans="1:21">
      <c r="A16" s="1395" t="s">
        <v>764</v>
      </c>
      <c r="B16" s="1396"/>
      <c r="C16" s="1436">
        <v>317</v>
      </c>
      <c r="D16" s="1437"/>
      <c r="E16" s="944"/>
      <c r="F16" s="944"/>
      <c r="G16" s="944"/>
      <c r="H16" s="944"/>
      <c r="I16" s="944"/>
      <c r="J16" s="1074">
        <f t="shared" si="3"/>
        <v>0</v>
      </c>
      <c r="K16" s="1073"/>
      <c r="L16" s="1075"/>
      <c r="M16" s="944"/>
      <c r="N16" s="944"/>
      <c r="O16" s="944"/>
      <c r="P16" s="944"/>
      <c r="Q16" s="944">
        <f t="shared" si="6"/>
        <v>0</v>
      </c>
      <c r="R16" s="944"/>
      <c r="S16" s="944"/>
      <c r="T16" s="944"/>
      <c r="U16" s="1074">
        <f>SUM(Q16:T16)</f>
        <v>0</v>
      </c>
    </row>
    <row r="17" spans="1:21">
      <c r="A17" s="1326" t="s">
        <v>360</v>
      </c>
      <c r="B17" s="1398"/>
      <c r="C17" s="1436"/>
      <c r="D17" s="1437"/>
      <c r="E17" s="944"/>
      <c r="F17" s="944"/>
      <c r="G17" s="944"/>
      <c r="H17" s="944"/>
      <c r="I17" s="944"/>
      <c r="J17" s="1074"/>
      <c r="K17" s="1073"/>
      <c r="L17" s="1075"/>
      <c r="M17" s="944"/>
      <c r="N17" s="944"/>
      <c r="O17" s="944"/>
      <c r="P17" s="944"/>
      <c r="Q17" s="944"/>
      <c r="R17" s="944"/>
      <c r="S17" s="944"/>
      <c r="T17" s="944"/>
      <c r="U17" s="1074"/>
    </row>
    <row r="18" spans="1:21">
      <c r="A18" s="1395" t="s">
        <v>353</v>
      </c>
      <c r="B18" s="1396"/>
      <c r="C18" s="1436">
        <v>320</v>
      </c>
      <c r="D18" s="1437"/>
      <c r="E18" s="944"/>
      <c r="F18" s="944"/>
      <c r="G18" s="944"/>
      <c r="H18" s="944"/>
      <c r="I18" s="944"/>
      <c r="J18" s="1074">
        <f t="shared" ref="J18:J26" si="7">SUM(E18:H18)-I18</f>
        <v>0</v>
      </c>
      <c r="K18" s="1073"/>
      <c r="L18" s="1075"/>
      <c r="M18" s="944"/>
      <c r="N18" s="944"/>
      <c r="O18" s="944"/>
      <c r="P18" s="944"/>
      <c r="Q18" s="944">
        <f t="shared" ref="Q18:Q26" si="8">SUM(M18:P18)</f>
        <v>0</v>
      </c>
      <c r="R18" s="944"/>
      <c r="S18" s="944"/>
      <c r="T18" s="944"/>
      <c r="U18" s="1074">
        <f>SUM(Q18:T18)</f>
        <v>0</v>
      </c>
    </row>
    <row r="19" spans="1:21">
      <c r="A19" s="1395" t="s">
        <v>354</v>
      </c>
      <c r="B19" s="1396"/>
      <c r="C19" s="1436">
        <v>321</v>
      </c>
      <c r="D19" s="1437"/>
      <c r="E19" s="944"/>
      <c r="F19" s="944">
        <v>43958</v>
      </c>
      <c r="G19" s="944">
        <v>60551</v>
      </c>
      <c r="H19" s="944"/>
      <c r="I19" s="944"/>
      <c r="J19" s="1074">
        <f t="shared" si="7"/>
        <v>104509</v>
      </c>
      <c r="K19" s="1078">
        <v>2.5000000000000001E-2</v>
      </c>
      <c r="L19" s="1075">
        <v>2.5000000000000001E-2</v>
      </c>
      <c r="M19" s="944"/>
      <c r="N19" s="944">
        <f>F19*L19/12*7</f>
        <v>641.05416666666667</v>
      </c>
      <c r="O19" s="944">
        <f>G19*K19/12*7</f>
        <v>883.03541666666672</v>
      </c>
      <c r="P19" s="944"/>
      <c r="Q19" s="944">
        <f t="shared" si="8"/>
        <v>1524.0895833333334</v>
      </c>
      <c r="R19" s="944"/>
      <c r="S19" s="944">
        <v>9162</v>
      </c>
      <c r="T19" s="944">
        <v>30153</v>
      </c>
      <c r="U19" s="1074">
        <f>SUM(Q19:T19)</f>
        <v>40839.089583333334</v>
      </c>
    </row>
    <row r="20" spans="1:21">
      <c r="A20" s="1395" t="s">
        <v>361</v>
      </c>
      <c r="B20" s="1396"/>
      <c r="C20" s="1436">
        <v>322</v>
      </c>
      <c r="D20" s="1437"/>
      <c r="E20" s="944"/>
      <c r="F20" s="944"/>
      <c r="G20" s="944"/>
      <c r="H20" s="944"/>
      <c r="I20" s="944"/>
      <c r="J20" s="1074">
        <f t="shared" si="7"/>
        <v>0</v>
      </c>
      <c r="K20" s="1073"/>
      <c r="L20" s="1075"/>
      <c r="M20" s="944"/>
      <c r="N20" s="944"/>
      <c r="O20" s="944"/>
      <c r="P20" s="944"/>
      <c r="Q20" s="944">
        <f t="shared" si="8"/>
        <v>0</v>
      </c>
      <c r="R20" s="944"/>
      <c r="S20" s="944"/>
      <c r="T20" s="944"/>
      <c r="U20" s="1074">
        <f t="shared" ref="U20:U21" si="9">SUM(Q20:T20)</f>
        <v>0</v>
      </c>
    </row>
    <row r="21" spans="1:21">
      <c r="A21" s="1399" t="s">
        <v>765</v>
      </c>
      <c r="B21" s="1400"/>
      <c r="C21" s="1436">
        <v>323</v>
      </c>
      <c r="D21" s="1437"/>
      <c r="E21" s="944"/>
      <c r="F21" s="944">
        <v>22847</v>
      </c>
      <c r="G21" s="944"/>
      <c r="H21" s="944"/>
      <c r="I21" s="944"/>
      <c r="J21" s="1074">
        <f t="shared" si="7"/>
        <v>22847</v>
      </c>
      <c r="K21" s="1073"/>
      <c r="L21" s="1075"/>
      <c r="M21" s="944"/>
      <c r="N21" s="944"/>
      <c r="O21" s="944"/>
      <c r="P21" s="944"/>
      <c r="Q21" s="944">
        <f t="shared" si="8"/>
        <v>0</v>
      </c>
      <c r="R21" s="944"/>
      <c r="S21" s="944"/>
      <c r="T21" s="944"/>
      <c r="U21" s="1074">
        <f t="shared" si="9"/>
        <v>0</v>
      </c>
    </row>
    <row r="22" spans="1:21">
      <c r="A22" s="1395" t="s">
        <v>362</v>
      </c>
      <c r="B22" s="1396"/>
      <c r="C22" s="1436">
        <v>325.10000000000002</v>
      </c>
      <c r="D22" s="1437"/>
      <c r="E22" s="944">
        <v>536014.51</v>
      </c>
      <c r="F22" s="944">
        <v>120558</v>
      </c>
      <c r="G22" s="944">
        <v>160861</v>
      </c>
      <c r="H22" s="944"/>
      <c r="I22" s="944"/>
      <c r="J22" s="1074">
        <f t="shared" si="7"/>
        <v>817433.51</v>
      </c>
      <c r="K22" s="1078">
        <v>0.1</v>
      </c>
      <c r="L22" s="1075">
        <v>0.05</v>
      </c>
      <c r="M22" s="944">
        <f>E22*K22</f>
        <v>53601.451000000001</v>
      </c>
      <c r="N22" s="944">
        <f>F22*L22/12*7</f>
        <v>3516.2750000000005</v>
      </c>
      <c r="O22" s="944">
        <f>G22*K22/12*7</f>
        <v>9383.5583333333343</v>
      </c>
      <c r="P22" s="944"/>
      <c r="Q22" s="944">
        <f t="shared" si="8"/>
        <v>66501.284333333344</v>
      </c>
      <c r="R22" s="944">
        <v>246376.14</v>
      </c>
      <c r="S22" s="944">
        <v>103265</v>
      </c>
      <c r="T22" s="944">
        <v>27301</v>
      </c>
      <c r="U22" s="1074">
        <f t="shared" ref="U22:U26" si="10">SUM(Q22:T22)</f>
        <v>443443.42433333339</v>
      </c>
    </row>
    <row r="23" spans="1:21">
      <c r="A23" s="1395" t="s">
        <v>363</v>
      </c>
      <c r="B23" s="1396"/>
      <c r="C23" s="1436">
        <v>325.2</v>
      </c>
      <c r="D23" s="1437"/>
      <c r="E23" s="944"/>
      <c r="F23" s="944"/>
      <c r="G23" s="944">
        <v>12329</v>
      </c>
      <c r="H23" s="944"/>
      <c r="I23" s="944"/>
      <c r="J23" s="1074">
        <f t="shared" si="7"/>
        <v>12329</v>
      </c>
      <c r="K23" s="1078">
        <v>6.7000000000000004E-2</v>
      </c>
      <c r="L23" s="1075"/>
      <c r="M23" s="944"/>
      <c r="N23" s="944"/>
      <c r="O23" s="944">
        <f>G23*K23/12*7</f>
        <v>481.8584166666667</v>
      </c>
      <c r="P23" s="944"/>
      <c r="Q23" s="944">
        <f t="shared" si="8"/>
        <v>481.8584166666667</v>
      </c>
      <c r="R23" s="944"/>
      <c r="S23" s="944"/>
      <c r="T23" s="944">
        <v>2776</v>
      </c>
      <c r="U23" s="1074">
        <f t="shared" si="10"/>
        <v>3257.8584166666669</v>
      </c>
    </row>
    <row r="24" spans="1:21">
      <c r="A24" s="1395" t="s">
        <v>364</v>
      </c>
      <c r="B24" s="1396"/>
      <c r="C24" s="1436">
        <v>326</v>
      </c>
      <c r="D24" s="1437"/>
      <c r="E24" s="944"/>
      <c r="F24" s="944"/>
      <c r="G24" s="944"/>
      <c r="H24" s="944"/>
      <c r="I24" s="944"/>
      <c r="J24" s="1074">
        <f t="shared" si="7"/>
        <v>0</v>
      </c>
      <c r="K24" s="1073"/>
      <c r="L24" s="1075"/>
      <c r="M24" s="944"/>
      <c r="N24" s="944"/>
      <c r="O24" s="944"/>
      <c r="P24" s="944"/>
      <c r="Q24" s="944">
        <f t="shared" si="8"/>
        <v>0</v>
      </c>
      <c r="R24" s="944"/>
      <c r="S24" s="944"/>
      <c r="T24" s="944"/>
      <c r="U24" s="1074">
        <f t="shared" si="10"/>
        <v>0</v>
      </c>
    </row>
    <row r="25" spans="1:21">
      <c r="A25" s="1395" t="s">
        <v>365</v>
      </c>
      <c r="B25" s="1396"/>
      <c r="C25" s="1436">
        <v>327</v>
      </c>
      <c r="D25" s="1437"/>
      <c r="E25" s="944"/>
      <c r="F25" s="944"/>
      <c r="G25" s="944"/>
      <c r="H25" s="944"/>
      <c r="I25" s="944"/>
      <c r="J25" s="1074">
        <f t="shared" si="7"/>
        <v>0</v>
      </c>
      <c r="K25" s="1073"/>
      <c r="L25" s="1075"/>
      <c r="M25" s="944"/>
      <c r="N25" s="944"/>
      <c r="O25" s="944"/>
      <c r="P25" s="944"/>
      <c r="Q25" s="944">
        <f t="shared" si="8"/>
        <v>0</v>
      </c>
      <c r="R25" s="944"/>
      <c r="S25" s="944"/>
      <c r="T25" s="944"/>
      <c r="U25" s="1074">
        <f t="shared" si="10"/>
        <v>0</v>
      </c>
    </row>
    <row r="26" spans="1:21">
      <c r="A26" s="1395" t="s">
        <v>766</v>
      </c>
      <c r="B26" s="1396"/>
      <c r="C26" s="1436">
        <v>328</v>
      </c>
      <c r="D26" s="1437"/>
      <c r="E26" s="944"/>
      <c r="F26" s="944"/>
      <c r="G26" s="944"/>
      <c r="H26" s="944"/>
      <c r="I26" s="944"/>
      <c r="J26" s="1074">
        <f t="shared" si="7"/>
        <v>0</v>
      </c>
      <c r="K26" s="1073"/>
      <c r="L26" s="1075">
        <v>0.04</v>
      </c>
      <c r="M26" s="944"/>
      <c r="N26" s="944"/>
      <c r="O26" s="944"/>
      <c r="P26" s="944"/>
      <c r="Q26" s="944">
        <f t="shared" si="8"/>
        <v>0</v>
      </c>
      <c r="R26" s="944"/>
      <c r="S26" s="944">
        <v>26982</v>
      </c>
      <c r="T26" s="944"/>
      <c r="U26" s="1074">
        <f t="shared" si="10"/>
        <v>26982</v>
      </c>
    </row>
    <row r="27" spans="1:21">
      <c r="A27" s="1326" t="s">
        <v>366</v>
      </c>
      <c r="B27" s="1398"/>
      <c r="C27" s="1436"/>
      <c r="D27" s="1437"/>
      <c r="E27" s="944"/>
      <c r="F27" s="944"/>
      <c r="G27" s="944"/>
      <c r="H27" s="944"/>
      <c r="I27" s="944"/>
      <c r="J27" s="1074"/>
      <c r="K27" s="1073"/>
      <c r="L27" s="1075"/>
      <c r="M27" s="944"/>
      <c r="N27" s="944"/>
      <c r="O27" s="944"/>
      <c r="P27" s="944"/>
      <c r="Q27" s="944"/>
      <c r="R27" s="944"/>
      <c r="S27" s="944"/>
      <c r="T27" s="944"/>
      <c r="U27" s="1074"/>
    </row>
    <row r="28" spans="1:21">
      <c r="A28" s="1395" t="s">
        <v>353</v>
      </c>
      <c r="B28" s="1396"/>
      <c r="C28" s="1436">
        <v>330</v>
      </c>
      <c r="D28" s="1437"/>
      <c r="E28" s="944"/>
      <c r="F28" s="944"/>
      <c r="G28" s="944"/>
      <c r="H28" s="944"/>
      <c r="I28" s="944"/>
      <c r="J28" s="1074">
        <f t="shared" ref="J28:J30" si="11">SUM(E28:H28)-I28</f>
        <v>0</v>
      </c>
      <c r="K28" s="1073"/>
      <c r="L28" s="1075"/>
      <c r="M28" s="944"/>
      <c r="N28" s="944"/>
      <c r="O28" s="944"/>
      <c r="P28" s="944"/>
      <c r="Q28" s="944">
        <f t="shared" ref="Q28:Q30" si="12">SUM(M28:P28)</f>
        <v>0</v>
      </c>
      <c r="R28" s="944"/>
      <c r="S28" s="944"/>
      <c r="T28" s="944"/>
      <c r="U28" s="1074">
        <f t="shared" ref="U28:U29" si="13">SUM(Q28:T28)</f>
        <v>0</v>
      </c>
    </row>
    <row r="29" spans="1:21">
      <c r="A29" s="1395" t="s">
        <v>354</v>
      </c>
      <c r="B29" s="1396"/>
      <c r="C29" s="1436">
        <v>331</v>
      </c>
      <c r="D29" s="1437"/>
      <c r="E29" s="944"/>
      <c r="F29" s="944"/>
      <c r="G29" s="944"/>
      <c r="H29" s="944"/>
      <c r="I29" s="944"/>
      <c r="J29" s="1074">
        <f t="shared" si="11"/>
        <v>0</v>
      </c>
      <c r="K29" s="1073"/>
      <c r="L29" s="1075"/>
      <c r="M29" s="944"/>
      <c r="N29" s="944"/>
      <c r="O29" s="944"/>
      <c r="P29" s="944"/>
      <c r="Q29" s="944">
        <f t="shared" si="12"/>
        <v>0</v>
      </c>
      <c r="R29" s="944"/>
      <c r="S29" s="944"/>
      <c r="T29" s="944"/>
      <c r="U29" s="1074">
        <f t="shared" si="13"/>
        <v>0</v>
      </c>
    </row>
    <row r="30" spans="1:21">
      <c r="A30" s="1395" t="s">
        <v>367</v>
      </c>
      <c r="B30" s="1396"/>
      <c r="C30" s="1436">
        <v>332</v>
      </c>
      <c r="D30" s="1437"/>
      <c r="E30" s="944">
        <v>843142.21</v>
      </c>
      <c r="F30" s="944">
        <v>1926</v>
      </c>
      <c r="G30" s="944">
        <v>15275</v>
      </c>
      <c r="H30" s="944"/>
      <c r="I30" s="944"/>
      <c r="J30" s="1074">
        <f t="shared" si="11"/>
        <v>860343.21</v>
      </c>
      <c r="K30" s="1078">
        <v>2.9000000000000001E-2</v>
      </c>
      <c r="L30" s="1075">
        <v>2.9000000000000001E-2</v>
      </c>
      <c r="M30" s="944">
        <f>E30*K30</f>
        <v>24451.124090000001</v>
      </c>
      <c r="N30" s="944">
        <f>F30*L30/12*7</f>
        <v>32.581500000000005</v>
      </c>
      <c r="O30" s="944">
        <f>G30*K30/12*7</f>
        <v>258.40208333333334</v>
      </c>
      <c r="P30" s="944"/>
      <c r="Q30" s="944">
        <f t="shared" si="12"/>
        <v>24742.107673333336</v>
      </c>
      <c r="R30" s="944">
        <v>336319.81</v>
      </c>
      <c r="S30" s="944">
        <v>1400</v>
      </c>
      <c r="T30" s="944">
        <v>13113</v>
      </c>
      <c r="U30" s="1074">
        <f>SUM(Q30:T30)</f>
        <v>375574.91767333332</v>
      </c>
    </row>
    <row r="31" spans="1:21">
      <c r="A31" s="1326" t="s">
        <v>368</v>
      </c>
      <c r="B31" s="1392"/>
      <c r="C31" s="1436"/>
      <c r="D31" s="1437"/>
      <c r="E31" s="944"/>
      <c r="F31" s="944"/>
      <c r="G31" s="944"/>
      <c r="H31" s="944"/>
      <c r="I31" s="944"/>
      <c r="J31" s="1074"/>
      <c r="K31" s="1073"/>
      <c r="L31" s="1075"/>
      <c r="M31" s="944"/>
      <c r="N31" s="944"/>
      <c r="O31" s="944"/>
      <c r="P31" s="944"/>
      <c r="Q31" s="944"/>
      <c r="R31" s="944"/>
      <c r="S31" s="944"/>
      <c r="T31" s="944"/>
      <c r="U31" s="1074"/>
    </row>
    <row r="32" spans="1:21">
      <c r="A32" s="1395" t="s">
        <v>353</v>
      </c>
      <c r="B32" s="1396"/>
      <c r="C32" s="1436">
        <v>340</v>
      </c>
      <c r="D32" s="1437"/>
      <c r="E32" s="944"/>
      <c r="F32" s="944"/>
      <c r="G32" s="944">
        <v>588</v>
      </c>
      <c r="H32" s="944"/>
      <c r="I32" s="944"/>
      <c r="J32" s="1074">
        <f t="shared" ref="J32:J41" si="14">SUM(E32:H32)-I32</f>
        <v>588</v>
      </c>
      <c r="K32" s="1076">
        <v>0</v>
      </c>
      <c r="L32" s="1075"/>
      <c r="M32" s="944"/>
      <c r="N32" s="944"/>
      <c r="O32" s="944"/>
      <c r="P32" s="944"/>
      <c r="Q32" s="944">
        <f t="shared" ref="Q32:Q33" si="15">SUM(M32:P32)</f>
        <v>0</v>
      </c>
      <c r="R32" s="944"/>
      <c r="S32" s="944"/>
      <c r="T32" s="944"/>
      <c r="U32" s="1074">
        <f t="shared" ref="U32:U33" si="16">SUM(Q32:T32)</f>
        <v>0</v>
      </c>
    </row>
    <row r="33" spans="1:21">
      <c r="A33" s="1395" t="s">
        <v>354</v>
      </c>
      <c r="B33" s="1396"/>
      <c r="C33" s="1436">
        <v>341</v>
      </c>
      <c r="D33" s="1437"/>
      <c r="E33" s="944"/>
      <c r="F33" s="944"/>
      <c r="G33" s="944"/>
      <c r="H33" s="944"/>
      <c r="I33" s="944"/>
      <c r="J33" s="1074">
        <f t="shared" si="14"/>
        <v>0</v>
      </c>
      <c r="K33" s="1078">
        <v>2.5000000000000001E-2</v>
      </c>
      <c r="L33" s="1075"/>
      <c r="M33" s="944"/>
      <c r="N33" s="944"/>
      <c r="O33" s="944"/>
      <c r="P33" s="944"/>
      <c r="Q33" s="944">
        <f t="shared" si="15"/>
        <v>0</v>
      </c>
      <c r="R33" s="944"/>
      <c r="S33" s="944"/>
      <c r="T33" s="944"/>
      <c r="U33" s="1074">
        <f t="shared" si="16"/>
        <v>0</v>
      </c>
    </row>
    <row r="34" spans="1:21">
      <c r="A34" s="1395" t="s">
        <v>369</v>
      </c>
      <c r="B34" s="1396"/>
      <c r="C34" s="1436">
        <v>342</v>
      </c>
      <c r="D34" s="1437"/>
      <c r="E34" s="944">
        <v>385472.22</v>
      </c>
      <c r="F34" s="944">
        <v>32618</v>
      </c>
      <c r="G34" s="944">
        <v>342421</v>
      </c>
      <c r="H34" s="944"/>
      <c r="I34" s="944"/>
      <c r="J34" s="1074">
        <f t="shared" si="14"/>
        <v>760511.22</v>
      </c>
      <c r="K34" s="1078">
        <v>2.5000000000000001E-2</v>
      </c>
      <c r="L34" s="1075">
        <v>2.5000000000000001E-2</v>
      </c>
      <c r="M34" s="944">
        <f>E34*K34</f>
        <v>9636.8055000000004</v>
      </c>
      <c r="N34" s="944">
        <f t="shared" ref="N34:N35" si="17">F34*L34/12*7</f>
        <v>475.67916666666667</v>
      </c>
      <c r="O34" s="944">
        <f t="shared" ref="O34:O35" si="18">G34*K34/12*7</f>
        <v>4993.6395833333336</v>
      </c>
      <c r="P34" s="944"/>
      <c r="Q34" s="944">
        <f t="shared" ref="Q34:Q35" si="19">SUM(M34:P34)</f>
        <v>15106.124250000001</v>
      </c>
      <c r="R34" s="944">
        <v>127574.12</v>
      </c>
      <c r="S34" s="944">
        <v>20674</v>
      </c>
      <c r="T34" s="944">
        <v>123857</v>
      </c>
      <c r="U34" s="1074">
        <f t="shared" ref="U34:U35" si="20">SUM(Q34:T34)</f>
        <v>287211.24424999999</v>
      </c>
    </row>
    <row r="35" spans="1:21">
      <c r="A35" s="1395" t="s">
        <v>370</v>
      </c>
      <c r="B35" s="1396"/>
      <c r="C35" s="1436">
        <v>343</v>
      </c>
      <c r="D35" s="1437"/>
      <c r="E35" s="944">
        <v>2319599.94</v>
      </c>
      <c r="F35" s="944">
        <v>167173</v>
      </c>
      <c r="G35" s="944">
        <v>470126</v>
      </c>
      <c r="H35" s="944"/>
      <c r="I35" s="944"/>
      <c r="J35" s="1074">
        <f t="shared" si="14"/>
        <v>2956898.94</v>
      </c>
      <c r="K35" s="1078">
        <v>0.02</v>
      </c>
      <c r="L35" s="1075">
        <v>0.02</v>
      </c>
      <c r="M35" s="944">
        <f>E35*K35</f>
        <v>46391.998800000001</v>
      </c>
      <c r="N35" s="944">
        <f t="shared" si="17"/>
        <v>1950.3516666666667</v>
      </c>
      <c r="O35" s="944">
        <f t="shared" si="18"/>
        <v>5484.8033333333342</v>
      </c>
      <c r="P35" s="944"/>
      <c r="Q35" s="944">
        <f t="shared" si="19"/>
        <v>53827.153800000007</v>
      </c>
      <c r="R35" s="944">
        <v>512938.58</v>
      </c>
      <c r="S35" s="944">
        <v>76017</v>
      </c>
      <c r="T35" s="944">
        <v>239323</v>
      </c>
      <c r="U35" s="1074">
        <f t="shared" si="20"/>
        <v>882105.73380000005</v>
      </c>
    </row>
    <row r="36" spans="1:21">
      <c r="A36" s="1395" t="s">
        <v>371</v>
      </c>
      <c r="B36" s="1396"/>
      <c r="C36" s="1436">
        <v>344</v>
      </c>
      <c r="D36" s="1437"/>
      <c r="E36" s="944"/>
      <c r="F36" s="944"/>
      <c r="G36" s="944"/>
      <c r="H36" s="944"/>
      <c r="I36" s="944"/>
      <c r="J36" s="1074">
        <f t="shared" si="14"/>
        <v>0</v>
      </c>
      <c r="K36" s="1073"/>
      <c r="L36" s="1075"/>
      <c r="M36" s="944"/>
      <c r="N36" s="944"/>
      <c r="O36" s="944"/>
      <c r="P36" s="944"/>
      <c r="Q36" s="944">
        <f>SUM(M36:P36)</f>
        <v>0</v>
      </c>
      <c r="R36" s="944"/>
      <c r="S36" s="944"/>
      <c r="T36" s="944"/>
      <c r="U36" s="1074">
        <f>SUM(Q36:T36)</f>
        <v>0</v>
      </c>
    </row>
    <row r="37" spans="1:21">
      <c r="A37" s="1395" t="s">
        <v>372</v>
      </c>
      <c r="B37" s="1396"/>
      <c r="C37" s="1436">
        <v>345</v>
      </c>
      <c r="D37" s="1437"/>
      <c r="E37" s="944">
        <v>120873</v>
      </c>
      <c r="F37" s="944">
        <v>10024</v>
      </c>
      <c r="G37" s="944"/>
      <c r="H37" s="944"/>
      <c r="I37" s="944"/>
      <c r="J37" s="1074">
        <f t="shared" si="14"/>
        <v>130897</v>
      </c>
      <c r="K37" s="1078">
        <v>2.5000000000000001E-2</v>
      </c>
      <c r="L37" s="1075">
        <v>2.5000000000000001E-2</v>
      </c>
      <c r="M37" s="944">
        <f t="shared" ref="M37:M38" si="21">E37*K37</f>
        <v>3021.8250000000003</v>
      </c>
      <c r="N37" s="944">
        <f t="shared" ref="N37:N39" si="22">F37*L37/12*7</f>
        <v>146.18333333333337</v>
      </c>
      <c r="O37" s="944"/>
      <c r="P37" s="944"/>
      <c r="Q37" s="944">
        <f t="shared" ref="Q37:Q40" si="23">SUM(M37:P37)</f>
        <v>3168.0083333333337</v>
      </c>
      <c r="R37" s="944">
        <v>21748.05</v>
      </c>
      <c r="S37" s="944">
        <v>297</v>
      </c>
      <c r="T37" s="944"/>
      <c r="U37" s="1074">
        <f t="shared" ref="U37:U40" si="24">SUM(Q37:T37)</f>
        <v>25213.058333333334</v>
      </c>
    </row>
    <row r="38" spans="1:21">
      <c r="A38" s="1395" t="s">
        <v>373</v>
      </c>
      <c r="B38" s="1396"/>
      <c r="C38" s="1436">
        <v>346</v>
      </c>
      <c r="D38" s="1437"/>
      <c r="E38" s="944">
        <v>215011.15</v>
      </c>
      <c r="F38" s="944">
        <v>113420</v>
      </c>
      <c r="G38" s="944">
        <v>36197</v>
      </c>
      <c r="H38" s="944"/>
      <c r="I38" s="944"/>
      <c r="J38" s="1074">
        <f t="shared" si="14"/>
        <v>364628.15</v>
      </c>
      <c r="K38" s="1078">
        <v>3.3000000000000002E-2</v>
      </c>
      <c r="L38" s="1075">
        <v>0.1</v>
      </c>
      <c r="M38" s="944">
        <f t="shared" si="21"/>
        <v>7095.3679499999998</v>
      </c>
      <c r="N38" s="944">
        <f t="shared" si="22"/>
        <v>6616.1666666666661</v>
      </c>
      <c r="O38" s="944">
        <f>G38*K38/12*7</f>
        <v>696.79224999999997</v>
      </c>
      <c r="P38" s="944"/>
      <c r="Q38" s="944">
        <f t="shared" si="23"/>
        <v>14408.326866666666</v>
      </c>
      <c r="R38" s="944">
        <v>61211.13</v>
      </c>
      <c r="S38" s="944">
        <v>97183</v>
      </c>
      <c r="T38" s="944">
        <v>35981</v>
      </c>
      <c r="U38" s="1074">
        <f t="shared" si="24"/>
        <v>208783.45686666667</v>
      </c>
    </row>
    <row r="39" spans="1:21">
      <c r="A39" s="1395" t="s">
        <v>374</v>
      </c>
      <c r="B39" s="1396"/>
      <c r="C39" s="1436">
        <v>347</v>
      </c>
      <c r="D39" s="1437"/>
      <c r="E39" s="944"/>
      <c r="F39" s="944">
        <v>31674</v>
      </c>
      <c r="G39" s="944">
        <v>65139</v>
      </c>
      <c r="H39" s="944"/>
      <c r="I39" s="944"/>
      <c r="J39" s="1074">
        <f t="shared" si="14"/>
        <v>96813</v>
      </c>
      <c r="K39" s="1076">
        <v>2.5000000000000001E-2</v>
      </c>
      <c r="L39" s="1075">
        <v>2.5000000000000001E-2</v>
      </c>
      <c r="M39" s="944"/>
      <c r="N39" s="944">
        <f t="shared" si="22"/>
        <v>461.91249999999997</v>
      </c>
      <c r="O39" s="944">
        <f>G39*K39/12*7</f>
        <v>949.94375000000014</v>
      </c>
      <c r="P39" s="944"/>
      <c r="Q39" s="944">
        <f t="shared" si="23"/>
        <v>1411.85625</v>
      </c>
      <c r="R39" s="944"/>
      <c r="S39" s="944">
        <v>16572</v>
      </c>
      <c r="T39" s="944">
        <v>34646</v>
      </c>
      <c r="U39" s="1074">
        <f t="shared" si="24"/>
        <v>52629.856249999997</v>
      </c>
    </row>
    <row r="40" spans="1:21">
      <c r="A40" s="1395" t="s">
        <v>375</v>
      </c>
      <c r="B40" s="1396"/>
      <c r="C40" s="1436">
        <v>348</v>
      </c>
      <c r="D40" s="1437"/>
      <c r="E40" s="944">
        <v>67975.41</v>
      </c>
      <c r="F40" s="944">
        <v>16900</v>
      </c>
      <c r="G40" s="944">
        <v>22794</v>
      </c>
      <c r="H40" s="944"/>
      <c r="I40" s="944"/>
      <c r="J40" s="1074">
        <f t="shared" si="14"/>
        <v>107669.41</v>
      </c>
      <c r="K40" s="1078">
        <v>0.02</v>
      </c>
      <c r="L40" s="1075">
        <v>0.02</v>
      </c>
      <c r="M40" s="944">
        <f>E40*K40</f>
        <v>1359.5082</v>
      </c>
      <c r="N40" s="944">
        <f>F40*L40/12*7</f>
        <v>197.16666666666669</v>
      </c>
      <c r="O40" s="944">
        <f>G40*K40/12*7</f>
        <v>265.93</v>
      </c>
      <c r="P40" s="944"/>
      <c r="Q40" s="944">
        <f t="shared" si="23"/>
        <v>1822.6048666666668</v>
      </c>
      <c r="R40" s="944">
        <v>5399.95</v>
      </c>
      <c r="S40" s="944">
        <v>2347</v>
      </c>
      <c r="T40" s="944">
        <v>12104</v>
      </c>
      <c r="U40" s="1074">
        <f t="shared" si="24"/>
        <v>21673.554866666665</v>
      </c>
    </row>
    <row r="41" spans="1:21">
      <c r="A41" s="1395" t="s">
        <v>376</v>
      </c>
      <c r="B41" s="1396"/>
      <c r="C41" s="1436">
        <v>349</v>
      </c>
      <c r="D41" s="1437"/>
      <c r="E41" s="944"/>
      <c r="F41" s="944"/>
      <c r="G41" s="944"/>
      <c r="H41" s="944"/>
      <c r="I41" s="944"/>
      <c r="J41" s="1074">
        <f t="shared" si="14"/>
        <v>0</v>
      </c>
      <c r="K41" s="1073"/>
      <c r="L41" s="1075"/>
      <c r="M41" s="944"/>
      <c r="N41" s="944"/>
      <c r="O41" s="944"/>
      <c r="P41" s="944"/>
      <c r="Q41" s="944">
        <f>SUM(M41:P41)</f>
        <v>0</v>
      </c>
      <c r="R41" s="944"/>
      <c r="S41" s="944"/>
      <c r="T41" s="944"/>
      <c r="U41" s="1074">
        <f>SUM(Q41:T41)</f>
        <v>0</v>
      </c>
    </row>
    <row r="42" spans="1:21">
      <c r="A42" s="1326" t="s">
        <v>377</v>
      </c>
      <c r="B42" s="1392"/>
      <c r="C42" s="1436"/>
      <c r="D42" s="1437"/>
      <c r="E42" s="944"/>
      <c r="F42" s="944"/>
      <c r="G42" s="944"/>
      <c r="H42" s="944"/>
      <c r="I42" s="944"/>
      <c r="J42" s="1074"/>
      <c r="K42" s="1073"/>
      <c r="L42" s="1075"/>
      <c r="M42" s="944"/>
      <c r="N42" s="944"/>
      <c r="O42" s="944"/>
      <c r="P42" s="944"/>
      <c r="Q42" s="944"/>
      <c r="R42" s="944"/>
      <c r="S42" s="944"/>
      <c r="T42" s="944"/>
      <c r="U42" s="1074"/>
    </row>
    <row r="43" spans="1:21">
      <c r="A43" s="1394" t="s">
        <v>378</v>
      </c>
      <c r="B43" s="1198"/>
      <c r="C43" s="1079" t="s">
        <v>379</v>
      </c>
      <c r="D43" s="1080" t="s">
        <v>380</v>
      </c>
      <c r="E43" s="944"/>
      <c r="F43" s="944"/>
      <c r="G43" s="944"/>
      <c r="H43" s="944"/>
      <c r="I43" s="944"/>
      <c r="J43" s="1074">
        <f t="shared" ref="J43:J56" si="25">SUM(E43:H43)-I43</f>
        <v>0</v>
      </c>
      <c r="K43" s="1073"/>
      <c r="L43" s="1075"/>
      <c r="M43" s="944"/>
      <c r="N43" s="944"/>
      <c r="O43" s="944"/>
      <c r="P43" s="944"/>
      <c r="Q43" s="944"/>
      <c r="R43" s="944"/>
      <c r="S43" s="944"/>
      <c r="T43" s="944"/>
      <c r="U43" s="1074">
        <f t="shared" ref="U43:U45" si="26">SUM(Q43:T43)</f>
        <v>0</v>
      </c>
    </row>
    <row r="44" spans="1:21">
      <c r="A44" s="1395" t="s">
        <v>381</v>
      </c>
      <c r="B44" s="1396"/>
      <c r="C44" s="1081">
        <v>389</v>
      </c>
      <c r="D44" s="1082">
        <v>370</v>
      </c>
      <c r="E44" s="944"/>
      <c r="F44" s="944"/>
      <c r="G44" s="944"/>
      <c r="H44" s="944"/>
      <c r="I44" s="944"/>
      <c r="J44" s="1074">
        <f t="shared" si="25"/>
        <v>0</v>
      </c>
      <c r="K44" s="1073"/>
      <c r="L44" s="1075"/>
      <c r="M44" s="944"/>
      <c r="N44" s="944"/>
      <c r="O44" s="944"/>
      <c r="P44" s="944"/>
      <c r="Q44" s="944">
        <f t="shared" ref="Q44:Q45" si="27">SUM(M44:P44)</f>
        <v>0</v>
      </c>
      <c r="R44" s="944"/>
      <c r="S44" s="944"/>
      <c r="T44" s="944"/>
      <c r="U44" s="1074">
        <f t="shared" si="26"/>
        <v>0</v>
      </c>
    </row>
    <row r="45" spans="1:21">
      <c r="A45" s="1066" t="s">
        <v>382</v>
      </c>
      <c r="B45" s="1067"/>
      <c r="C45" s="1081">
        <v>390</v>
      </c>
      <c r="D45" s="1083">
        <v>371</v>
      </c>
      <c r="E45" s="944"/>
      <c r="F45" s="944"/>
      <c r="G45" s="944"/>
      <c r="H45" s="944"/>
      <c r="I45" s="944"/>
      <c r="J45" s="1074">
        <f t="shared" si="25"/>
        <v>0</v>
      </c>
      <c r="K45" s="1078">
        <v>2.5000000000000001E-2</v>
      </c>
      <c r="L45" s="1075"/>
      <c r="M45" s="944"/>
      <c r="N45" s="944"/>
      <c r="O45" s="944"/>
      <c r="P45" s="944"/>
      <c r="Q45" s="944">
        <f t="shared" si="27"/>
        <v>0</v>
      </c>
      <c r="R45" s="944"/>
      <c r="S45" s="944"/>
      <c r="T45" s="944"/>
      <c r="U45" s="1074">
        <f t="shared" si="26"/>
        <v>0</v>
      </c>
    </row>
    <row r="46" spans="1:21">
      <c r="A46" s="1066" t="s">
        <v>383</v>
      </c>
      <c r="B46" s="1067"/>
      <c r="C46" s="1081">
        <v>391</v>
      </c>
      <c r="D46" s="1083">
        <v>372</v>
      </c>
      <c r="E46" s="944">
        <v>66096.39</v>
      </c>
      <c r="F46" s="944"/>
      <c r="G46" s="944">
        <v>12649</v>
      </c>
      <c r="H46" s="944"/>
      <c r="I46" s="944"/>
      <c r="J46" s="1074">
        <f t="shared" si="25"/>
        <v>78745.39</v>
      </c>
      <c r="K46" s="1078">
        <v>0.05</v>
      </c>
      <c r="L46" s="1075"/>
      <c r="M46" s="944">
        <f>E46*K46</f>
        <v>3304.8195000000001</v>
      </c>
      <c r="N46" s="944"/>
      <c r="O46" s="944">
        <f>G46*K46/12*7</f>
        <v>368.92916666666673</v>
      </c>
      <c r="P46" s="944"/>
      <c r="Q46" s="944">
        <f>SUM(M46:P46)</f>
        <v>3673.7486666666668</v>
      </c>
      <c r="R46" s="944">
        <v>19990.79</v>
      </c>
      <c r="S46" s="944">
        <v>4242</v>
      </c>
      <c r="T46" s="944">
        <v>4577</v>
      </c>
      <c r="U46" s="1074">
        <f>SUM(Q46:T46)</f>
        <v>32483.538666666667</v>
      </c>
    </row>
    <row r="47" spans="1:21">
      <c r="A47" s="1066" t="s">
        <v>384</v>
      </c>
      <c r="B47" s="1067"/>
      <c r="C47" s="1081">
        <v>391.1</v>
      </c>
      <c r="D47" s="1083">
        <v>372.1</v>
      </c>
      <c r="E47" s="944"/>
      <c r="F47" s="944">
        <v>3607</v>
      </c>
      <c r="G47" s="944"/>
      <c r="H47" s="944"/>
      <c r="I47" s="944"/>
      <c r="J47" s="1074">
        <f t="shared" si="25"/>
        <v>3607</v>
      </c>
      <c r="K47" s="1078">
        <v>0.14299999999999999</v>
      </c>
      <c r="L47" s="1075">
        <v>0.01</v>
      </c>
      <c r="M47" s="944"/>
      <c r="N47" s="944">
        <f t="shared" ref="N47:N48" si="28">F47*L47/12*7</f>
        <v>21.040833333333332</v>
      </c>
      <c r="O47" s="944"/>
      <c r="P47" s="944"/>
      <c r="Q47" s="944">
        <f>SUM(M47:P47)</f>
        <v>21.040833333333332</v>
      </c>
      <c r="R47" s="944"/>
      <c r="S47" s="944">
        <v>105</v>
      </c>
      <c r="T47" s="944"/>
      <c r="U47" s="1074">
        <f>SUM(Q47:T47)</f>
        <v>126.04083333333332</v>
      </c>
    </row>
    <row r="48" spans="1:21">
      <c r="A48" s="1066" t="s">
        <v>385</v>
      </c>
      <c r="B48" s="1067"/>
      <c r="C48" s="1081">
        <v>392</v>
      </c>
      <c r="D48" s="1083">
        <v>373</v>
      </c>
      <c r="E48" s="944"/>
      <c r="F48" s="944">
        <v>8568</v>
      </c>
      <c r="G48" s="944">
        <v>18149</v>
      </c>
      <c r="H48" s="944"/>
      <c r="I48" s="944"/>
      <c r="J48" s="1074">
        <f t="shared" si="25"/>
        <v>26717</v>
      </c>
      <c r="K48" s="1076">
        <v>0.125</v>
      </c>
      <c r="L48" s="1075">
        <v>7.0000000000000007E-2</v>
      </c>
      <c r="M48" s="944"/>
      <c r="N48" s="944">
        <f t="shared" si="28"/>
        <v>349.86000000000007</v>
      </c>
      <c r="O48" s="944">
        <f>G48*K48/12*7</f>
        <v>1323.3645833333335</v>
      </c>
      <c r="P48" s="944"/>
      <c r="Q48" s="944">
        <f>SUM(M48:P48)</f>
        <v>1673.2245833333336</v>
      </c>
      <c r="R48" s="944"/>
      <c r="S48" s="944">
        <v>8332</v>
      </c>
      <c r="T48" s="944">
        <v>15032</v>
      </c>
      <c r="U48" s="1074">
        <f>SUM(Q48:T48)</f>
        <v>25037.224583333333</v>
      </c>
    </row>
    <row r="49" spans="1:21">
      <c r="A49" s="1395" t="s">
        <v>386</v>
      </c>
      <c r="B49" s="1396"/>
      <c r="C49" s="1081" t="s">
        <v>387</v>
      </c>
      <c r="D49" s="1083">
        <v>379</v>
      </c>
      <c r="E49" s="944"/>
      <c r="F49" s="944">
        <v>5296</v>
      </c>
      <c r="G49" s="944"/>
      <c r="H49" s="944"/>
      <c r="I49" s="944"/>
      <c r="J49" s="1074">
        <f t="shared" si="25"/>
        <v>5296</v>
      </c>
      <c r="K49" s="1073"/>
      <c r="L49" s="1075"/>
      <c r="M49" s="944"/>
      <c r="N49" s="944"/>
      <c r="O49" s="944"/>
      <c r="P49" s="944"/>
      <c r="Q49" s="944">
        <f t="shared" ref="Q49:Q50" si="29">SUM(M49:P49)</f>
        <v>0</v>
      </c>
      <c r="R49" s="944"/>
      <c r="S49" s="944"/>
      <c r="T49" s="944"/>
      <c r="U49" s="1074">
        <f t="shared" ref="U49:U50" si="30">SUM(Q49:T49)</f>
        <v>0</v>
      </c>
    </row>
    <row r="50" spans="1:21">
      <c r="A50" s="1066" t="s">
        <v>388</v>
      </c>
      <c r="B50" s="1067"/>
      <c r="C50" s="1081">
        <v>393</v>
      </c>
      <c r="D50" s="1083" t="s">
        <v>387</v>
      </c>
      <c r="E50" s="944"/>
      <c r="F50" s="944"/>
      <c r="G50" s="944"/>
      <c r="H50" s="944"/>
      <c r="I50" s="944"/>
      <c r="J50" s="1074">
        <f t="shared" si="25"/>
        <v>0</v>
      </c>
      <c r="K50" s="1073"/>
      <c r="L50" s="1075"/>
      <c r="M50" s="944"/>
      <c r="N50" s="944"/>
      <c r="O50" s="944"/>
      <c r="P50" s="944"/>
      <c r="Q50" s="944">
        <f t="shared" si="29"/>
        <v>0</v>
      </c>
      <c r="R50" s="944"/>
      <c r="S50" s="944"/>
      <c r="T50" s="944"/>
      <c r="U50" s="1074">
        <f t="shared" si="30"/>
        <v>0</v>
      </c>
    </row>
    <row r="51" spans="1:21">
      <c r="A51" s="1066" t="s">
        <v>389</v>
      </c>
      <c r="B51" s="1067"/>
      <c r="C51" s="1081">
        <v>394</v>
      </c>
      <c r="D51" s="1083" t="s">
        <v>387</v>
      </c>
      <c r="E51" s="944">
        <v>15338.28</v>
      </c>
      <c r="F51" s="944"/>
      <c r="G51" s="944">
        <v>2958</v>
      </c>
      <c r="H51" s="944"/>
      <c r="I51" s="944"/>
      <c r="J51" s="1074">
        <f t="shared" si="25"/>
        <v>18296.28</v>
      </c>
      <c r="K51" s="1076">
        <v>0.05</v>
      </c>
      <c r="L51" s="1075">
        <v>0.05</v>
      </c>
      <c r="M51" s="944">
        <f>E51*K51</f>
        <v>766.9140000000001</v>
      </c>
      <c r="N51" s="944"/>
      <c r="O51" s="944">
        <f>G51*K51/12*7</f>
        <v>86.275000000000006</v>
      </c>
      <c r="P51" s="944"/>
      <c r="Q51" s="944">
        <f>SUM(M51:P51)</f>
        <v>853.18900000000008</v>
      </c>
      <c r="R51" s="944">
        <v>2133.3200000000002</v>
      </c>
      <c r="S51" s="944">
        <v>3052</v>
      </c>
      <c r="T51" s="944">
        <v>1150</v>
      </c>
      <c r="U51" s="1074">
        <f>SUM(Q51:T51)</f>
        <v>7188.509</v>
      </c>
    </row>
    <row r="52" spans="1:21">
      <c r="A52" s="1066" t="s">
        <v>390</v>
      </c>
      <c r="B52" s="1067"/>
      <c r="C52" s="1081">
        <v>395</v>
      </c>
      <c r="D52" s="1083" t="s">
        <v>387</v>
      </c>
      <c r="E52" s="944"/>
      <c r="F52" s="944"/>
      <c r="G52" s="944"/>
      <c r="H52" s="944"/>
      <c r="I52" s="944"/>
      <c r="J52" s="1074">
        <f t="shared" si="25"/>
        <v>0</v>
      </c>
      <c r="K52" s="1073"/>
      <c r="L52" s="1075"/>
      <c r="M52" s="944"/>
      <c r="N52" s="944"/>
      <c r="O52" s="944"/>
      <c r="P52" s="944"/>
      <c r="Q52" s="944">
        <f t="shared" ref="Q52:Q53" si="31">SUM(M52:P52)</f>
        <v>0</v>
      </c>
      <c r="R52" s="944"/>
      <c r="S52" s="944"/>
      <c r="T52" s="944"/>
      <c r="U52" s="1074">
        <f>SUM(Q52:T52)</f>
        <v>0</v>
      </c>
    </row>
    <row r="53" spans="1:21">
      <c r="A53" s="1066" t="s">
        <v>391</v>
      </c>
      <c r="B53" s="1067"/>
      <c r="C53" s="1081">
        <v>396</v>
      </c>
      <c r="D53" s="1083" t="s">
        <v>387</v>
      </c>
      <c r="E53" s="944"/>
      <c r="F53" s="944"/>
      <c r="G53" s="944">
        <v>24468</v>
      </c>
      <c r="H53" s="944"/>
      <c r="I53" s="944"/>
      <c r="J53" s="1074">
        <f t="shared" si="25"/>
        <v>24468</v>
      </c>
      <c r="K53" s="1076">
        <v>0</v>
      </c>
      <c r="L53" s="1075"/>
      <c r="M53" s="944"/>
      <c r="N53" s="944"/>
      <c r="O53" s="944"/>
      <c r="P53" s="944"/>
      <c r="Q53" s="944">
        <f t="shared" si="31"/>
        <v>0</v>
      </c>
      <c r="R53" s="944"/>
      <c r="S53" s="944"/>
      <c r="T53" s="944">
        <v>23559</v>
      </c>
      <c r="U53" s="1074">
        <f>SUM(Q53:T53)</f>
        <v>23559</v>
      </c>
    </row>
    <row r="54" spans="1:21">
      <c r="A54" s="1066" t="s">
        <v>392</v>
      </c>
      <c r="B54" s="1067"/>
      <c r="C54" s="1081">
        <v>397</v>
      </c>
      <c r="D54" s="1083" t="s">
        <v>387</v>
      </c>
      <c r="E54" s="944">
        <v>5706.86</v>
      </c>
      <c r="F54" s="944">
        <v>85</v>
      </c>
      <c r="G54" s="944"/>
      <c r="H54" s="944"/>
      <c r="I54" s="944"/>
      <c r="J54" s="1074">
        <f t="shared" si="25"/>
        <v>5791.86</v>
      </c>
      <c r="K54" s="1078">
        <v>6.7000000000000004E-2</v>
      </c>
      <c r="L54" s="1075">
        <v>6.7000000000000004E-2</v>
      </c>
      <c r="M54" s="944">
        <f>E54*K54</f>
        <v>382.35962000000001</v>
      </c>
      <c r="N54" s="944">
        <f>F54*L54/12*7</f>
        <v>3.3220833333333335</v>
      </c>
      <c r="O54" s="944"/>
      <c r="P54" s="944"/>
      <c r="Q54" s="944">
        <f>SUM(M54:P54)</f>
        <v>385.68170333333336</v>
      </c>
      <c r="R54" s="944">
        <v>3580.65</v>
      </c>
      <c r="S54" s="944">
        <v>56</v>
      </c>
      <c r="T54" s="944"/>
      <c r="U54" s="1074">
        <f t="shared" ref="U54:U56" si="32">SUM(Q54:T54)</f>
        <v>4022.3317033333333</v>
      </c>
    </row>
    <row r="55" spans="1:21">
      <c r="A55" s="1066" t="s">
        <v>393</v>
      </c>
      <c r="B55" s="1067"/>
      <c r="C55" s="1081">
        <v>398</v>
      </c>
      <c r="D55" s="1083" t="s">
        <v>387</v>
      </c>
      <c r="E55" s="944">
        <v>1159.74</v>
      </c>
      <c r="F55" s="944"/>
      <c r="G55" s="944"/>
      <c r="H55" s="944"/>
      <c r="I55" s="944"/>
      <c r="J55" s="1074">
        <f t="shared" si="25"/>
        <v>1159.74</v>
      </c>
      <c r="K55" s="1073"/>
      <c r="L55" s="1075"/>
      <c r="M55" s="944"/>
      <c r="N55" s="944"/>
      <c r="O55" s="944"/>
      <c r="P55" s="944"/>
      <c r="Q55" s="944">
        <f t="shared" ref="Q55:Q56" si="33">SUM(M55:P55)</f>
        <v>0</v>
      </c>
      <c r="R55" s="944">
        <v>339.83</v>
      </c>
      <c r="S55" s="944"/>
      <c r="T55" s="944"/>
      <c r="U55" s="1074">
        <f t="shared" si="32"/>
        <v>339.83</v>
      </c>
    </row>
    <row r="56" spans="1:21">
      <c r="A56" s="1066" t="s">
        <v>767</v>
      </c>
      <c r="B56" s="1065"/>
      <c r="C56" s="1081">
        <v>399</v>
      </c>
      <c r="D56" s="1083" t="s">
        <v>387</v>
      </c>
      <c r="E56" s="944"/>
      <c r="F56" s="944"/>
      <c r="G56" s="944"/>
      <c r="H56" s="944"/>
      <c r="I56" s="944"/>
      <c r="J56" s="1074">
        <f t="shared" si="25"/>
        <v>0</v>
      </c>
      <c r="K56" s="1073"/>
      <c r="L56" s="1075"/>
      <c r="M56" s="944"/>
      <c r="N56" s="944"/>
      <c r="O56" s="944"/>
      <c r="P56" s="944"/>
      <c r="Q56" s="944">
        <f t="shared" si="33"/>
        <v>0</v>
      </c>
      <c r="R56" s="944"/>
      <c r="S56" s="944"/>
      <c r="T56" s="944"/>
      <c r="U56" s="1074">
        <f t="shared" si="32"/>
        <v>0</v>
      </c>
    </row>
    <row r="57" spans="1:21">
      <c r="A57" s="1066" t="s">
        <v>394</v>
      </c>
      <c r="B57" s="1065"/>
      <c r="C57" s="1081"/>
      <c r="D57" s="1083"/>
      <c r="E57" s="1084">
        <f>SUM(E5:E56)</f>
        <v>5057157.3000000017</v>
      </c>
      <c r="F57" s="1084">
        <f t="shared" ref="F57:U57" si="34">SUM(F5:F56)</f>
        <v>644336</v>
      </c>
      <c r="G57" s="1084">
        <f t="shared" si="34"/>
        <v>1371894</v>
      </c>
      <c r="H57" s="1084">
        <f t="shared" si="34"/>
        <v>0</v>
      </c>
      <c r="I57" s="1084">
        <f t="shared" si="34"/>
        <v>0</v>
      </c>
      <c r="J57" s="1072">
        <f t="shared" si="34"/>
        <v>7073387.3000000017</v>
      </c>
      <c r="K57" s="1084"/>
      <c r="L57" s="1084"/>
      <c r="M57" s="1084">
        <f t="shared" si="34"/>
        <v>161859.47291000001</v>
      </c>
      <c r="N57" s="1084">
        <f t="shared" si="34"/>
        <v>14563.015249999999</v>
      </c>
      <c r="O57" s="1084">
        <f t="shared" si="34"/>
        <v>26584.17358333333</v>
      </c>
      <c r="P57" s="1084">
        <f t="shared" si="34"/>
        <v>0</v>
      </c>
      <c r="Q57" s="1084">
        <f t="shared" si="34"/>
        <v>203006.66174333339</v>
      </c>
      <c r="R57" s="1084">
        <f t="shared" si="34"/>
        <v>1710871.9800000002</v>
      </c>
      <c r="S57" s="1084">
        <f t="shared" si="34"/>
        <v>431077</v>
      </c>
      <c r="T57" s="1084">
        <f t="shared" si="34"/>
        <v>609378</v>
      </c>
      <c r="U57" s="1072">
        <f t="shared" si="34"/>
        <v>2954333.6417433331</v>
      </c>
    </row>
    <row r="58" spans="1:21" ht="15.75" thickBot="1">
      <c r="A58" s="1391"/>
      <c r="B58" s="1224"/>
      <c r="C58" s="1085"/>
      <c r="D58" s="1086"/>
      <c r="E58" s="1087"/>
      <c r="F58" s="1088"/>
      <c r="G58" s="1088"/>
      <c r="H58" s="1088"/>
      <c r="I58" s="1088"/>
      <c r="J58" s="1089"/>
      <c r="K58" s="1087"/>
      <c r="L58" s="1088"/>
      <c r="M58" s="1088"/>
      <c r="N58" s="1088"/>
      <c r="O58" s="1088"/>
      <c r="P58" s="1088"/>
      <c r="Q58" s="1088"/>
      <c r="R58" s="1088"/>
      <c r="S58" s="1088"/>
      <c r="T58" s="1088"/>
      <c r="U58" s="1089"/>
    </row>
    <row r="59" spans="1:21">
      <c r="F59" s="1438" t="s">
        <v>1214</v>
      </c>
      <c r="G59" s="1438"/>
      <c r="Q59" s="944"/>
    </row>
  </sheetData>
  <mergeCells count="87">
    <mergeCell ref="A49:B49"/>
    <mergeCell ref="A58:B58"/>
    <mergeCell ref="F59:G59"/>
    <mergeCell ref="A41:B41"/>
    <mergeCell ref="C41:D41"/>
    <mergeCell ref="A42:B42"/>
    <mergeCell ref="C42:D42"/>
    <mergeCell ref="A43:B43"/>
    <mergeCell ref="A44:B44"/>
    <mergeCell ref="A38:B38"/>
    <mergeCell ref="C38:D38"/>
    <mergeCell ref="A39:B39"/>
    <mergeCell ref="C39:D39"/>
    <mergeCell ref="A40:B40"/>
    <mergeCell ref="C40:D40"/>
    <mergeCell ref="A35:B35"/>
    <mergeCell ref="C35:D35"/>
    <mergeCell ref="A36:B36"/>
    <mergeCell ref="C36:D36"/>
    <mergeCell ref="A37:B37"/>
    <mergeCell ref="C37:D37"/>
    <mergeCell ref="A32:B32"/>
    <mergeCell ref="C32:D32"/>
    <mergeCell ref="A33:B33"/>
    <mergeCell ref="C33:D33"/>
    <mergeCell ref="A34:B34"/>
    <mergeCell ref="C34:D34"/>
    <mergeCell ref="A29:B29"/>
    <mergeCell ref="C29:D29"/>
    <mergeCell ref="A30:B30"/>
    <mergeCell ref="C30:D30"/>
    <mergeCell ref="A31:B31"/>
    <mergeCell ref="C31:D31"/>
    <mergeCell ref="A26:B26"/>
    <mergeCell ref="C26:D26"/>
    <mergeCell ref="A27:B27"/>
    <mergeCell ref="C27:D27"/>
    <mergeCell ref="A28:B28"/>
    <mergeCell ref="C28:D28"/>
    <mergeCell ref="A23:B23"/>
    <mergeCell ref="C23:D23"/>
    <mergeCell ref="A24:B24"/>
    <mergeCell ref="C24:D24"/>
    <mergeCell ref="A25:B25"/>
    <mergeCell ref="C25:D25"/>
    <mergeCell ref="A20:B20"/>
    <mergeCell ref="C20:D20"/>
    <mergeCell ref="A21:B21"/>
    <mergeCell ref="C21:D21"/>
    <mergeCell ref="A22:B22"/>
    <mergeCell ref="C22:D22"/>
    <mergeCell ref="A17:B17"/>
    <mergeCell ref="C17:D17"/>
    <mergeCell ref="A18:B18"/>
    <mergeCell ref="C18:D18"/>
    <mergeCell ref="A19:B19"/>
    <mergeCell ref="C19:D19"/>
    <mergeCell ref="A14:B14"/>
    <mergeCell ref="C14:D14"/>
    <mergeCell ref="A15:B15"/>
    <mergeCell ref="C15:D15"/>
    <mergeCell ref="A16:B16"/>
    <mergeCell ref="C16:D16"/>
    <mergeCell ref="A11:B11"/>
    <mergeCell ref="C11:D11"/>
    <mergeCell ref="A12:B12"/>
    <mergeCell ref="C12:D12"/>
    <mergeCell ref="A13:B13"/>
    <mergeCell ref="C13:D13"/>
    <mergeCell ref="A8:B8"/>
    <mergeCell ref="C8:D8"/>
    <mergeCell ref="A9:B9"/>
    <mergeCell ref="C9:D9"/>
    <mergeCell ref="A10:B10"/>
    <mergeCell ref="C10:D10"/>
    <mergeCell ref="A5:B5"/>
    <mergeCell ref="C5:D5"/>
    <mergeCell ref="A6:B6"/>
    <mergeCell ref="C6:D6"/>
    <mergeCell ref="A7:B7"/>
    <mergeCell ref="C7:D7"/>
    <mergeCell ref="E2:J2"/>
    <mergeCell ref="K2:U2"/>
    <mergeCell ref="A3:B3"/>
    <mergeCell ref="C3:D3"/>
    <mergeCell ref="A4:B4"/>
    <mergeCell ref="C4:D4"/>
  </mergeCells>
  <printOptions horizontalCentered="1"/>
  <pageMargins left="0.2" right="0.2" top="0.5" bottom="0.5" header="0.3" footer="0.3"/>
  <pageSetup paperSize="5" scale="55" orientation="landscape" cellComments="asDisplayed" r:id="rId1"/>
  <headerFooter>
    <oddFooter>&amp;L&amp;F - &amp;A&amp;R&amp;D - &amp;T</oddFooter>
  </headerFooter>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0"/>
  <sheetViews>
    <sheetView showGridLines="0" zoomScaleNormal="100" zoomScaleSheetLayoutView="100" workbookViewId="0"/>
  </sheetViews>
  <sheetFormatPr defaultRowHeight="15"/>
  <cols>
    <col min="1" max="1" width="2.7109375" style="117" customWidth="1"/>
    <col min="2" max="2" width="61.5703125" style="118" customWidth="1"/>
    <col min="3" max="6" width="15.7109375" style="118" customWidth="1"/>
    <col min="7" max="16384" width="9.140625" style="118"/>
  </cols>
  <sheetData>
    <row r="1" spans="1:14" s="21" customFormat="1" ht="15" customHeight="1">
      <c r="A1" s="117">
        <v>1</v>
      </c>
      <c r="B1" s="117"/>
      <c r="E1" s="285" t="s">
        <v>149</v>
      </c>
      <c r="F1" s="286">
        <f>IF(Cover!D13&gt;0, Cover!D13, "")</f>
        <v>2011</v>
      </c>
      <c r="G1" s="57"/>
      <c r="H1" s="57"/>
      <c r="I1" s="57"/>
      <c r="J1" s="57"/>
      <c r="L1" s="285"/>
      <c r="M1" s="285"/>
      <c r="N1" s="285"/>
    </row>
    <row r="2" spans="1:14" s="21" customFormat="1" ht="12.75">
      <c r="A2" s="117">
        <v>2</v>
      </c>
      <c r="B2" s="285" t="s">
        <v>150</v>
      </c>
      <c r="C2" s="1166" t="str">
        <f>IF(Cover!A1&gt;0, Cover!A1, "")</f>
        <v>Algonquin Water Resources of Missouri, LLC dba Liberty Utilities</v>
      </c>
      <c r="D2" s="1166"/>
      <c r="E2" s="1166"/>
      <c r="F2" s="1166"/>
      <c r="G2" s="293"/>
      <c r="H2" s="293"/>
      <c r="I2" s="293"/>
      <c r="J2" s="293"/>
      <c r="K2" s="293"/>
      <c r="L2" s="293"/>
      <c r="M2" s="293"/>
      <c r="N2" s="293"/>
    </row>
    <row r="3" spans="1:14" ht="63" customHeight="1" thickBot="1">
      <c r="B3" s="1171" t="s">
        <v>404</v>
      </c>
      <c r="C3" s="1171"/>
      <c r="D3" s="1171"/>
      <c r="E3" s="1171"/>
      <c r="F3" s="1171"/>
    </row>
    <row r="4" spans="1:14" ht="52.5" customHeight="1" thickBot="1">
      <c r="B4" s="565" t="s">
        <v>405</v>
      </c>
      <c r="C4" s="566" t="s">
        <v>406</v>
      </c>
      <c r="D4" s="567" t="s">
        <v>612</v>
      </c>
      <c r="E4" s="567" t="s">
        <v>614</v>
      </c>
      <c r="F4" s="415" t="s">
        <v>613</v>
      </c>
    </row>
    <row r="5" spans="1:14" ht="30" customHeight="1">
      <c r="A5" s="117">
        <v>3</v>
      </c>
      <c r="B5" s="223" t="s">
        <v>861</v>
      </c>
      <c r="C5" s="186" t="s">
        <v>867</v>
      </c>
      <c r="D5" s="188" t="s">
        <v>939</v>
      </c>
      <c r="E5" s="844" t="s">
        <v>939</v>
      </c>
      <c r="F5" s="845" t="s">
        <v>939</v>
      </c>
    </row>
    <row r="6" spans="1:14" ht="30" customHeight="1">
      <c r="A6" s="117">
        <v>4</v>
      </c>
      <c r="B6" s="224" t="s">
        <v>861</v>
      </c>
      <c r="C6" s="187" t="s">
        <v>868</v>
      </c>
      <c r="D6" s="189" t="s">
        <v>939</v>
      </c>
      <c r="E6" s="846" t="s">
        <v>939</v>
      </c>
      <c r="F6" s="823" t="s">
        <v>939</v>
      </c>
    </row>
    <row r="7" spans="1:14" ht="30" customHeight="1">
      <c r="A7" s="117">
        <v>5</v>
      </c>
      <c r="B7" s="224" t="s">
        <v>861</v>
      </c>
      <c r="C7" s="187" t="s">
        <v>869</v>
      </c>
      <c r="D7" s="187" t="s">
        <v>939</v>
      </c>
      <c r="E7" s="846" t="s">
        <v>939</v>
      </c>
      <c r="F7" s="823" t="s">
        <v>939</v>
      </c>
    </row>
    <row r="8" spans="1:14" ht="30" customHeight="1">
      <c r="A8" s="117">
        <v>6</v>
      </c>
      <c r="B8" s="224" t="s">
        <v>861</v>
      </c>
      <c r="C8" s="187" t="s">
        <v>870</v>
      </c>
      <c r="D8" s="187" t="s">
        <v>939</v>
      </c>
      <c r="E8" s="846" t="s">
        <v>939</v>
      </c>
      <c r="F8" s="823" t="s">
        <v>939</v>
      </c>
    </row>
    <row r="9" spans="1:14" ht="30" customHeight="1">
      <c r="A9" s="117">
        <v>7</v>
      </c>
      <c r="B9" s="224" t="s">
        <v>861</v>
      </c>
      <c r="C9" s="187" t="s">
        <v>871</v>
      </c>
      <c r="D9" s="187" t="s">
        <v>939</v>
      </c>
      <c r="E9" s="846" t="s">
        <v>939</v>
      </c>
      <c r="F9" s="823" t="s">
        <v>939</v>
      </c>
    </row>
    <row r="10" spans="1:14" ht="30" customHeight="1">
      <c r="A10" s="117">
        <v>8</v>
      </c>
      <c r="B10" s="224" t="s">
        <v>862</v>
      </c>
      <c r="C10" s="187" t="s">
        <v>867</v>
      </c>
      <c r="D10" s="187" t="s">
        <v>939</v>
      </c>
      <c r="E10" s="846" t="s">
        <v>939</v>
      </c>
      <c r="F10" s="823" t="s">
        <v>939</v>
      </c>
    </row>
    <row r="11" spans="1:14" ht="30" customHeight="1">
      <c r="A11" s="117">
        <v>9</v>
      </c>
      <c r="B11" s="224" t="s">
        <v>863</v>
      </c>
      <c r="C11" s="187" t="s">
        <v>872</v>
      </c>
      <c r="D11" s="187" t="s">
        <v>939</v>
      </c>
      <c r="E11" s="846" t="s">
        <v>939</v>
      </c>
      <c r="F11" s="823" t="s">
        <v>939</v>
      </c>
    </row>
    <row r="12" spans="1:14" ht="30" customHeight="1">
      <c r="A12" s="117">
        <v>10</v>
      </c>
      <c r="B12" s="224" t="s">
        <v>864</v>
      </c>
      <c r="C12" s="187" t="s">
        <v>873</v>
      </c>
      <c r="D12" s="187" t="s">
        <v>939</v>
      </c>
      <c r="E12" s="846" t="s">
        <v>939</v>
      </c>
      <c r="F12" s="823" t="s">
        <v>939</v>
      </c>
    </row>
    <row r="13" spans="1:14" ht="30" customHeight="1">
      <c r="A13" s="117">
        <v>11</v>
      </c>
      <c r="B13" s="224" t="s">
        <v>865</v>
      </c>
      <c r="C13" s="187" t="s">
        <v>873</v>
      </c>
      <c r="D13" s="187" t="s">
        <v>939</v>
      </c>
      <c r="E13" s="846" t="s">
        <v>939</v>
      </c>
      <c r="F13" s="823" t="s">
        <v>939</v>
      </c>
    </row>
    <row r="14" spans="1:14" ht="30" customHeight="1" thickBot="1">
      <c r="A14" s="117">
        <v>12</v>
      </c>
      <c r="B14" s="224" t="s">
        <v>866</v>
      </c>
      <c r="C14" s="187" t="s">
        <v>874</v>
      </c>
      <c r="D14" s="187" t="s">
        <v>939</v>
      </c>
      <c r="E14" s="847" t="s">
        <v>939</v>
      </c>
      <c r="F14" s="824" t="s">
        <v>939</v>
      </c>
    </row>
    <row r="15" spans="1:14" ht="30" customHeight="1">
      <c r="A15" s="1375" t="s">
        <v>719</v>
      </c>
      <c r="B15" s="1254"/>
      <c r="C15" s="1254"/>
      <c r="D15" s="1254"/>
      <c r="E15" s="1254"/>
      <c r="F15" s="1254"/>
    </row>
    <row r="16" spans="1:14" ht="15" customHeight="1">
      <c r="A16" s="1375"/>
      <c r="B16" s="239"/>
      <c r="C16" s="174"/>
      <c r="D16" s="174"/>
      <c r="E16" s="174"/>
      <c r="F16" s="174"/>
    </row>
    <row r="17" spans="1:6" ht="21" customHeight="1">
      <c r="A17" s="1375"/>
      <c r="E17" s="1439"/>
      <c r="F17" s="1440"/>
    </row>
    <row r="18" spans="1:6" ht="21" customHeight="1">
      <c r="A18" s="1375"/>
      <c r="F18" s="568" t="s">
        <v>13</v>
      </c>
    </row>
    <row r="19" spans="1:6" s="93" customFormat="1" ht="6.75" customHeight="1">
      <c r="A19" s="388"/>
    </row>
    <row r="20" spans="1:6" s="93" customFormat="1">
      <c r="A20" s="388"/>
    </row>
    <row r="21" spans="1:6" s="93" customFormat="1" ht="12.75" customHeight="1">
      <c r="A21" s="92"/>
    </row>
    <row r="22" spans="1:6" s="93" customFormat="1">
      <c r="A22" s="92"/>
    </row>
    <row r="23" spans="1:6" s="93" customFormat="1">
      <c r="A23" s="92"/>
    </row>
    <row r="24" spans="1:6" s="93" customFormat="1">
      <c r="A24" s="92"/>
    </row>
    <row r="25" spans="1:6" s="93" customFormat="1">
      <c r="A25" s="92"/>
    </row>
    <row r="26" spans="1:6" s="93" customFormat="1">
      <c r="A26" s="92"/>
    </row>
    <row r="27" spans="1:6" s="93" customFormat="1" ht="12.75" customHeight="1">
      <c r="A27" s="92"/>
    </row>
    <row r="35" spans="5:5">
      <c r="E35" s="21"/>
    </row>
    <row r="36" spans="5:5">
      <c r="E36" s="21" t="s">
        <v>14</v>
      </c>
    </row>
    <row r="37" spans="5:5">
      <c r="E37" s="21" t="s">
        <v>15</v>
      </c>
    </row>
    <row r="60" spans="1:1">
      <c r="A60" s="118"/>
    </row>
  </sheetData>
  <sheetProtection password="C0F1" sheet="1" formatCells="0" formatColumns="0" formatRows="0" insertColumns="0" insertRows="0"/>
  <customSheetViews>
    <customSheetView guid="{1F4AFEE5-5BDD-4100-B0E9-57B262CA123C}" showPageBreaks="1" showGridLines="0" fitToPage="1" printArea="1" view="pageBreakPreview">
      <selection activeCell="B3" sqref="B3:F3"/>
      <pageMargins left="0.45" right="0.45" top="0.75" bottom="0.25" header="0.3" footer="0.3"/>
      <printOptions horizontalCentered="1"/>
      <pageSetup orientation="landscape" r:id="rId1"/>
      <headerFooter>
        <oddFooter>&amp;C&amp;A</oddFooter>
      </headerFooter>
    </customSheetView>
  </customSheetViews>
  <mergeCells count="5">
    <mergeCell ref="C2:F2"/>
    <mergeCell ref="A15:A18"/>
    <mergeCell ref="E17:F17"/>
    <mergeCell ref="B3:F3"/>
    <mergeCell ref="B15:F15"/>
  </mergeCells>
  <dataValidations count="2">
    <dataValidation type="list" allowBlank="1" showInputMessage="1" showErrorMessage="1" sqref="E17">
      <formula1>$E$35:$E$37</formula1>
    </dataValidation>
    <dataValidation allowBlank="1" showInputMessage="1" prompt="This field is to be used when filing under seal." sqref="E35:E38"/>
  </dataValidations>
  <printOptions horizontalCentered="1"/>
  <pageMargins left="0.45" right="0.45" top="0.75" bottom="0.25" header="0.3" footer="0.3"/>
  <pageSetup orientation="landscape" r:id="rId2"/>
  <headerFooter>
    <oddFooter>&amp;C&amp;A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workbookViewId="0"/>
  </sheetViews>
  <sheetFormatPr defaultRowHeight="15"/>
  <cols>
    <col min="1" max="1" width="2.7109375" style="117" customWidth="1"/>
    <col min="2" max="2" width="61.5703125" style="118" customWidth="1"/>
    <col min="3" max="6" width="15.7109375" style="118" customWidth="1"/>
    <col min="7" max="16384" width="9.140625" style="118"/>
  </cols>
  <sheetData>
    <row r="1" spans="1:14" s="21" customFormat="1" ht="15" customHeight="1">
      <c r="A1" s="117">
        <v>1</v>
      </c>
      <c r="B1" s="117"/>
      <c r="E1" s="285" t="s">
        <v>149</v>
      </c>
      <c r="F1" s="286">
        <f>IF(Cover!D13&gt;0, Cover!D13, "")</f>
        <v>2011</v>
      </c>
      <c r="G1" s="57"/>
      <c r="H1" s="57"/>
      <c r="I1" s="57"/>
      <c r="J1" s="57"/>
      <c r="L1" s="285"/>
      <c r="M1" s="285"/>
      <c r="N1" s="285"/>
    </row>
    <row r="2" spans="1:14" s="21" customFormat="1" ht="12.75">
      <c r="A2" s="117">
        <v>2</v>
      </c>
      <c r="B2" s="285" t="s">
        <v>150</v>
      </c>
      <c r="C2" s="1166" t="str">
        <f>IF(Cover!A1&gt;0, Cover!A1, "")</f>
        <v>Algonquin Water Resources of Missouri, LLC dba Liberty Utilities</v>
      </c>
      <c r="D2" s="1166"/>
      <c r="E2" s="1166"/>
      <c r="F2" s="1166"/>
      <c r="G2" s="293"/>
      <c r="H2" s="293"/>
      <c r="I2" s="293"/>
      <c r="J2" s="293"/>
      <c r="K2" s="293"/>
      <c r="L2" s="293"/>
      <c r="M2" s="293"/>
      <c r="N2" s="293"/>
    </row>
    <row r="3" spans="1:14" ht="63" customHeight="1" thickBot="1">
      <c r="B3" s="1171" t="s">
        <v>404</v>
      </c>
      <c r="C3" s="1171"/>
      <c r="D3" s="1171"/>
      <c r="E3" s="1171"/>
      <c r="F3" s="1171"/>
    </row>
    <row r="4" spans="1:14" ht="52.5" customHeight="1" thickBot="1">
      <c r="B4" s="565" t="s">
        <v>405</v>
      </c>
      <c r="C4" s="570" t="s">
        <v>406</v>
      </c>
      <c r="D4" s="567" t="s">
        <v>612</v>
      </c>
      <c r="E4" s="567" t="s">
        <v>614</v>
      </c>
      <c r="F4" s="415" t="s">
        <v>613</v>
      </c>
    </row>
    <row r="5" spans="1:14" ht="30" customHeight="1">
      <c r="A5" s="117">
        <v>3</v>
      </c>
      <c r="B5" s="223" t="s">
        <v>987</v>
      </c>
      <c r="C5" s="850" t="s">
        <v>1011</v>
      </c>
      <c r="D5" s="188" t="s">
        <v>939</v>
      </c>
      <c r="E5" s="844" t="s">
        <v>939</v>
      </c>
      <c r="F5" s="845" t="s">
        <v>939</v>
      </c>
    </row>
    <row r="6" spans="1:14" ht="30" customHeight="1">
      <c r="A6" s="117">
        <v>4</v>
      </c>
      <c r="B6" s="224" t="s">
        <v>988</v>
      </c>
      <c r="C6" s="187" t="s">
        <v>1013</v>
      </c>
      <c r="D6" s="189" t="s">
        <v>939</v>
      </c>
      <c r="E6" s="846" t="s">
        <v>939</v>
      </c>
      <c r="F6" s="823" t="s">
        <v>939</v>
      </c>
    </row>
    <row r="7" spans="1:14" ht="30" customHeight="1">
      <c r="A7" s="117">
        <v>5</v>
      </c>
      <c r="B7" s="224" t="s">
        <v>989</v>
      </c>
      <c r="C7" s="187" t="s">
        <v>1014</v>
      </c>
      <c r="D7" s="187" t="s">
        <v>939</v>
      </c>
      <c r="E7" s="846" t="s">
        <v>939</v>
      </c>
      <c r="F7" s="823" t="s">
        <v>939</v>
      </c>
    </row>
    <row r="8" spans="1:14" ht="30" customHeight="1">
      <c r="A8" s="117">
        <v>6</v>
      </c>
      <c r="B8" s="224" t="s">
        <v>990</v>
      </c>
      <c r="C8" s="187" t="s">
        <v>1015</v>
      </c>
      <c r="D8" s="187" t="s">
        <v>939</v>
      </c>
      <c r="E8" s="846" t="s">
        <v>939</v>
      </c>
      <c r="F8" s="823" t="s">
        <v>939</v>
      </c>
    </row>
    <row r="9" spans="1:14" ht="30" customHeight="1">
      <c r="A9" s="117">
        <v>7</v>
      </c>
      <c r="B9" s="224" t="s">
        <v>991</v>
      </c>
      <c r="C9" s="187" t="s">
        <v>1012</v>
      </c>
      <c r="D9" s="187" t="s">
        <v>939</v>
      </c>
      <c r="E9" s="846" t="s">
        <v>939</v>
      </c>
      <c r="F9" s="823" t="s">
        <v>939</v>
      </c>
    </row>
    <row r="10" spans="1:14" ht="30" customHeight="1">
      <c r="A10" s="117">
        <v>8</v>
      </c>
      <c r="B10" s="224" t="s">
        <v>992</v>
      </c>
      <c r="C10" s="187" t="s">
        <v>1006</v>
      </c>
      <c r="D10" s="187" t="s">
        <v>939</v>
      </c>
      <c r="E10" s="846" t="s">
        <v>939</v>
      </c>
      <c r="F10" s="823" t="s">
        <v>939</v>
      </c>
    </row>
    <row r="11" spans="1:14" ht="30" customHeight="1">
      <c r="A11" s="117">
        <v>9</v>
      </c>
      <c r="B11" s="224" t="s">
        <v>993</v>
      </c>
      <c r="C11" s="187" t="s">
        <v>1007</v>
      </c>
      <c r="D11" s="187" t="s">
        <v>939</v>
      </c>
      <c r="E11" s="846" t="s">
        <v>939</v>
      </c>
      <c r="F11" s="823" t="s">
        <v>939</v>
      </c>
    </row>
    <row r="12" spans="1:14" ht="30" customHeight="1">
      <c r="A12" s="117">
        <v>10</v>
      </c>
      <c r="B12" s="224" t="s">
        <v>994</v>
      </c>
      <c r="C12" s="187" t="s">
        <v>1008</v>
      </c>
      <c r="D12" s="187" t="s">
        <v>939</v>
      </c>
      <c r="E12" s="846" t="s">
        <v>939</v>
      </c>
      <c r="F12" s="823" t="s">
        <v>939</v>
      </c>
    </row>
    <row r="13" spans="1:14" ht="30" customHeight="1">
      <c r="A13" s="117">
        <v>11</v>
      </c>
      <c r="B13" s="224" t="s">
        <v>995</v>
      </c>
      <c r="C13" s="187" t="s">
        <v>1009</v>
      </c>
      <c r="D13" s="187" t="s">
        <v>939</v>
      </c>
      <c r="E13" s="846" t="s">
        <v>939</v>
      </c>
      <c r="F13" s="823" t="s">
        <v>939</v>
      </c>
    </row>
    <row r="14" spans="1:14" ht="30" customHeight="1" thickBot="1">
      <c r="A14" s="117">
        <v>12</v>
      </c>
      <c r="B14" s="224" t="s">
        <v>996</v>
      </c>
      <c r="C14" s="851" t="s">
        <v>1010</v>
      </c>
      <c r="D14" s="187" t="s">
        <v>939</v>
      </c>
      <c r="E14" s="847" t="s">
        <v>939</v>
      </c>
      <c r="F14" s="824" t="s">
        <v>939</v>
      </c>
    </row>
    <row r="15" spans="1:14" ht="30" customHeight="1">
      <c r="A15" s="1375" t="s">
        <v>719</v>
      </c>
      <c r="B15" s="1254"/>
      <c r="C15" s="1263"/>
      <c r="D15" s="1254"/>
      <c r="E15" s="1254"/>
      <c r="F15" s="1254"/>
    </row>
    <row r="16" spans="1:14" ht="15" customHeight="1">
      <c r="A16" s="1375"/>
      <c r="B16" s="239"/>
      <c r="C16" s="822"/>
      <c r="D16" s="822"/>
      <c r="E16" s="822"/>
      <c r="F16" s="822"/>
    </row>
    <row r="17" spans="1:6" ht="21" customHeight="1">
      <c r="A17" s="1375"/>
      <c r="E17" s="1439"/>
      <c r="F17" s="1440"/>
    </row>
    <row r="18" spans="1:6" ht="21" customHeight="1">
      <c r="A18" s="1375"/>
      <c r="F18" s="568" t="s">
        <v>13</v>
      </c>
    </row>
    <row r="19" spans="1:6" s="93" customFormat="1" ht="6.75" customHeight="1">
      <c r="A19" s="388"/>
    </row>
    <row r="20" spans="1:6" s="93" customFormat="1">
      <c r="A20" s="388"/>
    </row>
    <row r="21" spans="1:6" s="93" customFormat="1" ht="12.75" customHeight="1">
      <c r="A21" s="92"/>
    </row>
    <row r="22" spans="1:6" s="93" customFormat="1">
      <c r="A22" s="92"/>
    </row>
    <row r="23" spans="1:6" s="93" customFormat="1">
      <c r="A23" s="92"/>
    </row>
    <row r="24" spans="1:6" s="93" customFormat="1">
      <c r="A24" s="92"/>
    </row>
    <row r="25" spans="1:6" s="93" customFormat="1">
      <c r="A25" s="92"/>
    </row>
    <row r="26" spans="1:6" s="93" customFormat="1">
      <c r="A26" s="92"/>
    </row>
    <row r="27" spans="1:6" s="93" customFormat="1" ht="12.75" customHeight="1">
      <c r="A27" s="92"/>
    </row>
    <row r="35" spans="5:5">
      <c r="E35" s="21"/>
    </row>
    <row r="36" spans="5:5">
      <c r="E36" s="21" t="s">
        <v>14</v>
      </c>
    </row>
    <row r="37" spans="5:5">
      <c r="E37" s="21" t="s">
        <v>15</v>
      </c>
    </row>
    <row r="60" spans="1:1">
      <c r="A60" s="118"/>
    </row>
  </sheetData>
  <mergeCells count="5">
    <mergeCell ref="C2:F2"/>
    <mergeCell ref="B3:F3"/>
    <mergeCell ref="A15:A18"/>
    <mergeCell ref="B15:F15"/>
    <mergeCell ref="E17:F17"/>
  </mergeCells>
  <dataValidations count="2">
    <dataValidation allowBlank="1" showInputMessage="1" prompt="This field is to be used when filing under seal." sqref="E35:E38"/>
    <dataValidation type="list" allowBlank="1" showInputMessage="1" showErrorMessage="1" sqref="E17">
      <formula1>$E$35:$E$37</formula1>
    </dataValidation>
  </dataValidation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0"/>
  <sheetViews>
    <sheetView workbookViewId="0"/>
  </sheetViews>
  <sheetFormatPr defaultRowHeight="15"/>
  <cols>
    <col min="1" max="1" width="2.7109375" style="117" customWidth="1"/>
    <col min="2" max="2" width="61.5703125" style="118" customWidth="1"/>
    <col min="3" max="6" width="15.7109375" style="118" customWidth="1"/>
    <col min="7" max="16384" width="9.140625" style="118"/>
  </cols>
  <sheetData>
    <row r="1" spans="1:14" s="21" customFormat="1" ht="15" customHeight="1">
      <c r="A1" s="117">
        <v>1</v>
      </c>
      <c r="B1" s="117"/>
      <c r="E1" s="285" t="s">
        <v>149</v>
      </c>
      <c r="F1" s="286">
        <f>IF(Cover!D13&gt;0, Cover!D13, "")</f>
        <v>2011</v>
      </c>
      <c r="G1" s="57"/>
      <c r="H1" s="57"/>
      <c r="I1" s="57"/>
      <c r="J1" s="57"/>
      <c r="L1" s="285"/>
      <c r="M1" s="285"/>
      <c r="N1" s="285"/>
    </row>
    <row r="2" spans="1:14" s="21" customFormat="1" ht="12.75">
      <c r="A2" s="117">
        <v>2</v>
      </c>
      <c r="B2" s="285" t="s">
        <v>150</v>
      </c>
      <c r="C2" s="1166" t="str">
        <f>IF(Cover!A1&gt;0, Cover!A1, "")</f>
        <v>Algonquin Water Resources of Missouri, LLC dba Liberty Utilities</v>
      </c>
      <c r="D2" s="1166"/>
      <c r="E2" s="1166"/>
      <c r="F2" s="1166"/>
      <c r="G2" s="293"/>
      <c r="H2" s="293"/>
      <c r="I2" s="293"/>
      <c r="J2" s="293"/>
      <c r="K2" s="293"/>
      <c r="L2" s="293"/>
      <c r="M2" s="293"/>
      <c r="N2" s="293"/>
    </row>
    <row r="3" spans="1:14" ht="63" customHeight="1" thickBot="1">
      <c r="B3" s="1171" t="s">
        <v>404</v>
      </c>
      <c r="C3" s="1171"/>
      <c r="D3" s="1171"/>
      <c r="E3" s="1171"/>
      <c r="F3" s="1171"/>
    </row>
    <row r="4" spans="1:14" ht="52.5" customHeight="1" thickBot="1">
      <c r="B4" s="565" t="s">
        <v>405</v>
      </c>
      <c r="C4" s="566" t="s">
        <v>406</v>
      </c>
      <c r="D4" s="567" t="s">
        <v>612</v>
      </c>
      <c r="E4" s="567" t="s">
        <v>614</v>
      </c>
      <c r="F4" s="415" t="s">
        <v>613</v>
      </c>
    </row>
    <row r="5" spans="1:14" ht="30" customHeight="1">
      <c r="A5" s="117">
        <v>3</v>
      </c>
      <c r="B5" s="223" t="s">
        <v>997</v>
      </c>
      <c r="C5" s="186"/>
      <c r="D5" s="188" t="s">
        <v>939</v>
      </c>
      <c r="E5" s="844" t="s">
        <v>939</v>
      </c>
      <c r="F5" s="845" t="s">
        <v>939</v>
      </c>
    </row>
    <row r="6" spans="1:14" ht="30" customHeight="1">
      <c r="A6" s="117">
        <v>4</v>
      </c>
      <c r="B6" s="224" t="s">
        <v>998</v>
      </c>
      <c r="C6" s="187"/>
      <c r="D6" s="189" t="s">
        <v>939</v>
      </c>
      <c r="E6" s="846" t="s">
        <v>939</v>
      </c>
      <c r="F6" s="823" t="s">
        <v>939</v>
      </c>
    </row>
    <row r="7" spans="1:14" ht="30" customHeight="1">
      <c r="A7" s="117">
        <v>5</v>
      </c>
      <c r="B7" s="224"/>
      <c r="C7" s="187"/>
      <c r="D7" s="187" t="s">
        <v>939</v>
      </c>
      <c r="E7" s="846" t="s">
        <v>939</v>
      </c>
      <c r="F7" s="823" t="s">
        <v>939</v>
      </c>
    </row>
    <row r="8" spans="1:14" ht="30" customHeight="1">
      <c r="A8" s="117">
        <v>6</v>
      </c>
      <c r="B8" s="224"/>
      <c r="C8" s="187"/>
      <c r="D8" s="187" t="s">
        <v>939</v>
      </c>
      <c r="E8" s="846" t="s">
        <v>939</v>
      </c>
      <c r="F8" s="823" t="s">
        <v>939</v>
      </c>
    </row>
    <row r="9" spans="1:14" ht="30" customHeight="1">
      <c r="A9" s="117">
        <v>7</v>
      </c>
      <c r="B9" s="224"/>
      <c r="C9" s="187"/>
      <c r="D9" s="187" t="s">
        <v>939</v>
      </c>
      <c r="E9" s="846" t="s">
        <v>939</v>
      </c>
      <c r="F9" s="823" t="s">
        <v>939</v>
      </c>
    </row>
    <row r="10" spans="1:14" ht="30" customHeight="1">
      <c r="A10" s="117">
        <v>8</v>
      </c>
      <c r="B10" s="224"/>
      <c r="C10" s="187"/>
      <c r="D10" s="187" t="s">
        <v>939</v>
      </c>
      <c r="E10" s="846" t="s">
        <v>939</v>
      </c>
      <c r="F10" s="823" t="s">
        <v>939</v>
      </c>
    </row>
    <row r="11" spans="1:14" ht="30" customHeight="1">
      <c r="A11" s="117">
        <v>9</v>
      </c>
      <c r="B11" s="224"/>
      <c r="C11" s="187"/>
      <c r="D11" s="187" t="s">
        <v>939</v>
      </c>
      <c r="E11" s="846" t="s">
        <v>939</v>
      </c>
      <c r="F11" s="823" t="s">
        <v>939</v>
      </c>
    </row>
    <row r="12" spans="1:14" ht="30" customHeight="1">
      <c r="A12" s="117">
        <v>10</v>
      </c>
      <c r="B12" s="224"/>
      <c r="C12" s="187"/>
      <c r="D12" s="187" t="s">
        <v>939</v>
      </c>
      <c r="E12" s="846" t="s">
        <v>939</v>
      </c>
      <c r="F12" s="823" t="s">
        <v>939</v>
      </c>
    </row>
    <row r="13" spans="1:14" ht="30" customHeight="1">
      <c r="A13" s="117">
        <v>11</v>
      </c>
      <c r="B13" s="224"/>
      <c r="C13" s="187"/>
      <c r="D13" s="187" t="s">
        <v>939</v>
      </c>
      <c r="E13" s="846" t="s">
        <v>939</v>
      </c>
      <c r="F13" s="823" t="s">
        <v>939</v>
      </c>
    </row>
    <row r="14" spans="1:14" ht="30" customHeight="1" thickBot="1">
      <c r="A14" s="117">
        <v>12</v>
      </c>
      <c r="B14" s="224"/>
      <c r="C14" s="187"/>
      <c r="D14" s="187" t="s">
        <v>939</v>
      </c>
      <c r="E14" s="847" t="s">
        <v>939</v>
      </c>
      <c r="F14" s="824" t="s">
        <v>939</v>
      </c>
    </row>
    <row r="15" spans="1:14" ht="30" customHeight="1">
      <c r="A15" s="1375" t="s">
        <v>719</v>
      </c>
      <c r="B15" s="1254"/>
      <c r="C15" s="1254"/>
      <c r="D15" s="1254"/>
      <c r="E15" s="1254"/>
      <c r="F15" s="1254"/>
    </row>
    <row r="16" spans="1:14" ht="15" customHeight="1">
      <c r="A16" s="1375"/>
      <c r="B16" s="239"/>
      <c r="C16" s="822"/>
      <c r="D16" s="822"/>
      <c r="E16" s="822"/>
      <c r="F16" s="822"/>
    </row>
    <row r="17" spans="1:6" ht="21" customHeight="1">
      <c r="A17" s="1375"/>
      <c r="E17" s="1439"/>
      <c r="F17" s="1440"/>
    </row>
    <row r="18" spans="1:6" ht="21" customHeight="1">
      <c r="A18" s="1375"/>
      <c r="F18" s="568" t="s">
        <v>13</v>
      </c>
    </row>
    <row r="19" spans="1:6" s="93" customFormat="1" ht="6.75" customHeight="1">
      <c r="A19" s="388"/>
    </row>
    <row r="20" spans="1:6" s="93" customFormat="1">
      <c r="A20" s="388"/>
    </row>
    <row r="21" spans="1:6" s="93" customFormat="1" ht="12.75" customHeight="1">
      <c r="A21" s="92"/>
    </row>
    <row r="22" spans="1:6" s="93" customFormat="1">
      <c r="A22" s="92"/>
    </row>
    <row r="23" spans="1:6" s="93" customFormat="1">
      <c r="A23" s="92"/>
    </row>
    <row r="24" spans="1:6" s="93" customFormat="1">
      <c r="A24" s="92"/>
    </row>
    <row r="25" spans="1:6" s="93" customFormat="1">
      <c r="A25" s="92"/>
    </row>
    <row r="26" spans="1:6" s="93" customFormat="1">
      <c r="A26" s="92"/>
    </row>
    <row r="27" spans="1:6" s="93" customFormat="1" ht="12.75" customHeight="1">
      <c r="A27" s="92"/>
    </row>
    <row r="35" spans="5:5">
      <c r="E35" s="21"/>
    </row>
    <row r="36" spans="5:5">
      <c r="E36" s="21" t="s">
        <v>14</v>
      </c>
    </row>
    <row r="37" spans="5:5">
      <c r="E37" s="21" t="s">
        <v>15</v>
      </c>
    </row>
    <row r="60" spans="1:1">
      <c r="A60" s="118"/>
    </row>
  </sheetData>
  <mergeCells count="5">
    <mergeCell ref="C2:F2"/>
    <mergeCell ref="B3:F3"/>
    <mergeCell ref="A15:A18"/>
    <mergeCell ref="B15:F15"/>
    <mergeCell ref="E17:F17"/>
  </mergeCells>
  <dataValidations count="2">
    <dataValidation type="list" allowBlank="1" showInputMessage="1" showErrorMessage="1" sqref="E17">
      <formula1>$E$35:$E$37</formula1>
    </dataValidation>
    <dataValidation allowBlank="1" showInputMessage="1" prompt="This field is to be used when filing under seal." sqref="E35:E38"/>
  </dataValidations>
  <pageMargins left="0.7" right="0.7" top="0.75" bottom="0.75" header="0.3" footer="0.3"/>
  <pageSetup scale="71"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showGridLines="0" zoomScaleNormal="100" zoomScaleSheetLayoutView="100" workbookViewId="0"/>
  </sheetViews>
  <sheetFormatPr defaultRowHeight="15"/>
  <cols>
    <col min="1" max="1" width="2.7109375" style="389" customWidth="1"/>
    <col min="2" max="2" width="37.85546875" style="389" customWidth="1"/>
    <col min="3" max="6" width="20.7109375" style="389" customWidth="1"/>
    <col min="7" max="7" width="2" style="174" customWidth="1"/>
    <col min="8" max="8" width="3.140625" style="327" bestFit="1" customWidth="1"/>
    <col min="9" max="9" width="3.140625" style="327" customWidth="1"/>
    <col min="10" max="16384" width="9.140625" style="389"/>
  </cols>
  <sheetData>
    <row r="1" spans="1:14" s="21" customFormat="1" ht="15" customHeight="1">
      <c r="A1" s="117">
        <v>1</v>
      </c>
      <c r="B1" s="117"/>
      <c r="E1" s="285" t="s">
        <v>149</v>
      </c>
      <c r="F1" s="286">
        <f>IF(Cover!D13&gt;0, Cover!D13, "")</f>
        <v>2011</v>
      </c>
      <c r="G1" s="57"/>
      <c r="H1" s="57"/>
      <c r="I1" s="57"/>
      <c r="J1" s="57"/>
      <c r="L1" s="285"/>
      <c r="M1" s="285"/>
      <c r="N1" s="285"/>
    </row>
    <row r="2" spans="1:14" s="21" customFormat="1" ht="12.75">
      <c r="A2" s="117">
        <v>2</v>
      </c>
      <c r="B2" s="285" t="s">
        <v>150</v>
      </c>
      <c r="C2" s="1166" t="str">
        <f>IF(Cover!A1&gt;0, Cover!A1, "")</f>
        <v>Algonquin Water Resources of Missouri, LLC dba Liberty Utilities</v>
      </c>
      <c r="D2" s="1166"/>
      <c r="E2" s="1166"/>
      <c r="F2" s="1166"/>
      <c r="G2" s="293"/>
      <c r="H2" s="293"/>
      <c r="I2" s="293"/>
      <c r="J2" s="293"/>
      <c r="K2" s="293"/>
      <c r="L2" s="293"/>
      <c r="M2" s="293"/>
      <c r="N2" s="293"/>
    </row>
    <row r="3" spans="1:14" s="118" customFormat="1" ht="40.5" customHeight="1" thickBot="1">
      <c r="A3" s="117"/>
      <c r="B3" s="1441" t="s">
        <v>407</v>
      </c>
      <c r="C3" s="1441"/>
      <c r="D3" s="1441"/>
      <c r="E3" s="1441"/>
      <c r="F3" s="1441"/>
      <c r="G3" s="174"/>
      <c r="H3" s="407"/>
      <c r="I3" s="1240"/>
    </row>
    <row r="4" spans="1:14" s="446" customFormat="1">
      <c r="A4" s="117">
        <v>13</v>
      </c>
      <c r="B4" s="569"/>
      <c r="C4" s="570" t="s">
        <v>408</v>
      </c>
      <c r="D4" s="570" t="s">
        <v>408</v>
      </c>
      <c r="E4" s="570" t="s">
        <v>408</v>
      </c>
      <c r="F4" s="571" t="s">
        <v>408</v>
      </c>
      <c r="G4" s="174"/>
      <c r="H4" s="572"/>
      <c r="I4" s="1240"/>
    </row>
    <row r="5" spans="1:14" s="118" customFormat="1" ht="30" customHeight="1" thickBot="1">
      <c r="A5" s="117"/>
      <c r="B5" s="573"/>
      <c r="C5" s="574"/>
      <c r="D5" s="574"/>
      <c r="E5" s="574"/>
      <c r="F5" s="575"/>
      <c r="G5" s="174"/>
      <c r="H5" s="576"/>
      <c r="I5" s="1240"/>
    </row>
    <row r="6" spans="1:14" s="239" customFormat="1">
      <c r="A6" s="284"/>
      <c r="B6" s="577"/>
      <c r="C6" s="578"/>
      <c r="D6" s="578"/>
      <c r="E6" s="578"/>
      <c r="F6" s="579"/>
      <c r="H6" s="576"/>
      <c r="I6" s="1240"/>
    </row>
    <row r="7" spans="1:14" s="239" customFormat="1" ht="32.1" customHeight="1">
      <c r="A7" s="284">
        <v>14</v>
      </c>
      <c r="B7" s="577" t="s">
        <v>409</v>
      </c>
      <c r="C7" s="219" t="s">
        <v>875</v>
      </c>
      <c r="D7" s="219" t="s">
        <v>876</v>
      </c>
      <c r="E7" s="219" t="s">
        <v>876</v>
      </c>
      <c r="F7" s="220" t="s">
        <v>877</v>
      </c>
      <c r="H7" s="576"/>
      <c r="I7" s="1240"/>
    </row>
    <row r="8" spans="1:14" s="239" customFormat="1" ht="32.1" customHeight="1">
      <c r="A8" s="284">
        <v>15</v>
      </c>
      <c r="B8" s="577" t="s">
        <v>410</v>
      </c>
      <c r="C8" s="219"/>
      <c r="D8" s="219"/>
      <c r="E8" s="219"/>
      <c r="F8" s="220"/>
      <c r="H8" s="576"/>
      <c r="I8" s="1240"/>
    </row>
    <row r="9" spans="1:14" s="239" customFormat="1" ht="32.1" customHeight="1">
      <c r="A9" s="284">
        <v>16</v>
      </c>
      <c r="B9" s="577" t="s">
        <v>411</v>
      </c>
      <c r="C9" s="219"/>
      <c r="D9" s="219"/>
      <c r="E9" s="219"/>
      <c r="F9" s="220"/>
      <c r="H9" s="576"/>
      <c r="I9" s="1240"/>
    </row>
    <row r="10" spans="1:14" s="239" customFormat="1" ht="32.1" customHeight="1">
      <c r="A10" s="284">
        <v>17</v>
      </c>
      <c r="B10" s="577" t="s">
        <v>412</v>
      </c>
      <c r="C10" s="219" t="s">
        <v>878</v>
      </c>
      <c r="D10" s="219" t="s">
        <v>878</v>
      </c>
      <c r="E10" s="219" t="s">
        <v>878</v>
      </c>
      <c r="F10" s="219" t="s">
        <v>878</v>
      </c>
      <c r="H10" s="576"/>
      <c r="I10" s="1240"/>
    </row>
    <row r="11" spans="1:14" s="239" customFormat="1" ht="32.1" customHeight="1">
      <c r="A11" s="284">
        <v>18</v>
      </c>
      <c r="B11" s="577" t="s">
        <v>413</v>
      </c>
      <c r="C11" s="219" t="s">
        <v>879</v>
      </c>
      <c r="D11" s="219" t="s">
        <v>883</v>
      </c>
      <c r="E11" s="219" t="s">
        <v>884</v>
      </c>
      <c r="F11" s="220" t="s">
        <v>885</v>
      </c>
      <c r="H11" s="576"/>
      <c r="I11" s="1240"/>
    </row>
    <row r="12" spans="1:14" s="239" customFormat="1" ht="32.1" customHeight="1">
      <c r="A12" s="284">
        <v>19</v>
      </c>
      <c r="B12" s="577" t="s">
        <v>414</v>
      </c>
      <c r="C12" s="219">
        <v>504000</v>
      </c>
      <c r="D12" s="219">
        <v>964800</v>
      </c>
      <c r="E12" s="219">
        <v>640800</v>
      </c>
      <c r="F12" s="220">
        <v>432000</v>
      </c>
      <c r="H12" s="576"/>
      <c r="I12" s="1240"/>
    </row>
    <row r="13" spans="1:14" s="239" customFormat="1" ht="32.1" customHeight="1">
      <c r="A13" s="284">
        <v>20</v>
      </c>
      <c r="B13" s="580" t="s">
        <v>647</v>
      </c>
      <c r="C13" s="219" t="s">
        <v>880</v>
      </c>
      <c r="D13" s="219" t="s">
        <v>880</v>
      </c>
      <c r="E13" s="219" t="s">
        <v>880</v>
      </c>
      <c r="F13" s="219" t="s">
        <v>880</v>
      </c>
      <c r="H13" s="576"/>
      <c r="I13" s="1240"/>
    </row>
    <row r="14" spans="1:14" s="239" customFormat="1" ht="32.1" customHeight="1">
      <c r="A14" s="284">
        <v>21</v>
      </c>
      <c r="B14" s="577" t="s">
        <v>415</v>
      </c>
      <c r="C14" s="219"/>
      <c r="D14" s="219"/>
      <c r="E14" s="219"/>
      <c r="F14" s="220"/>
      <c r="H14" s="576"/>
      <c r="I14" s="1240"/>
    </row>
    <row r="15" spans="1:14" s="239" customFormat="1" ht="32.1" customHeight="1">
      <c r="A15" s="284">
        <v>22</v>
      </c>
      <c r="B15" s="577" t="s">
        <v>416</v>
      </c>
      <c r="C15" s="219" t="s">
        <v>881</v>
      </c>
      <c r="D15" s="219" t="s">
        <v>881</v>
      </c>
      <c r="E15" s="219" t="s">
        <v>881</v>
      </c>
      <c r="F15" s="219" t="s">
        <v>881</v>
      </c>
      <c r="H15" s="576"/>
      <c r="I15" s="1240"/>
    </row>
    <row r="16" spans="1:14" s="239" customFormat="1" ht="32.1" customHeight="1" thickBot="1">
      <c r="A16" s="284">
        <v>23</v>
      </c>
      <c r="B16" s="191" t="s">
        <v>417</v>
      </c>
      <c r="C16" s="221" t="s">
        <v>882</v>
      </c>
      <c r="D16" s="221" t="s">
        <v>886</v>
      </c>
      <c r="E16" s="221" t="s">
        <v>887</v>
      </c>
      <c r="F16" s="222" t="s">
        <v>888</v>
      </c>
      <c r="H16" s="576"/>
      <c r="I16" s="576">
        <f>IF(Cover!D13&gt;0, Cover!D13, "")</f>
        <v>2011</v>
      </c>
    </row>
    <row r="17" spans="1:9" s="118" customFormat="1" ht="40.5" customHeight="1">
      <c r="A17" s="1444" t="s">
        <v>817</v>
      </c>
      <c r="B17" s="239"/>
      <c r="C17" s="174"/>
      <c r="D17" s="174"/>
      <c r="E17" s="581"/>
      <c r="F17" s="174"/>
      <c r="G17" s="174"/>
      <c r="H17" s="576"/>
      <c r="I17" s="576"/>
    </row>
    <row r="18" spans="1:9" s="118" customFormat="1" ht="24.75" customHeight="1">
      <c r="A18" s="1444"/>
      <c r="E18" s="1442"/>
      <c r="F18" s="1443"/>
      <c r="G18" s="174"/>
      <c r="H18" s="576"/>
      <c r="I18" s="576"/>
    </row>
    <row r="19" spans="1:9" ht="12.75" customHeight="1">
      <c r="A19" s="1444"/>
      <c r="E19" s="118" t="s">
        <v>13</v>
      </c>
      <c r="F19" s="118"/>
      <c r="H19" s="576"/>
    </row>
    <row r="20" spans="1:9" s="97" customFormat="1">
      <c r="G20" s="237"/>
      <c r="H20" s="101"/>
      <c r="I20" s="101"/>
    </row>
    <row r="21" spans="1:9" s="97" customFormat="1">
      <c r="G21" s="237"/>
      <c r="H21" s="101"/>
      <c r="I21" s="101"/>
    </row>
    <row r="22" spans="1:9" s="97" customFormat="1">
      <c r="G22" s="237"/>
      <c r="H22" s="101"/>
      <c r="I22" s="101"/>
    </row>
    <row r="23" spans="1:9" s="97" customFormat="1">
      <c r="G23" s="237"/>
      <c r="H23" s="101"/>
      <c r="I23" s="101"/>
    </row>
    <row r="24" spans="1:9" s="97" customFormat="1">
      <c r="G24" s="237"/>
      <c r="H24" s="101"/>
      <c r="I24" s="101"/>
    </row>
    <row r="25" spans="1:9" s="97" customFormat="1">
      <c r="G25" s="237"/>
      <c r="H25" s="101"/>
      <c r="I25" s="101"/>
    </row>
    <row r="26" spans="1:9" s="97" customFormat="1">
      <c r="G26" s="237"/>
      <c r="H26" s="101"/>
      <c r="I26" s="101"/>
    </row>
    <row r="27" spans="1:9" s="97" customFormat="1">
      <c r="G27" s="237"/>
      <c r="H27" s="101"/>
      <c r="I27" s="101"/>
    </row>
    <row r="32" spans="1:9">
      <c r="G32" s="529"/>
    </row>
    <row r="43" spans="5:8">
      <c r="H43" s="413"/>
    </row>
    <row r="44" spans="5:8">
      <c r="E44" s="21"/>
    </row>
    <row r="45" spans="5:8">
      <c r="E45" s="21" t="s">
        <v>14</v>
      </c>
    </row>
    <row r="46" spans="5:8">
      <c r="E46" s="21" t="s">
        <v>15</v>
      </c>
    </row>
  </sheetData>
  <sheetProtection password="C0F1" sheet="1" formatCells="0" formatColumns="0" formatRows="0" insertColumns="0" insertRows="0"/>
  <customSheetViews>
    <customSheetView guid="{1F4AFEE5-5BDD-4100-B0E9-57B262CA123C}" scale="115" showPageBreaks="1" showGridLines="0" fitToPage="1" printArea="1" view="pageBreakPreview">
      <selection activeCell="A4" sqref="A4"/>
      <pageMargins left="0.45" right="0.45" top="0.5" bottom="0.25" header="0.3" footer="0.25"/>
      <printOptions horizontalCentered="1"/>
      <pageSetup orientation="landscape" r:id="rId1"/>
      <headerFooter>
        <oddFooter>&amp;C&amp;A</oddFooter>
      </headerFooter>
    </customSheetView>
  </customSheetViews>
  <mergeCells count="5">
    <mergeCell ref="I3:I15"/>
    <mergeCell ref="C2:F2"/>
    <mergeCell ref="B3:F3"/>
    <mergeCell ref="E18:F18"/>
    <mergeCell ref="A17:A19"/>
  </mergeCells>
  <dataValidations count="2">
    <dataValidation type="list" allowBlank="1" showInputMessage="1" showErrorMessage="1" sqref="E18:F18">
      <formula1>$E$44:$E$46</formula1>
    </dataValidation>
    <dataValidation allowBlank="1" showInputMessage="1" prompt="This field is to be used when filing under seal." sqref="E44:E46"/>
  </dataValidations>
  <printOptions horizontalCentered="1"/>
  <pageMargins left="0.45" right="0.45" top="0.5" bottom="0.25" header="0.3" footer="0.25"/>
  <pageSetup orientation="landscape" r:id="rId2"/>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2"/>
  <sheetViews>
    <sheetView zoomScale="55" zoomScaleNormal="55" workbookViewId="0">
      <selection activeCell="A2" sqref="A2:F3"/>
    </sheetView>
  </sheetViews>
  <sheetFormatPr defaultRowHeight="12.75"/>
  <cols>
    <col min="1" max="1" width="64" style="964" bestFit="1" customWidth="1"/>
    <col min="2" max="2" width="57.85546875" style="884" bestFit="1" customWidth="1"/>
    <col min="3" max="3" width="7.42578125" style="926" bestFit="1" customWidth="1"/>
    <col min="4" max="4" width="17.28515625" style="907" bestFit="1" customWidth="1"/>
    <col min="5" max="5" width="18" style="906" bestFit="1" customWidth="1"/>
    <col min="6" max="6" width="21.42578125" style="899" bestFit="1" customWidth="1"/>
    <col min="7" max="7" width="27.42578125" style="907" bestFit="1" customWidth="1"/>
    <col min="8" max="8" width="27.42578125" style="906" bestFit="1" customWidth="1"/>
    <col min="9" max="9" width="19.5703125" style="963" bestFit="1" customWidth="1"/>
    <col min="10" max="10" width="27.42578125" style="907" bestFit="1" customWidth="1"/>
    <col min="11" max="11" width="27.42578125" style="884" bestFit="1" customWidth="1"/>
    <col min="12" max="12" width="19.5703125" style="963" bestFit="1" customWidth="1"/>
    <col min="13" max="13" width="27.42578125" style="907" bestFit="1" customWidth="1"/>
    <col min="14" max="14" width="27.42578125" style="884" bestFit="1" customWidth="1"/>
    <col min="15" max="15" width="22" style="963" bestFit="1" customWidth="1"/>
    <col min="16" max="16" width="2.140625" style="884" customWidth="1"/>
    <col min="17" max="17" width="20.140625" style="900" bestFit="1" customWidth="1"/>
    <col min="18" max="18" width="11.85546875" style="884" bestFit="1" customWidth="1"/>
    <col min="19" max="16384" width="9.140625" style="884"/>
  </cols>
  <sheetData>
    <row r="1" spans="1:18">
      <c r="A1" s="903" t="s">
        <v>1098</v>
      </c>
      <c r="D1" s="883"/>
      <c r="E1" s="901"/>
      <c r="F1" s="905"/>
      <c r="G1" s="883"/>
      <c r="H1" s="901"/>
      <c r="I1" s="902"/>
      <c r="J1" s="883"/>
      <c r="K1" s="904"/>
      <c r="L1" s="902"/>
      <c r="M1" s="883"/>
      <c r="N1" s="904"/>
      <c r="O1" s="902"/>
    </row>
    <row r="2" spans="1:18">
      <c r="A2" s="903" t="s">
        <v>1099</v>
      </c>
    </row>
    <row r="3" spans="1:18">
      <c r="A3" s="903" t="s">
        <v>1100</v>
      </c>
    </row>
    <row r="4" spans="1:18">
      <c r="A4" s="903" t="s">
        <v>1101</v>
      </c>
    </row>
    <row r="5" spans="1:18">
      <c r="A5" s="903"/>
    </row>
    <row r="6" spans="1:18">
      <c r="A6" s="964" t="s">
        <v>1102</v>
      </c>
      <c r="D6" s="965" t="s">
        <v>1103</v>
      </c>
      <c r="E6" s="966" t="s">
        <v>1103</v>
      </c>
      <c r="F6" s="967" t="s">
        <v>1103</v>
      </c>
      <c r="I6" s="968"/>
      <c r="J6" s="965"/>
      <c r="K6" s="969"/>
      <c r="L6" s="968"/>
      <c r="M6" s="965"/>
    </row>
    <row r="7" spans="1:18">
      <c r="A7" s="964" t="s">
        <v>1104</v>
      </c>
      <c r="C7" s="970" t="s">
        <v>1105</v>
      </c>
      <c r="D7" s="965" t="s">
        <v>1106</v>
      </c>
      <c r="E7" s="966" t="s">
        <v>1107</v>
      </c>
      <c r="F7" s="967" t="s">
        <v>1108</v>
      </c>
      <c r="G7" s="965" t="s">
        <v>1109</v>
      </c>
      <c r="H7" s="966" t="s">
        <v>1110</v>
      </c>
      <c r="I7" s="968" t="s">
        <v>1106</v>
      </c>
      <c r="J7" s="965" t="s">
        <v>1109</v>
      </c>
      <c r="K7" s="969" t="s">
        <v>1111</v>
      </c>
      <c r="L7" s="968" t="s">
        <v>1106</v>
      </c>
      <c r="M7" s="965" t="s">
        <v>1109</v>
      </c>
      <c r="N7" s="969" t="s">
        <v>1111</v>
      </c>
      <c r="O7" s="968" t="s">
        <v>1106</v>
      </c>
      <c r="Q7" s="971" t="s">
        <v>1066</v>
      </c>
      <c r="R7" s="972" t="s">
        <v>1067</v>
      </c>
    </row>
    <row r="8" spans="1:18" s="974" customFormat="1" ht="13.5" thickBot="1">
      <c r="A8" s="973" t="s">
        <v>1112</v>
      </c>
      <c r="C8" s="975" t="s">
        <v>1113</v>
      </c>
      <c r="D8" s="976" t="s">
        <v>1114</v>
      </c>
      <c r="F8" s="977" t="s">
        <v>1114</v>
      </c>
      <c r="G8" s="978" t="s">
        <v>1115</v>
      </c>
      <c r="H8" s="979" t="s">
        <v>1116</v>
      </c>
      <c r="I8" s="980" t="s">
        <v>1117</v>
      </c>
      <c r="J8" s="978" t="s">
        <v>1118</v>
      </c>
      <c r="K8" s="981" t="s">
        <v>1116</v>
      </c>
      <c r="L8" s="982" t="s">
        <v>1119</v>
      </c>
      <c r="M8" s="978" t="s">
        <v>1120</v>
      </c>
      <c r="N8" s="981" t="s">
        <v>1116</v>
      </c>
      <c r="O8" s="982" t="s">
        <v>1121</v>
      </c>
      <c r="Q8" s="983">
        <v>2011</v>
      </c>
      <c r="R8" s="984"/>
    </row>
    <row r="9" spans="1:18">
      <c r="A9" s="884"/>
      <c r="D9" s="985"/>
      <c r="E9" s="969"/>
      <c r="G9" s="965"/>
      <c r="H9" s="966"/>
      <c r="I9" s="968"/>
    </row>
    <row r="10" spans="1:18">
      <c r="A10" s="986"/>
    </row>
    <row r="11" spans="1:18">
      <c r="A11" s="986"/>
      <c r="B11" s="987" t="s">
        <v>1122</v>
      </c>
      <c r="C11" s="988"/>
    </row>
    <row r="12" spans="1:18">
      <c r="A12" s="986">
        <v>303</v>
      </c>
      <c r="B12" s="884" t="s">
        <v>1123</v>
      </c>
      <c r="C12" s="926">
        <v>0</v>
      </c>
      <c r="D12" s="907">
        <v>9192</v>
      </c>
      <c r="E12" s="906">
        <v>-9192</v>
      </c>
      <c r="F12" s="989">
        <f>E12+D12</f>
        <v>0</v>
      </c>
    </row>
    <row r="13" spans="1:18" s="997" customFormat="1">
      <c r="A13" s="990"/>
      <c r="B13" s="991" t="s">
        <v>1124</v>
      </c>
      <c r="C13" s="992"/>
      <c r="D13" s="993">
        <f>D12</f>
        <v>9192</v>
      </c>
      <c r="E13" s="994">
        <f>E12</f>
        <v>-9192</v>
      </c>
      <c r="F13" s="995">
        <f>F12</f>
        <v>0</v>
      </c>
      <c r="G13" s="993"/>
      <c r="H13" s="994"/>
      <c r="I13" s="996">
        <f>F13</f>
        <v>0</v>
      </c>
      <c r="J13" s="993"/>
      <c r="L13" s="995">
        <f>I13</f>
        <v>0</v>
      </c>
      <c r="M13" s="993"/>
      <c r="O13" s="998"/>
      <c r="Q13" s="999"/>
    </row>
    <row r="14" spans="1:18">
      <c r="A14" s="986"/>
      <c r="F14" s="989"/>
      <c r="L14" s="899"/>
    </row>
    <row r="15" spans="1:18">
      <c r="A15" s="986"/>
      <c r="B15" s="987" t="s">
        <v>1125</v>
      </c>
      <c r="C15" s="988"/>
    </row>
    <row r="16" spans="1:18">
      <c r="A16" s="986">
        <v>310</v>
      </c>
      <c r="B16" s="884" t="s">
        <v>353</v>
      </c>
      <c r="C16" s="926">
        <v>0</v>
      </c>
      <c r="D16" s="907">
        <v>6734</v>
      </c>
      <c r="F16" s="989">
        <f>E16+D16</f>
        <v>6734</v>
      </c>
      <c r="H16" s="1000"/>
      <c r="I16" s="963">
        <f>F16</f>
        <v>6734</v>
      </c>
      <c r="L16" s="963">
        <f>I16</f>
        <v>6734</v>
      </c>
      <c r="O16" s="963">
        <f>SUM(L16:M16)</f>
        <v>6734</v>
      </c>
      <c r="Q16" s="1001">
        <v>7321.6</v>
      </c>
      <c r="R16" s="1002">
        <f>O16-Q16</f>
        <v>-587.60000000000036</v>
      </c>
    </row>
    <row r="17" spans="1:18">
      <c r="A17" s="986">
        <v>314</v>
      </c>
      <c r="B17" s="884" t="s">
        <v>357</v>
      </c>
      <c r="C17" s="926">
        <v>0.02</v>
      </c>
      <c r="D17" s="907">
        <v>153676</v>
      </c>
      <c r="E17" s="906">
        <v>-33021</v>
      </c>
      <c r="F17" s="989">
        <f>E17+D17</f>
        <v>120655</v>
      </c>
      <c r="H17" s="1000"/>
      <c r="I17" s="963">
        <f>F17</f>
        <v>120655</v>
      </c>
      <c r="L17" s="963">
        <f>I17</f>
        <v>120655</v>
      </c>
      <c r="O17" s="963">
        <f>SUM(L17:M17)</f>
        <v>120655</v>
      </c>
      <c r="Q17" s="1001">
        <v>120654.6</v>
      </c>
      <c r="R17" s="1002">
        <f>O17-Q17</f>
        <v>0.39999999999417923</v>
      </c>
    </row>
    <row r="18" spans="1:18" s="997" customFormat="1">
      <c r="A18" s="990"/>
      <c r="B18" s="991" t="s">
        <v>1126</v>
      </c>
      <c r="C18" s="992"/>
      <c r="D18" s="993">
        <f>SUM(D16:D17)</f>
        <v>160410</v>
      </c>
      <c r="E18" s="994">
        <f>SUM(E16:E17)</f>
        <v>-33021</v>
      </c>
      <c r="F18" s="996">
        <f>SUM(F16:F17)</f>
        <v>127389</v>
      </c>
      <c r="G18" s="993"/>
      <c r="H18" s="1003"/>
      <c r="I18" s="996">
        <f>SUM(I15:I17)</f>
        <v>127389</v>
      </c>
      <c r="J18" s="993"/>
      <c r="L18" s="996">
        <f>SUM(L15:L17)</f>
        <v>127389</v>
      </c>
      <c r="M18" s="993"/>
      <c r="O18" s="995">
        <f>SUM(O16:O17)</f>
        <v>127389</v>
      </c>
      <c r="Q18" s="1004">
        <f>SUM(Q16:Q17)</f>
        <v>127976.20000000001</v>
      </c>
      <c r="R18" s="1005">
        <f>SUM(R16:R17)</f>
        <v>-587.20000000000618</v>
      </c>
    </row>
    <row r="19" spans="1:18">
      <c r="A19" s="986"/>
      <c r="F19" s="989"/>
      <c r="H19" s="1000"/>
      <c r="Q19" s="1006"/>
      <c r="R19" s="1002"/>
    </row>
    <row r="20" spans="1:18">
      <c r="A20" s="986"/>
      <c r="B20" s="987" t="s">
        <v>1127</v>
      </c>
      <c r="C20" s="988"/>
      <c r="H20" s="1000"/>
      <c r="L20" s="899"/>
      <c r="Q20" s="1006"/>
      <c r="R20" s="1002"/>
    </row>
    <row r="21" spans="1:18">
      <c r="A21" s="986">
        <v>321</v>
      </c>
      <c r="B21" s="884" t="s">
        <v>354</v>
      </c>
      <c r="C21" s="926">
        <v>2.5000000000000001E-2</v>
      </c>
      <c r="D21" s="907">
        <v>80975</v>
      </c>
      <c r="E21" s="906">
        <v>-23474</v>
      </c>
      <c r="F21" s="989">
        <f>E21+D21</f>
        <v>57501</v>
      </c>
      <c r="G21" s="907">
        <v>2250</v>
      </c>
      <c r="H21" s="1007">
        <v>40080</v>
      </c>
      <c r="I21" s="963">
        <f>G21+F21</f>
        <v>59751</v>
      </c>
      <c r="L21" s="963">
        <f>I21</f>
        <v>59751</v>
      </c>
      <c r="M21" s="907">
        <v>800</v>
      </c>
      <c r="N21" s="1008" t="s">
        <v>1128</v>
      </c>
      <c r="O21" s="963">
        <f>SUM(L21:M21)</f>
        <v>60551</v>
      </c>
      <c r="Q21" s="1006">
        <v>60551.1</v>
      </c>
      <c r="R21" s="1002">
        <f>O21-Q21</f>
        <v>-9.9999999998544808E-2</v>
      </c>
    </row>
    <row r="22" spans="1:18">
      <c r="A22" s="986">
        <v>325.10000000000002</v>
      </c>
      <c r="B22" s="884" t="s">
        <v>1129</v>
      </c>
      <c r="C22" s="926">
        <v>0.1</v>
      </c>
      <c r="D22" s="907">
        <v>114752</v>
      </c>
      <c r="E22" s="906">
        <v>13168</v>
      </c>
      <c r="F22" s="989">
        <f>E22+D22</f>
        <v>127920</v>
      </c>
      <c r="G22" s="907">
        <v>12869.97</v>
      </c>
      <c r="H22" s="1007">
        <v>40024</v>
      </c>
      <c r="I22" s="963">
        <f>SUM(G22:G23)+F22</f>
        <v>132308.47</v>
      </c>
      <c r="J22" s="907">
        <v>9256.65</v>
      </c>
      <c r="K22" s="1009">
        <v>40185</v>
      </c>
      <c r="L22" s="963">
        <f>SUM(I22:J26)</f>
        <v>151229.28</v>
      </c>
      <c r="M22" s="907">
        <v>9632.1200000000008</v>
      </c>
      <c r="N22" s="1008" t="s">
        <v>1130</v>
      </c>
      <c r="O22" s="963">
        <f>SUM(L22:M22)</f>
        <v>160861.4</v>
      </c>
      <c r="Q22" s="1006">
        <v>152395.94</v>
      </c>
      <c r="R22" s="1002">
        <f t="shared" ref="R22:R30" si="0">O22-Q22</f>
        <v>8465.4599999999919</v>
      </c>
    </row>
    <row r="23" spans="1:18">
      <c r="A23" s="986"/>
      <c r="B23" s="1010"/>
      <c r="F23" s="989"/>
      <c r="G23" s="1011">
        <v>-8481.5</v>
      </c>
      <c r="H23" s="1012"/>
      <c r="J23" s="907">
        <v>12840.13</v>
      </c>
      <c r="K23" s="1013">
        <v>40538</v>
      </c>
      <c r="Q23" s="1006"/>
      <c r="R23" s="1002">
        <f t="shared" si="0"/>
        <v>0</v>
      </c>
    </row>
    <row r="24" spans="1:18">
      <c r="A24" s="986"/>
      <c r="B24" s="1010"/>
      <c r="F24" s="989"/>
      <c r="H24" s="1000"/>
      <c r="J24" s="907">
        <v>526.17999999999995</v>
      </c>
      <c r="K24" s="1013">
        <v>40492</v>
      </c>
      <c r="Q24" s="1006"/>
      <c r="R24" s="1002">
        <f t="shared" si="0"/>
        <v>0</v>
      </c>
    </row>
    <row r="25" spans="1:18">
      <c r="A25" s="986"/>
      <c r="B25" s="1010"/>
      <c r="F25" s="989"/>
      <c r="H25" s="1007"/>
      <c r="J25" s="907">
        <v>124.5</v>
      </c>
      <c r="K25" s="1013">
        <v>40482</v>
      </c>
      <c r="Q25" s="1006"/>
      <c r="R25" s="1002">
        <f t="shared" si="0"/>
        <v>0</v>
      </c>
    </row>
    <row r="26" spans="1:18">
      <c r="A26" s="986"/>
      <c r="B26" s="1010"/>
      <c r="F26" s="989"/>
      <c r="H26" s="1007"/>
      <c r="J26" s="1011">
        <v>-3826.65</v>
      </c>
      <c r="K26" s="1008"/>
      <c r="Q26" s="1006"/>
      <c r="R26" s="1002">
        <f t="shared" si="0"/>
        <v>0</v>
      </c>
    </row>
    <row r="27" spans="1:18">
      <c r="A27" s="986">
        <v>325.2</v>
      </c>
      <c r="B27" s="884" t="s">
        <v>1131</v>
      </c>
      <c r="C27" s="926">
        <v>6.7000000000000004E-2</v>
      </c>
      <c r="D27" s="907">
        <v>0</v>
      </c>
      <c r="E27" s="906">
        <v>6411</v>
      </c>
      <c r="F27" s="989">
        <f>E27+D27</f>
        <v>6411</v>
      </c>
      <c r="G27" s="907">
        <v>692.47</v>
      </c>
      <c r="H27" s="1007">
        <v>39995</v>
      </c>
      <c r="I27" s="963">
        <f>G27+F27</f>
        <v>7103.47</v>
      </c>
      <c r="J27" s="907">
        <v>3933.39</v>
      </c>
      <c r="K27" s="1013">
        <v>40466</v>
      </c>
      <c r="L27" s="963">
        <f>SUM(I27:J30)</f>
        <v>12328.91</v>
      </c>
      <c r="O27" s="963">
        <f>SUM(L27:M27)</f>
        <v>12328.91</v>
      </c>
      <c r="Q27" s="1006">
        <v>12347.13</v>
      </c>
      <c r="R27" s="1002">
        <f t="shared" si="0"/>
        <v>-18.219999999999345</v>
      </c>
    </row>
    <row r="28" spans="1:18">
      <c r="A28" s="986"/>
      <c r="B28" s="1010"/>
      <c r="C28" s="1014"/>
      <c r="F28" s="989"/>
      <c r="H28" s="1000"/>
      <c r="J28" s="907">
        <v>705.56</v>
      </c>
      <c r="K28" s="1013">
        <v>40234</v>
      </c>
      <c r="L28" s="1015"/>
      <c r="Q28" s="1006"/>
      <c r="R28" s="1002">
        <f t="shared" si="0"/>
        <v>0</v>
      </c>
    </row>
    <row r="29" spans="1:18">
      <c r="A29" s="986"/>
      <c r="B29" s="1010"/>
      <c r="C29" s="1014"/>
      <c r="F29" s="989"/>
      <c r="H29" s="1007"/>
      <c r="J29" s="907">
        <v>312.68</v>
      </c>
      <c r="K29" s="1013">
        <v>40391</v>
      </c>
      <c r="L29" s="1015"/>
      <c r="Q29" s="1006"/>
      <c r="R29" s="1002">
        <f t="shared" si="0"/>
        <v>0</v>
      </c>
    </row>
    <row r="30" spans="1:18">
      <c r="A30" s="986"/>
      <c r="B30" s="1010"/>
      <c r="C30" s="1014"/>
      <c r="F30" s="989"/>
      <c r="H30" s="1007"/>
      <c r="J30" s="907">
        <v>273.81</v>
      </c>
      <c r="K30" s="1013">
        <v>40508</v>
      </c>
      <c r="L30" s="1015"/>
      <c r="Q30" s="1006"/>
      <c r="R30" s="1002">
        <f t="shared" si="0"/>
        <v>0</v>
      </c>
    </row>
    <row r="31" spans="1:18" s="997" customFormat="1">
      <c r="A31" s="990"/>
      <c r="B31" s="991" t="s">
        <v>1132</v>
      </c>
      <c r="C31" s="992"/>
      <c r="D31" s="993">
        <f>SUM(D21:D29)</f>
        <v>195727</v>
      </c>
      <c r="E31" s="994">
        <f>SUM(E21:E29)</f>
        <v>-3895</v>
      </c>
      <c r="F31" s="996">
        <f>SUM(F21:F29)</f>
        <v>191832</v>
      </c>
      <c r="G31" s="993">
        <f>SUM(G20:G29)</f>
        <v>7330.94</v>
      </c>
      <c r="H31" s="1003"/>
      <c r="I31" s="996">
        <f>SUM(I20:I30)</f>
        <v>199162.94</v>
      </c>
      <c r="J31" s="993">
        <f>SUM(J22:J30)</f>
        <v>24146.25</v>
      </c>
      <c r="L31" s="996">
        <f>SUM(L20:L29)</f>
        <v>223309.19</v>
      </c>
      <c r="M31" s="993">
        <f>SUM(M21:M30)</f>
        <v>10432.120000000001</v>
      </c>
      <c r="O31" s="995">
        <f>SUM(O21:O30)</f>
        <v>233741.31</v>
      </c>
      <c r="Q31" s="1004">
        <f>SUM(Q21:Q30)</f>
        <v>225294.17</v>
      </c>
      <c r="R31" s="1005">
        <f>SUM(R21:R30)</f>
        <v>8447.139999999994</v>
      </c>
    </row>
    <row r="32" spans="1:18">
      <c r="A32" s="986"/>
      <c r="F32" s="989"/>
      <c r="H32" s="1000"/>
      <c r="L32" s="899"/>
      <c r="Q32" s="1006"/>
      <c r="R32" s="1002"/>
    </row>
    <row r="33" spans="1:18">
      <c r="A33" s="986"/>
      <c r="B33" s="1010" t="s">
        <v>1133</v>
      </c>
      <c r="C33" s="1014"/>
      <c r="H33" s="1000"/>
      <c r="L33" s="899"/>
      <c r="Q33" s="1006"/>
      <c r="R33" s="1002"/>
    </row>
    <row r="34" spans="1:18">
      <c r="A34" s="986">
        <v>332</v>
      </c>
      <c r="B34" s="884" t="s">
        <v>367</v>
      </c>
      <c r="C34" s="926">
        <v>2.9000000000000001E-2</v>
      </c>
      <c r="D34" s="907">
        <v>13051</v>
      </c>
      <c r="E34" s="906">
        <v>2224</v>
      </c>
      <c r="F34" s="989">
        <f>E34+D34</f>
        <v>15275</v>
      </c>
      <c r="I34" s="963">
        <f>F34</f>
        <v>15275</v>
      </c>
      <c r="L34" s="989">
        <f>I34</f>
        <v>15275</v>
      </c>
      <c r="O34" s="963">
        <f>SUM(L34:M34)</f>
        <v>15275</v>
      </c>
      <c r="Q34" s="1006">
        <v>15277.48</v>
      </c>
      <c r="R34" s="1002">
        <f>O34-Q34</f>
        <v>-2.4799999999995634</v>
      </c>
    </row>
    <row r="35" spans="1:18" s="997" customFormat="1">
      <c r="A35" s="990"/>
      <c r="B35" s="991" t="s">
        <v>1134</v>
      </c>
      <c r="C35" s="992"/>
      <c r="D35" s="993">
        <f>D34</f>
        <v>13051</v>
      </c>
      <c r="E35" s="994">
        <f>E34</f>
        <v>2224</v>
      </c>
      <c r="F35" s="996">
        <f>F34</f>
        <v>15275</v>
      </c>
      <c r="G35" s="993"/>
      <c r="H35" s="994"/>
      <c r="I35" s="996">
        <f>I34</f>
        <v>15275</v>
      </c>
      <c r="J35" s="993"/>
      <c r="L35" s="995">
        <f>I35</f>
        <v>15275</v>
      </c>
      <c r="M35" s="993"/>
      <c r="O35" s="995">
        <f>O34</f>
        <v>15275</v>
      </c>
      <c r="Q35" s="1004">
        <f>SUM(Q34)</f>
        <v>15277.48</v>
      </c>
      <c r="R35" s="1005">
        <f>SUM(R34)</f>
        <v>-2.4799999999995634</v>
      </c>
    </row>
    <row r="36" spans="1:18">
      <c r="A36" s="986"/>
      <c r="F36" s="989"/>
      <c r="L36" s="899"/>
      <c r="Q36" s="1006"/>
      <c r="R36" s="1002"/>
    </row>
    <row r="37" spans="1:18">
      <c r="A37" s="986"/>
      <c r="B37" s="1010" t="s">
        <v>1135</v>
      </c>
      <c r="C37" s="1014"/>
      <c r="L37" s="899"/>
      <c r="Q37" s="1006"/>
      <c r="R37" s="1002"/>
    </row>
    <row r="38" spans="1:18">
      <c r="A38" s="986">
        <v>340</v>
      </c>
      <c r="B38" s="884" t="s">
        <v>353</v>
      </c>
      <c r="C38" s="926">
        <v>0</v>
      </c>
      <c r="D38" s="907">
        <v>588</v>
      </c>
      <c r="F38" s="989">
        <f>E38+D38</f>
        <v>588</v>
      </c>
      <c r="I38" s="963">
        <f>F38</f>
        <v>588</v>
      </c>
      <c r="L38" s="963">
        <f>I38</f>
        <v>588</v>
      </c>
      <c r="O38" s="963">
        <f>SUM(L38:M38)</f>
        <v>588</v>
      </c>
      <c r="Q38" s="1006"/>
      <c r="R38" s="1002">
        <f>O38-Q38</f>
        <v>588</v>
      </c>
    </row>
    <row r="39" spans="1:18">
      <c r="A39" s="986">
        <v>342</v>
      </c>
      <c r="B39" s="884" t="s">
        <v>1136</v>
      </c>
      <c r="C39" s="926">
        <v>2.5000000000000001E-2</v>
      </c>
      <c r="D39" s="907">
        <v>342421</v>
      </c>
      <c r="F39" s="989">
        <f>E39+D39</f>
        <v>342421</v>
      </c>
      <c r="I39" s="963">
        <f>F39</f>
        <v>342421</v>
      </c>
      <c r="L39" s="963">
        <f>I39</f>
        <v>342421</v>
      </c>
      <c r="O39" s="963">
        <f>SUM(L39:M39)</f>
        <v>342421</v>
      </c>
      <c r="Q39" s="1006">
        <v>342420.52</v>
      </c>
      <c r="R39" s="1002">
        <f t="shared" ref="R39:R45" si="1">O39-Q39</f>
        <v>0.47999999998137355</v>
      </c>
    </row>
    <row r="40" spans="1:18">
      <c r="A40" s="986">
        <v>345</v>
      </c>
      <c r="B40" s="884" t="s">
        <v>372</v>
      </c>
      <c r="C40" s="926">
        <v>0</v>
      </c>
      <c r="D40" s="907">
        <v>3347</v>
      </c>
      <c r="E40" s="906">
        <v>-3347</v>
      </c>
      <c r="F40" s="989">
        <f>E40+D40</f>
        <v>0</v>
      </c>
      <c r="I40" s="963">
        <f>F40</f>
        <v>0</v>
      </c>
      <c r="L40" s="963">
        <f>I40</f>
        <v>0</v>
      </c>
      <c r="O40" s="963">
        <f>SUM(L40:M40)</f>
        <v>0</v>
      </c>
      <c r="Q40" s="1006"/>
      <c r="R40" s="1002">
        <f t="shared" si="1"/>
        <v>0</v>
      </c>
    </row>
    <row r="41" spans="1:18">
      <c r="A41" s="986">
        <v>343</v>
      </c>
      <c r="B41" s="884" t="s">
        <v>370</v>
      </c>
      <c r="C41" s="926">
        <v>0.02</v>
      </c>
      <c r="D41" s="907">
        <v>460934</v>
      </c>
      <c r="E41" s="906">
        <v>9192</v>
      </c>
      <c r="F41" s="989">
        <f>E41+D41</f>
        <v>470126</v>
      </c>
      <c r="I41" s="963">
        <f>F41</f>
        <v>470126</v>
      </c>
      <c r="L41" s="963">
        <f>I41</f>
        <v>470126</v>
      </c>
      <c r="O41" s="963">
        <f>SUM(L41:M41)</f>
        <v>470126</v>
      </c>
      <c r="Q41" s="1006">
        <v>470126.32</v>
      </c>
      <c r="R41" s="1002">
        <f t="shared" si="1"/>
        <v>-0.32000000000698492</v>
      </c>
    </row>
    <row r="42" spans="1:18">
      <c r="A42" s="986">
        <v>346</v>
      </c>
      <c r="B42" s="884" t="s">
        <v>1137</v>
      </c>
      <c r="C42" s="926">
        <v>3.3000000000000002E-2</v>
      </c>
      <c r="D42" s="907">
        <v>34270</v>
      </c>
      <c r="F42" s="989">
        <f>E42+D42</f>
        <v>34270</v>
      </c>
      <c r="I42" s="963">
        <f>F42</f>
        <v>34270</v>
      </c>
      <c r="J42" s="907">
        <v>1605.07</v>
      </c>
      <c r="K42" s="1013">
        <v>40391</v>
      </c>
      <c r="L42" s="963">
        <f>SUM(I42:J42)</f>
        <v>35875.07</v>
      </c>
      <c r="M42" s="907">
        <v>566.75</v>
      </c>
      <c r="N42" s="1008" t="s">
        <v>1138</v>
      </c>
      <c r="O42" s="963">
        <f>SUM(L42:M43)</f>
        <v>36197.32</v>
      </c>
      <c r="Q42" s="1006">
        <v>104398</v>
      </c>
      <c r="R42" s="1016">
        <f t="shared" si="1"/>
        <v>-68200.679999999993</v>
      </c>
    </row>
    <row r="43" spans="1:18">
      <c r="A43" s="986"/>
      <c r="B43" s="1010"/>
      <c r="C43" s="1014"/>
      <c r="F43" s="989"/>
      <c r="J43" s="1017"/>
      <c r="L43" s="1015"/>
      <c r="M43" s="1011">
        <v>-244.5</v>
      </c>
      <c r="N43" s="884" t="str">
        <f>N42</f>
        <v>2/8/2011</v>
      </c>
      <c r="Q43" s="1006"/>
      <c r="R43" s="1016">
        <f t="shared" si="1"/>
        <v>0</v>
      </c>
    </row>
    <row r="44" spans="1:18">
      <c r="A44" s="986">
        <v>347</v>
      </c>
      <c r="B44" s="884" t="s">
        <v>1139</v>
      </c>
      <c r="C44" s="926">
        <v>2.5000000000000001E-2</v>
      </c>
      <c r="D44" s="907">
        <v>61792</v>
      </c>
      <c r="E44" s="906">
        <v>3347</v>
      </c>
      <c r="F44" s="989">
        <f>E44+D44</f>
        <v>65139</v>
      </c>
      <c r="I44" s="963">
        <f>F44</f>
        <v>65139</v>
      </c>
      <c r="L44" s="963">
        <f>I44</f>
        <v>65139</v>
      </c>
      <c r="O44" s="963">
        <f>SUM(L44:M44)</f>
        <v>65139</v>
      </c>
      <c r="Q44" s="1006"/>
      <c r="R44" s="1016">
        <f t="shared" si="1"/>
        <v>65139</v>
      </c>
    </row>
    <row r="45" spans="1:18">
      <c r="A45" s="986">
        <v>348</v>
      </c>
      <c r="B45" s="884" t="s">
        <v>375</v>
      </c>
      <c r="C45" s="926">
        <v>0.02</v>
      </c>
      <c r="D45" s="907">
        <v>20088</v>
      </c>
      <c r="F45" s="989">
        <f>E45+D45</f>
        <v>20088</v>
      </c>
      <c r="I45" s="963">
        <f>F45</f>
        <v>20088</v>
      </c>
      <c r="J45" s="1011">
        <v>-320</v>
      </c>
      <c r="L45" s="963">
        <f>SUM(I45:J45)</f>
        <v>19768</v>
      </c>
      <c r="M45" s="907">
        <v>3025.68</v>
      </c>
      <c r="N45" s="1008" t="s">
        <v>1140</v>
      </c>
      <c r="O45" s="963">
        <f>SUM(L45:M45)</f>
        <v>22793.68</v>
      </c>
      <c r="Q45" s="1006">
        <v>23073.32</v>
      </c>
      <c r="R45" s="1002">
        <f t="shared" si="1"/>
        <v>-279.63999999999942</v>
      </c>
    </row>
    <row r="46" spans="1:18" s="997" customFormat="1">
      <c r="A46" s="990"/>
      <c r="B46" s="991" t="s">
        <v>1141</v>
      </c>
      <c r="C46" s="992"/>
      <c r="D46" s="993">
        <f>SUM(D38:D45)</f>
        <v>923440</v>
      </c>
      <c r="E46" s="994">
        <f>SUM(E38:E45)</f>
        <v>9192</v>
      </c>
      <c r="F46" s="996">
        <f>SUM(F38:F45)</f>
        <v>932632</v>
      </c>
      <c r="G46" s="993"/>
      <c r="H46" s="994"/>
      <c r="I46" s="996">
        <f>SUM(I38:I45)</f>
        <v>932632</v>
      </c>
      <c r="J46" s="993">
        <f>J42+J45</f>
        <v>1285.07</v>
      </c>
      <c r="L46" s="996">
        <f>SUM(L38:L45)</f>
        <v>933917.07</v>
      </c>
      <c r="M46" s="993">
        <f>SUM(M38:M45)</f>
        <v>3347.93</v>
      </c>
      <c r="O46" s="996">
        <f>SUM(O38:O45)</f>
        <v>937265</v>
      </c>
      <c r="Q46" s="1004">
        <f>SUM(Q38:Q45)</f>
        <v>940018.16</v>
      </c>
      <c r="R46" s="1005">
        <f>SUM(R38:R45)</f>
        <v>-2753.160000000018</v>
      </c>
    </row>
    <row r="47" spans="1:18">
      <c r="A47" s="986"/>
      <c r="B47" s="1010"/>
      <c r="C47" s="1014"/>
      <c r="F47" s="989"/>
      <c r="L47" s="899"/>
      <c r="Q47" s="1006"/>
      <c r="R47" s="1002"/>
    </row>
    <row r="48" spans="1:18">
      <c r="A48" s="986"/>
      <c r="B48" s="1010" t="s">
        <v>1142</v>
      </c>
      <c r="C48" s="1014"/>
      <c r="L48" s="899"/>
      <c r="Q48" s="1006"/>
      <c r="R48" s="1002"/>
    </row>
    <row r="49" spans="1:18">
      <c r="A49" s="986">
        <v>391</v>
      </c>
      <c r="B49" s="884" t="s">
        <v>1143</v>
      </c>
      <c r="C49" s="926">
        <v>0.05</v>
      </c>
      <c r="D49" s="907">
        <v>12649</v>
      </c>
      <c r="F49" s="989">
        <f>E49+D49</f>
        <v>12649</v>
      </c>
      <c r="I49" s="963">
        <f>F49</f>
        <v>12649</v>
      </c>
      <c r="L49" s="963">
        <f>I49</f>
        <v>12649</v>
      </c>
      <c r="O49" s="963">
        <f>SUM(L49:M49)</f>
        <v>12649</v>
      </c>
      <c r="Q49" s="1006">
        <v>13583.79</v>
      </c>
      <c r="R49" s="1002">
        <f t="shared" ref="R49:R54" si="2">O49-Q49</f>
        <v>-934.79000000000087</v>
      </c>
    </row>
    <row r="50" spans="1:18">
      <c r="A50" s="986">
        <v>392</v>
      </c>
      <c r="B50" s="884" t="s">
        <v>465</v>
      </c>
      <c r="C50" s="926">
        <v>0.125</v>
      </c>
      <c r="D50" s="907">
        <v>10801</v>
      </c>
      <c r="E50" s="906">
        <v>7348</v>
      </c>
      <c r="F50" s="989">
        <f>E50+D50</f>
        <v>18149</v>
      </c>
      <c r="I50" s="963">
        <f>F50</f>
        <v>18149</v>
      </c>
      <c r="L50" s="963">
        <f>I50</f>
        <v>18149</v>
      </c>
      <c r="O50" s="963">
        <f>SUM(L50:M50)</f>
        <v>18149</v>
      </c>
      <c r="Q50" s="1006">
        <v>18149</v>
      </c>
      <c r="R50" s="1002">
        <f t="shared" si="2"/>
        <v>0</v>
      </c>
    </row>
    <row r="51" spans="1:18">
      <c r="A51" s="986">
        <v>394</v>
      </c>
      <c r="B51" s="884" t="s">
        <v>1144</v>
      </c>
      <c r="C51" s="926">
        <v>0.05</v>
      </c>
      <c r="D51" s="907">
        <v>2025</v>
      </c>
      <c r="F51" s="989">
        <f>E51+D51</f>
        <v>2025</v>
      </c>
      <c r="I51" s="963">
        <f>F51</f>
        <v>2025</v>
      </c>
      <c r="J51" s="907">
        <v>116.39</v>
      </c>
      <c r="K51" s="1013">
        <v>40239</v>
      </c>
      <c r="L51" s="963">
        <f>J51+I51</f>
        <v>2141.39</v>
      </c>
      <c r="M51" s="907">
        <v>261.55</v>
      </c>
      <c r="N51" s="1013">
        <v>40588</v>
      </c>
      <c r="O51" s="963">
        <f>SUM(L51:M53)</f>
        <v>2957.56</v>
      </c>
      <c r="Q51" s="1006">
        <v>3387.92</v>
      </c>
      <c r="R51" s="1002">
        <f t="shared" si="2"/>
        <v>-430.36000000000013</v>
      </c>
    </row>
    <row r="52" spans="1:18">
      <c r="A52" s="986"/>
      <c r="B52" s="1010"/>
      <c r="C52" s="1014"/>
      <c r="F52" s="989"/>
      <c r="J52" s="1017"/>
      <c r="M52" s="907">
        <v>316.43</v>
      </c>
      <c r="N52" s="1013">
        <v>40612</v>
      </c>
      <c r="Q52" s="1006"/>
      <c r="R52" s="1002">
        <f t="shared" si="2"/>
        <v>0</v>
      </c>
    </row>
    <row r="53" spans="1:18">
      <c r="A53" s="986"/>
      <c r="B53" s="1010"/>
      <c r="C53" s="1014"/>
      <c r="F53" s="989"/>
      <c r="M53" s="907">
        <v>238.19</v>
      </c>
      <c r="N53" s="1013">
        <v>40609</v>
      </c>
      <c r="Q53" s="1006"/>
      <c r="R53" s="1002">
        <f t="shared" si="2"/>
        <v>0</v>
      </c>
    </row>
    <row r="54" spans="1:18">
      <c r="A54" s="986">
        <v>396</v>
      </c>
      <c r="B54" s="884" t="s">
        <v>1145</v>
      </c>
      <c r="C54" s="926">
        <v>0</v>
      </c>
      <c r="D54" s="907">
        <v>24468</v>
      </c>
      <c r="F54" s="989">
        <f>E54+D54</f>
        <v>24468</v>
      </c>
      <c r="I54" s="963">
        <f>F54</f>
        <v>24468</v>
      </c>
      <c r="L54" s="963">
        <f>I54</f>
        <v>24468</v>
      </c>
      <c r="O54" s="963">
        <f>SUM(L54:M54)</f>
        <v>24468</v>
      </c>
      <c r="Q54" s="1006">
        <v>24467.99</v>
      </c>
      <c r="R54" s="1002">
        <f t="shared" si="2"/>
        <v>9.9999999983992893E-3</v>
      </c>
    </row>
    <row r="55" spans="1:18" s="997" customFormat="1">
      <c r="A55" s="1018"/>
      <c r="B55" s="991" t="s">
        <v>1146</v>
      </c>
      <c r="C55" s="992"/>
      <c r="D55" s="993">
        <f>SUM(D49:D54)</f>
        <v>49943</v>
      </c>
      <c r="E55" s="994">
        <f>SUM(E49:E54)</f>
        <v>7348</v>
      </c>
      <c r="F55" s="996">
        <f>SUM(F49:F54)</f>
        <v>57291</v>
      </c>
      <c r="G55" s="993"/>
      <c r="H55" s="994"/>
      <c r="I55" s="996">
        <f>SUM(I48:I54)</f>
        <v>57291</v>
      </c>
      <c r="J55" s="993">
        <f>J51</f>
        <v>116.39</v>
      </c>
      <c r="L55" s="996">
        <f>SUM(L48:L54)</f>
        <v>57407.39</v>
      </c>
      <c r="M55" s="993">
        <f>SUM(M49:M53)</f>
        <v>816.17000000000007</v>
      </c>
      <c r="O55" s="995">
        <f>SUM(O48:O54)</f>
        <v>58223.56</v>
      </c>
      <c r="Q55" s="1004">
        <f>SUM(Q49:Q54)</f>
        <v>59588.7</v>
      </c>
      <c r="R55" s="1005">
        <f>SUM(R49:R54)</f>
        <v>-1365.1400000000026</v>
      </c>
    </row>
    <row r="56" spans="1:18">
      <c r="Q56" s="1006"/>
      <c r="R56" s="1002"/>
    </row>
    <row r="57" spans="1:18" s="997" customFormat="1">
      <c r="A57" s="1018"/>
      <c r="B57" s="991" t="s">
        <v>1106</v>
      </c>
      <c r="C57" s="992"/>
      <c r="D57" s="993">
        <f>D55+D46+D35+D31+D18+D13</f>
        <v>1351763</v>
      </c>
      <c r="E57" s="994">
        <f>E55+E46+E35+E31+E18+E13</f>
        <v>-27344</v>
      </c>
      <c r="F57" s="996">
        <f>F55+F46+F35+F31+F18+F13</f>
        <v>1324419</v>
      </c>
      <c r="G57" s="993">
        <f>G31</f>
        <v>7330.94</v>
      </c>
      <c r="H57" s="994"/>
      <c r="I57" s="996">
        <f>I55+I46+I35+I31+I18</f>
        <v>1331749.94</v>
      </c>
      <c r="J57" s="993">
        <f>J55+J46+J31</f>
        <v>25547.71</v>
      </c>
      <c r="L57" s="996">
        <f>L55+L46+L35+L31+L18</f>
        <v>1357297.65</v>
      </c>
      <c r="M57" s="993">
        <f>M55+M46+M35+M31+M18</f>
        <v>14596.220000000001</v>
      </c>
      <c r="O57" s="996">
        <f>O55+O46+O35+O31+O18</f>
        <v>1371893.87</v>
      </c>
      <c r="Q57" s="1004">
        <f>Q18+Q31+Q35+Q46+Q55</f>
        <v>1368154.71</v>
      </c>
      <c r="R57" s="1005">
        <f>R18+R31+R35+R46+R55</f>
        <v>3739.1599999999676</v>
      </c>
    </row>
    <row r="58" spans="1:18">
      <c r="B58" s="987"/>
      <c r="C58" s="988"/>
      <c r="F58" s="989"/>
    </row>
    <row r="59" spans="1:18" s="1020" customFormat="1">
      <c r="A59" s="1019"/>
      <c r="C59" s="1021"/>
      <c r="D59" s="1022"/>
      <c r="E59" s="1023"/>
      <c r="F59" s="1024"/>
      <c r="G59" s="1022"/>
      <c r="H59" s="1023"/>
      <c r="I59" s="1025"/>
      <c r="J59" s="1022"/>
      <c r="L59" s="1025"/>
      <c r="M59" s="1022"/>
      <c r="O59" s="1025"/>
      <c r="Q59" s="1026"/>
    </row>
    <row r="60" spans="1:18">
      <c r="A60" s="964" t="s">
        <v>1102</v>
      </c>
      <c r="D60" s="985" t="s">
        <v>1103</v>
      </c>
      <c r="E60" s="884"/>
      <c r="F60" s="967" t="s">
        <v>1103</v>
      </c>
      <c r="G60" s="965" t="s">
        <v>1147</v>
      </c>
      <c r="H60" s="1027" t="s">
        <v>1147</v>
      </c>
      <c r="J60" s="965" t="s">
        <v>1147</v>
      </c>
      <c r="K60" s="1027" t="s">
        <v>1147</v>
      </c>
      <c r="M60" s="965" t="s">
        <v>1147</v>
      </c>
      <c r="N60" s="1027" t="s">
        <v>1147</v>
      </c>
    </row>
    <row r="61" spans="1:18">
      <c r="A61" s="964" t="s">
        <v>1104</v>
      </c>
      <c r="C61" s="970" t="s">
        <v>1105</v>
      </c>
      <c r="D61" s="985" t="s">
        <v>1148</v>
      </c>
      <c r="E61" s="969" t="s">
        <v>1103</v>
      </c>
      <c r="F61" s="967" t="s">
        <v>1149</v>
      </c>
      <c r="G61" s="985" t="s">
        <v>1150</v>
      </c>
      <c r="H61" s="1028" t="s">
        <v>1151</v>
      </c>
      <c r="I61" s="968" t="s">
        <v>1148</v>
      </c>
      <c r="J61" s="985" t="s">
        <v>1152</v>
      </c>
      <c r="K61" s="1028" t="s">
        <v>1151</v>
      </c>
      <c r="L61" s="968" t="s">
        <v>1148</v>
      </c>
      <c r="M61" s="985" t="s">
        <v>1153</v>
      </c>
      <c r="N61" s="1028" t="s">
        <v>1151</v>
      </c>
      <c r="O61" s="968" t="s">
        <v>1148</v>
      </c>
    </row>
    <row r="62" spans="1:18" s="974" customFormat="1" ht="13.5" thickBot="1">
      <c r="A62" s="973" t="s">
        <v>1112</v>
      </c>
      <c r="C62" s="975" t="s">
        <v>1113</v>
      </c>
      <c r="D62" s="976" t="s">
        <v>1114</v>
      </c>
      <c r="E62" s="979" t="s">
        <v>1107</v>
      </c>
      <c r="F62" s="977" t="s">
        <v>1114</v>
      </c>
      <c r="G62" s="978" t="s">
        <v>1115</v>
      </c>
      <c r="H62" s="1029" t="s">
        <v>1115</v>
      </c>
      <c r="I62" s="980" t="s">
        <v>1117</v>
      </c>
      <c r="J62" s="978" t="s">
        <v>1154</v>
      </c>
      <c r="K62" s="1029" t="s">
        <v>1154</v>
      </c>
      <c r="L62" s="980" t="s">
        <v>1119</v>
      </c>
      <c r="M62" s="978" t="s">
        <v>1120</v>
      </c>
      <c r="N62" s="1029" t="s">
        <v>1120</v>
      </c>
      <c r="O62" s="980" t="s">
        <v>1121</v>
      </c>
      <c r="Q62" s="1030"/>
    </row>
    <row r="63" spans="1:18">
      <c r="A63" s="884"/>
      <c r="D63" s="985"/>
      <c r="E63" s="969"/>
      <c r="G63" s="965"/>
      <c r="H63" s="966"/>
      <c r="I63" s="968"/>
      <c r="L63" s="899"/>
    </row>
    <row r="64" spans="1:18">
      <c r="A64" s="986"/>
      <c r="N64" s="966"/>
    </row>
    <row r="65" spans="1:18">
      <c r="A65" s="986"/>
      <c r="B65" s="987" t="s">
        <v>1122</v>
      </c>
      <c r="C65" s="988"/>
      <c r="N65" s="966"/>
    </row>
    <row r="66" spans="1:18">
      <c r="A66" s="986">
        <v>303</v>
      </c>
      <c r="B66" s="884" t="s">
        <v>1123</v>
      </c>
      <c r="C66" s="926">
        <v>0</v>
      </c>
      <c r="D66" s="907">
        <v>0</v>
      </c>
      <c r="E66" s="906">
        <v>0</v>
      </c>
      <c r="F66" s="989">
        <f>E66+D66</f>
        <v>0</v>
      </c>
      <c r="N66" s="906"/>
      <c r="O66" s="963">
        <f>SUM(L66:N66)</f>
        <v>0</v>
      </c>
    </row>
    <row r="67" spans="1:18" s="997" customFormat="1">
      <c r="A67" s="990"/>
      <c r="B67" s="991" t="s">
        <v>1155</v>
      </c>
      <c r="C67" s="992"/>
      <c r="D67" s="993"/>
      <c r="E67" s="994"/>
      <c r="F67" s="995">
        <f>F66</f>
        <v>0</v>
      </c>
      <c r="G67" s="993"/>
      <c r="H67" s="994"/>
      <c r="I67" s="996"/>
      <c r="J67" s="1031"/>
      <c r="L67" s="998"/>
      <c r="M67" s="993"/>
      <c r="N67" s="994"/>
      <c r="O67" s="996">
        <f>SUM(O65:O66)</f>
        <v>0</v>
      </c>
      <c r="Q67" s="999"/>
    </row>
    <row r="68" spans="1:18">
      <c r="A68" s="986"/>
      <c r="J68" s="1017"/>
      <c r="L68" s="899"/>
      <c r="N68" s="906"/>
    </row>
    <row r="69" spans="1:18">
      <c r="A69" s="986"/>
      <c r="B69" s="987" t="s">
        <v>1125</v>
      </c>
      <c r="C69" s="988"/>
      <c r="K69" s="906"/>
      <c r="L69" s="899"/>
      <c r="N69" s="906"/>
    </row>
    <row r="70" spans="1:18">
      <c r="A70" s="986">
        <v>310</v>
      </c>
      <c r="B70" s="884" t="s">
        <v>353</v>
      </c>
      <c r="C70" s="926">
        <v>0</v>
      </c>
      <c r="D70" s="907">
        <v>0</v>
      </c>
      <c r="F70" s="989">
        <f>E70+D70</f>
        <v>0</v>
      </c>
      <c r="K70" s="906"/>
      <c r="L70" s="899"/>
      <c r="M70" s="907">
        <v>0</v>
      </c>
      <c r="N70" s="906"/>
    </row>
    <row r="71" spans="1:18">
      <c r="A71" s="986">
        <v>314</v>
      </c>
      <c r="B71" s="884" t="s">
        <v>357</v>
      </c>
      <c r="C71" s="926">
        <v>0.02</v>
      </c>
      <c r="D71" s="907">
        <v>72995</v>
      </c>
      <c r="E71" s="906">
        <v>-31814</v>
      </c>
      <c r="F71" s="989">
        <f>E71+D71</f>
        <v>41181</v>
      </c>
      <c r="G71" s="907">
        <f>F17*C17*0.5</f>
        <v>1206.55</v>
      </c>
      <c r="I71" s="963">
        <f>SUM(F71:H71)</f>
        <v>42387.55</v>
      </c>
      <c r="J71" s="907">
        <f>I17*C17</f>
        <v>2413.1</v>
      </c>
      <c r="K71" s="906"/>
      <c r="L71" s="989">
        <f>SUM(I71:J71)</f>
        <v>44800.65</v>
      </c>
      <c r="M71" s="907">
        <f>L17*C17*(5/12)</f>
        <v>1005.4583333333334</v>
      </c>
      <c r="N71" s="906"/>
      <c r="O71" s="963">
        <f>SUM(L71:N71)</f>
        <v>45806.108333333337</v>
      </c>
      <c r="Q71" s="1032">
        <v>52231.41</v>
      </c>
      <c r="R71" s="1033">
        <f>O71-Q71</f>
        <v>-6425.3016666666663</v>
      </c>
    </row>
    <row r="72" spans="1:18" s="997" customFormat="1">
      <c r="A72" s="990"/>
      <c r="B72" s="991" t="s">
        <v>1156</v>
      </c>
      <c r="C72" s="992"/>
      <c r="D72" s="993">
        <f>SUM(D69:D71)</f>
        <v>72995</v>
      </c>
      <c r="E72" s="994">
        <f>SUM(E69:E71)</f>
        <v>-31814</v>
      </c>
      <c r="F72" s="995">
        <f>F71+F70</f>
        <v>41181</v>
      </c>
      <c r="G72" s="993">
        <f>G71</f>
        <v>1206.55</v>
      </c>
      <c r="H72" s="994"/>
      <c r="I72" s="996">
        <f>I71</f>
        <v>42387.55</v>
      </c>
      <c r="J72" s="993">
        <f>J71</f>
        <v>2413.1</v>
      </c>
      <c r="K72" s="994"/>
      <c r="L72" s="995">
        <f>L71</f>
        <v>44800.65</v>
      </c>
      <c r="M72" s="993">
        <f>M71</f>
        <v>1005.4583333333334</v>
      </c>
      <c r="N72" s="994"/>
      <c r="O72" s="996">
        <f>SUM(O70:O71)</f>
        <v>45806.108333333337</v>
      </c>
      <c r="Q72" s="1034">
        <f>SUM(Q71)</f>
        <v>52231.41</v>
      </c>
      <c r="R72" s="1034">
        <f>SUM(R71)</f>
        <v>-6425.3016666666663</v>
      </c>
    </row>
    <row r="73" spans="1:18">
      <c r="A73" s="986"/>
      <c r="K73" s="906"/>
      <c r="L73" s="899"/>
      <c r="N73" s="906"/>
      <c r="Q73" s="1032"/>
    </row>
    <row r="74" spans="1:18">
      <c r="A74" s="986"/>
      <c r="B74" s="987" t="s">
        <v>1127</v>
      </c>
      <c r="C74" s="988"/>
      <c r="K74" s="906"/>
      <c r="N74" s="906"/>
      <c r="Q74" s="1032"/>
    </row>
    <row r="75" spans="1:18">
      <c r="A75" s="986">
        <v>321</v>
      </c>
      <c r="B75" s="884" t="s">
        <v>354</v>
      </c>
      <c r="C75" s="926">
        <v>2.5000000000000001E-2</v>
      </c>
      <c r="D75" s="907">
        <v>33433</v>
      </c>
      <c r="E75" s="906">
        <v>-6139</v>
      </c>
      <c r="F75" s="989">
        <f>E75+D75</f>
        <v>27294</v>
      </c>
      <c r="G75" s="907">
        <f>F21*C21*0.5</f>
        <v>718.76250000000005</v>
      </c>
      <c r="H75" s="906">
        <f>G21*((C21/12)*4)</f>
        <v>18.75</v>
      </c>
      <c r="I75" s="963">
        <f>SUM(F75:H75)</f>
        <v>28031.512500000001</v>
      </c>
      <c r="J75" s="907">
        <f>I21*C21</f>
        <v>1493.7750000000001</v>
      </c>
      <c r="K75" s="906"/>
      <c r="L75" s="963">
        <f>SUM(I75:J75)</f>
        <v>29525.287500000002</v>
      </c>
      <c r="M75" s="907">
        <f>L21*C21*(5/12)</f>
        <v>622.40625000000011</v>
      </c>
      <c r="N75" s="906">
        <f>M21*((C21/12)*3)</f>
        <v>5</v>
      </c>
      <c r="O75" s="963">
        <f>SUM(L75:N75)</f>
        <v>30152.693750000002</v>
      </c>
      <c r="Q75" s="1032">
        <v>26457.4</v>
      </c>
      <c r="R75" s="1033">
        <f>O75-Q75</f>
        <v>3695.2937500000007</v>
      </c>
    </row>
    <row r="76" spans="1:18">
      <c r="A76" s="986">
        <v>325.10000000000002</v>
      </c>
      <c r="B76" s="884" t="s">
        <v>1129</v>
      </c>
      <c r="C76" s="926">
        <v>0.1</v>
      </c>
      <c r="D76" s="907">
        <v>6912</v>
      </c>
      <c r="E76" s="906">
        <v>5616</v>
      </c>
      <c r="F76" s="989">
        <f>E76+D76</f>
        <v>12528</v>
      </c>
      <c r="G76" s="907">
        <f>F22*C22*0.5</f>
        <v>6396</v>
      </c>
      <c r="H76" s="906">
        <f>G22*(($C$22/12)*6)</f>
        <v>643.49850000000004</v>
      </c>
      <c r="I76" s="963">
        <f>SUM(F76:H77)</f>
        <v>10661.923500000001</v>
      </c>
      <c r="J76" s="907">
        <f>I22*C22</f>
        <v>13230.847000000002</v>
      </c>
      <c r="K76" s="906">
        <f>J22*(($C$22/12)*12)</f>
        <v>925.66499999999996</v>
      </c>
      <c r="L76" s="963">
        <f>SUM(I76:K80)</f>
        <v>20919.33625</v>
      </c>
      <c r="M76" s="907">
        <f>L22*C22*(5/12)</f>
        <v>6301.22</v>
      </c>
      <c r="N76" s="906">
        <f>M22*((C22/12)*1)</f>
        <v>80.26766666666667</v>
      </c>
      <c r="O76" s="963">
        <f>SUM(L76:N76)</f>
        <v>27300.823916666668</v>
      </c>
      <c r="Q76" s="1032">
        <v>75267.149999999994</v>
      </c>
      <c r="R76" s="1035">
        <f t="shared" ref="R76:R84" si="3">O76-Q76</f>
        <v>-47966.326083333326</v>
      </c>
    </row>
    <row r="77" spans="1:18">
      <c r="A77" s="986"/>
      <c r="B77" s="1010"/>
      <c r="G77" s="1011">
        <f>H77*C76*0.5</f>
        <v>-424.07500000000005</v>
      </c>
      <c r="H77" s="1036">
        <f>G23</f>
        <v>-8481.5</v>
      </c>
      <c r="K77" s="906">
        <f>J23*(($C$22/12)*1)</f>
        <v>107.00108333333333</v>
      </c>
      <c r="N77" s="906"/>
      <c r="Q77" s="1032"/>
      <c r="R77" s="1033">
        <f t="shared" si="3"/>
        <v>0</v>
      </c>
    </row>
    <row r="78" spans="1:18">
      <c r="A78" s="986"/>
      <c r="B78" s="1010"/>
      <c r="E78" s="884"/>
      <c r="H78" s="884"/>
      <c r="K78" s="906">
        <f>J24*(($C$22/12)*2)</f>
        <v>8.7696666666666658</v>
      </c>
      <c r="N78" s="906"/>
      <c r="Q78" s="1032"/>
      <c r="R78" s="1033">
        <f t="shared" si="3"/>
        <v>0</v>
      </c>
    </row>
    <row r="79" spans="1:18">
      <c r="A79" s="986"/>
      <c r="B79" s="1010"/>
      <c r="E79" s="884"/>
      <c r="K79" s="906">
        <f>J25*(($C$22/12)*3)</f>
        <v>3.1125000000000003</v>
      </c>
      <c r="N79" s="906"/>
      <c r="Q79" s="1032"/>
      <c r="R79" s="1033">
        <f t="shared" si="3"/>
        <v>0</v>
      </c>
    </row>
    <row r="80" spans="1:18">
      <c r="A80" s="986"/>
      <c r="B80" s="1010"/>
      <c r="E80" s="884"/>
      <c r="J80" s="1011">
        <f>K80*C76*0.5</f>
        <v>-191.33250000000001</v>
      </c>
      <c r="K80" s="1036">
        <f>J26</f>
        <v>-3826.65</v>
      </c>
      <c r="N80" s="906"/>
      <c r="Q80" s="1032"/>
      <c r="R80" s="1033">
        <f t="shared" si="3"/>
        <v>0</v>
      </c>
    </row>
    <row r="81" spans="1:19">
      <c r="A81" s="986">
        <v>325.2</v>
      </c>
      <c r="B81" s="884" t="s">
        <v>1131</v>
      </c>
      <c r="C81" s="926">
        <v>6.7000000000000004E-2</v>
      </c>
      <c r="E81" s="906">
        <v>1597</v>
      </c>
      <c r="F81" s="989">
        <f>E81+D81</f>
        <v>1597</v>
      </c>
      <c r="G81" s="907">
        <f>F27*C27*0.5</f>
        <v>214.76850000000002</v>
      </c>
      <c r="H81" s="906">
        <f>G27*((C27/12)*6)</f>
        <v>23.197745000000001</v>
      </c>
      <c r="I81" s="963">
        <f>SUM(F81:H81)</f>
        <v>1834.9662450000001</v>
      </c>
      <c r="J81" s="907">
        <f>I27*C27</f>
        <v>475.93249000000003</v>
      </c>
      <c r="K81" s="1037">
        <f>J27*(($C$27/12)*3)</f>
        <v>65.884282499999998</v>
      </c>
      <c r="L81" s="963">
        <f>SUM(I81:K84)</f>
        <v>2431.9026891666672</v>
      </c>
      <c r="M81" s="907">
        <f>L27*C27*(5/12)</f>
        <v>344.18207083333334</v>
      </c>
      <c r="N81" s="906"/>
      <c r="O81" s="963">
        <f>SUM(L81:N81)</f>
        <v>2776.0847600000006</v>
      </c>
      <c r="Q81" s="1032">
        <v>6930.74</v>
      </c>
      <c r="R81" s="1033">
        <f t="shared" si="3"/>
        <v>-4154.6552399999991</v>
      </c>
    </row>
    <row r="82" spans="1:19">
      <c r="A82" s="986"/>
      <c r="B82" s="1010"/>
      <c r="C82" s="1014"/>
      <c r="H82" s="884"/>
      <c r="J82" s="1038"/>
      <c r="K82" s="1037">
        <f>J28*(($C$27/12)*11)</f>
        <v>43.333143333333332</v>
      </c>
      <c r="N82" s="906"/>
      <c r="Q82" s="1032"/>
      <c r="R82" s="1033">
        <f t="shared" si="3"/>
        <v>0</v>
      </c>
    </row>
    <row r="83" spans="1:19">
      <c r="A83" s="986"/>
      <c r="B83" s="1010"/>
      <c r="C83" s="1014"/>
      <c r="E83" s="884"/>
      <c r="J83" s="1038"/>
      <c r="K83" s="1037">
        <f>J29*(($C$27/12)*5)</f>
        <v>8.7289833333333338</v>
      </c>
      <c r="L83" s="899"/>
      <c r="N83" s="906"/>
      <c r="Q83" s="1032"/>
      <c r="R83" s="1033">
        <f t="shared" si="3"/>
        <v>0</v>
      </c>
    </row>
    <row r="84" spans="1:19">
      <c r="A84" s="986"/>
      <c r="B84" s="1010"/>
      <c r="C84" s="1014"/>
      <c r="E84" s="884"/>
      <c r="J84" s="1038"/>
      <c r="K84" s="1037">
        <f>J30*(($C$27/12)*2)</f>
        <v>3.0575450000000002</v>
      </c>
      <c r="L84" s="899"/>
      <c r="N84" s="906"/>
      <c r="Q84" s="1032"/>
      <c r="R84" s="1033">
        <f t="shared" si="3"/>
        <v>0</v>
      </c>
    </row>
    <row r="85" spans="1:19" s="997" customFormat="1">
      <c r="A85" s="990"/>
      <c r="B85" s="991" t="s">
        <v>1157</v>
      </c>
      <c r="C85" s="992"/>
      <c r="D85" s="993">
        <f>SUM(D75:D78)</f>
        <v>40345</v>
      </c>
      <c r="E85" s="994">
        <f>SUM(E75:E81)</f>
        <v>1074</v>
      </c>
      <c r="F85" s="995">
        <f>SUM(F75:F84)</f>
        <v>41419</v>
      </c>
      <c r="G85" s="993">
        <f>SUM(G75:G84)</f>
        <v>6905.4560000000001</v>
      </c>
      <c r="H85" s="993">
        <f>SUM(H75:H84)</f>
        <v>-7796.0537549999999</v>
      </c>
      <c r="I85" s="993">
        <f>SUM(I75:I84)</f>
        <v>40528.402245000005</v>
      </c>
      <c r="J85" s="993">
        <f>SUM(J75:J83)</f>
        <v>15009.22199</v>
      </c>
      <c r="K85" s="994">
        <f>SUM(K76:K84)</f>
        <v>-2661.0977958333333</v>
      </c>
      <c r="L85" s="995">
        <f>SUM(L75:L84)</f>
        <v>52876.526439166664</v>
      </c>
      <c r="M85" s="996">
        <f>SUM(M75:M83)</f>
        <v>7267.8083208333337</v>
      </c>
      <c r="N85" s="996">
        <f>SUM(N75:N83)</f>
        <v>85.26766666666667</v>
      </c>
      <c r="O85" s="996">
        <f>SUM(O75:O83)</f>
        <v>60229.602426666665</v>
      </c>
      <c r="Q85" s="1034">
        <f>SUM(Q74:Q84)</f>
        <v>108655.29</v>
      </c>
      <c r="R85" s="1034">
        <f>SUM(R74:R84)</f>
        <v>-48425.687573333322</v>
      </c>
    </row>
    <row r="86" spans="1:19">
      <c r="A86" s="986"/>
      <c r="K86" s="906"/>
      <c r="L86" s="899"/>
      <c r="N86" s="906"/>
      <c r="Q86" s="1032"/>
    </row>
    <row r="87" spans="1:19">
      <c r="A87" s="986"/>
      <c r="B87" s="1010" t="s">
        <v>1133</v>
      </c>
      <c r="C87" s="1014"/>
      <c r="K87" s="906"/>
      <c r="L87" s="899"/>
      <c r="N87" s="906"/>
      <c r="Q87" s="1032"/>
    </row>
    <row r="88" spans="1:19">
      <c r="A88" s="986">
        <v>332</v>
      </c>
      <c r="B88" s="884" t="s">
        <v>367</v>
      </c>
      <c r="C88" s="926">
        <v>2.9000000000000001E-2</v>
      </c>
      <c r="D88" s="907">
        <v>13088</v>
      </c>
      <c r="E88" s="906">
        <v>-824</v>
      </c>
      <c r="F88" s="989">
        <f>E88+D88</f>
        <v>12264</v>
      </c>
      <c r="G88" s="907">
        <f>F34*C34*0.5</f>
        <v>221.48750000000001</v>
      </c>
      <c r="I88" s="963">
        <f>SUM(F88:H88)</f>
        <v>12485.487499999999</v>
      </c>
      <c r="J88" s="907">
        <f>I34*C34</f>
        <v>442.97500000000002</v>
      </c>
      <c r="K88" s="906"/>
      <c r="L88" s="989">
        <f>SUM(I88:J88)</f>
        <v>12928.4625</v>
      </c>
      <c r="M88" s="907">
        <f>L34*C34*(5/12)</f>
        <v>184.57291666666669</v>
      </c>
      <c r="N88" s="906"/>
      <c r="O88" s="963">
        <f>SUM(L88:N88)</f>
        <v>13113.035416666666</v>
      </c>
      <c r="Q88" s="1032">
        <v>7155.38</v>
      </c>
      <c r="R88" s="1033">
        <f>O88-Q88</f>
        <v>5957.6554166666656</v>
      </c>
    </row>
    <row r="89" spans="1:19" s="997" customFormat="1">
      <c r="A89" s="990"/>
      <c r="B89" s="991" t="s">
        <v>1158</v>
      </c>
      <c r="C89" s="992"/>
      <c r="D89" s="993">
        <f>D88</f>
        <v>13088</v>
      </c>
      <c r="E89" s="994">
        <f>E88</f>
        <v>-824</v>
      </c>
      <c r="F89" s="995">
        <f>F88</f>
        <v>12264</v>
      </c>
      <c r="G89" s="993">
        <f>G88</f>
        <v>221.48750000000001</v>
      </c>
      <c r="H89" s="994"/>
      <c r="I89" s="996">
        <f>I88</f>
        <v>12485.487499999999</v>
      </c>
      <c r="J89" s="993">
        <f>J88</f>
        <v>442.97500000000002</v>
      </c>
      <c r="K89" s="994"/>
      <c r="L89" s="995">
        <f>SUM(I89:J89)</f>
        <v>12928.4625</v>
      </c>
      <c r="M89" s="993">
        <f>M88</f>
        <v>184.57291666666669</v>
      </c>
      <c r="N89" s="994"/>
      <c r="O89" s="996">
        <f>O88</f>
        <v>13113.035416666666</v>
      </c>
      <c r="Q89" s="1034">
        <f>SUM(Q88)</f>
        <v>7155.38</v>
      </c>
      <c r="R89" s="1034">
        <f>SUM(R88)</f>
        <v>5957.6554166666656</v>
      </c>
      <c r="S89" s="1034"/>
    </row>
    <row r="90" spans="1:19">
      <c r="A90" s="986"/>
      <c r="K90" s="906"/>
      <c r="L90" s="899"/>
      <c r="N90" s="906"/>
      <c r="Q90" s="1032"/>
    </row>
    <row r="91" spans="1:19">
      <c r="A91" s="986"/>
      <c r="B91" s="1010" t="s">
        <v>1135</v>
      </c>
      <c r="C91" s="1014"/>
      <c r="K91" s="906"/>
      <c r="L91" s="899"/>
      <c r="N91" s="906"/>
      <c r="Q91" s="1032"/>
    </row>
    <row r="92" spans="1:19">
      <c r="A92" s="986">
        <v>340</v>
      </c>
      <c r="B92" s="884" t="s">
        <v>353</v>
      </c>
      <c r="C92" s="926">
        <v>0</v>
      </c>
      <c r="D92" s="907">
        <v>0</v>
      </c>
      <c r="F92" s="989">
        <f>E92+D92</f>
        <v>0</v>
      </c>
      <c r="G92" s="907">
        <f>F38*C38*0.5</f>
        <v>0</v>
      </c>
      <c r="I92" s="963">
        <f>SUM(F92:H92)</f>
        <v>0</v>
      </c>
      <c r="J92" s="907">
        <f>I38*C38</f>
        <v>0</v>
      </c>
      <c r="K92" s="906"/>
      <c r="L92" s="989">
        <f>SUM(I92:K92)</f>
        <v>0</v>
      </c>
      <c r="M92" s="907">
        <v>0</v>
      </c>
      <c r="N92" s="906"/>
      <c r="O92" s="963">
        <f>SUM(L92:N92)</f>
        <v>0</v>
      </c>
      <c r="Q92" s="1032"/>
    </row>
    <row r="93" spans="1:19">
      <c r="A93" s="986">
        <v>342</v>
      </c>
      <c r="B93" s="884" t="s">
        <v>1136</v>
      </c>
      <c r="C93" s="926">
        <v>2.5000000000000001E-2</v>
      </c>
      <c r="D93" s="907">
        <v>103169</v>
      </c>
      <c r="E93" s="906">
        <v>4280</v>
      </c>
      <c r="F93" s="989">
        <f>E93+D93</f>
        <v>107449</v>
      </c>
      <c r="G93" s="907">
        <f>F39*C39*0.5</f>
        <v>4280.2624999999998</v>
      </c>
      <c r="I93" s="963">
        <f>SUM(F93:H93)</f>
        <v>111729.2625</v>
      </c>
      <c r="J93" s="907">
        <f>I39*C39</f>
        <v>8560.5249999999996</v>
      </c>
      <c r="K93" s="906"/>
      <c r="L93" s="989">
        <f>SUM(I93:K93)</f>
        <v>120289.78749999999</v>
      </c>
      <c r="M93" s="907">
        <f>L39*C39*(5/12)</f>
        <v>3566.8854166666665</v>
      </c>
      <c r="N93" s="906"/>
      <c r="O93" s="963">
        <f>SUM(L93:N93)</f>
        <v>123856.67291666666</v>
      </c>
      <c r="Q93" s="1032">
        <v>95853.28</v>
      </c>
      <c r="R93" s="1035">
        <f>O93-Q93</f>
        <v>28003.392916666664</v>
      </c>
    </row>
    <row r="94" spans="1:19">
      <c r="A94" s="986">
        <v>345</v>
      </c>
      <c r="B94" s="884" t="s">
        <v>372</v>
      </c>
      <c r="C94" s="926">
        <v>0</v>
      </c>
      <c r="D94" s="907">
        <v>3793</v>
      </c>
      <c r="E94" s="906">
        <v>-3793</v>
      </c>
      <c r="F94" s="989">
        <f>E94+D94</f>
        <v>0</v>
      </c>
      <c r="I94" s="963">
        <f>SUM(F94:H94)</f>
        <v>0</v>
      </c>
      <c r="J94" s="907">
        <f>I40*C40</f>
        <v>0</v>
      </c>
      <c r="K94" s="906"/>
      <c r="L94" s="989">
        <f>SUM(I94:K94)</f>
        <v>0</v>
      </c>
      <c r="N94" s="906"/>
      <c r="Q94" s="1032"/>
      <c r="R94" s="1035">
        <f t="shared" ref="R94:R100" si="4">O94-Q94</f>
        <v>0</v>
      </c>
    </row>
    <row r="95" spans="1:19">
      <c r="A95" s="986">
        <v>343</v>
      </c>
      <c r="B95" s="884" t="s">
        <v>370</v>
      </c>
      <c r="C95" s="926">
        <v>0.02</v>
      </c>
      <c r="D95" s="907">
        <v>216693</v>
      </c>
      <c r="E95" s="906">
        <v>4609</v>
      </c>
      <c r="F95" s="989">
        <f>E95+D95</f>
        <v>221302</v>
      </c>
      <c r="G95" s="907">
        <f>F41*C41*0.5</f>
        <v>4701.26</v>
      </c>
      <c r="I95" s="963">
        <f>SUM(F95:H95)</f>
        <v>226003.26</v>
      </c>
      <c r="J95" s="907">
        <f>I41*C41</f>
        <v>9402.52</v>
      </c>
      <c r="K95" s="906"/>
      <c r="L95" s="989">
        <f>SUM(I95:K95)</f>
        <v>235405.78</v>
      </c>
      <c r="M95" s="907">
        <f>L41*C41*(5/12)</f>
        <v>3917.7166666666672</v>
      </c>
      <c r="N95" s="906"/>
      <c r="O95" s="963">
        <f>SUM(L95:N95)</f>
        <v>239323.49666666667</v>
      </c>
      <c r="Q95" s="1032">
        <v>255967.22</v>
      </c>
      <c r="R95" s="1035">
        <f t="shared" si="4"/>
        <v>-16643.723333333328</v>
      </c>
    </row>
    <row r="96" spans="1:19">
      <c r="A96" s="986">
        <v>346</v>
      </c>
      <c r="B96" s="884" t="s">
        <v>1137</v>
      </c>
      <c r="C96" s="926">
        <v>3.3000000000000002E-2</v>
      </c>
      <c r="D96" s="907">
        <v>43687</v>
      </c>
      <c r="E96" s="906">
        <v>-9676</v>
      </c>
      <c r="F96" s="989">
        <f>E96+D96</f>
        <v>34011</v>
      </c>
      <c r="G96" s="907">
        <f>F42*C42*0.5</f>
        <v>565.45500000000004</v>
      </c>
      <c r="I96" s="963">
        <f>SUM(F96:H96)</f>
        <v>34576.455000000002</v>
      </c>
      <c r="J96" s="907">
        <f>I42*C42</f>
        <v>1130.9100000000001</v>
      </c>
      <c r="K96" s="1037">
        <f>J42*((C42/12)*5)</f>
        <v>22.069712500000001</v>
      </c>
      <c r="L96" s="989">
        <f>SUM(I96:K96)</f>
        <v>35729.434712500006</v>
      </c>
      <c r="M96" s="907">
        <f>L42*C42*(5/12)</f>
        <v>493.28221250000007</v>
      </c>
      <c r="N96" s="906">
        <f>M42*((C42/12)*4)</f>
        <v>6.2342500000000003</v>
      </c>
      <c r="O96" s="963">
        <f>SUM(L96:N97)</f>
        <v>35981.089300000007</v>
      </c>
      <c r="Q96" s="1032">
        <v>48209.61</v>
      </c>
      <c r="R96" s="1035">
        <f t="shared" si="4"/>
        <v>-12228.520699999994</v>
      </c>
    </row>
    <row r="97" spans="1:18">
      <c r="A97" s="986"/>
      <c r="B97" s="1010"/>
      <c r="C97" s="1014"/>
      <c r="J97" s="1038"/>
      <c r="L97" s="899"/>
      <c r="M97" s="1011">
        <f>N97*C96*(5/12)</f>
        <v>-3.3618750000000004</v>
      </c>
      <c r="N97" s="1036">
        <f>M43</f>
        <v>-244.5</v>
      </c>
      <c r="Q97" s="1032"/>
      <c r="R97" s="1035">
        <f t="shared" si="4"/>
        <v>0</v>
      </c>
    </row>
    <row r="98" spans="1:18">
      <c r="A98" s="986">
        <v>347</v>
      </c>
      <c r="B98" s="884" t="s">
        <v>1139</v>
      </c>
      <c r="C98" s="926">
        <v>2.5000000000000001E-2</v>
      </c>
      <c r="D98" s="907">
        <v>27169</v>
      </c>
      <c r="E98" s="906">
        <v>4356</v>
      </c>
      <c r="F98" s="989">
        <f>E98+D98</f>
        <v>31525</v>
      </c>
      <c r="G98" s="907">
        <f>F44*C44*0.5</f>
        <v>814.23750000000007</v>
      </c>
      <c r="I98" s="963">
        <f>SUM(F98:H98)</f>
        <v>32339.237499999999</v>
      </c>
      <c r="J98" s="907">
        <f>I44*C44</f>
        <v>1628.4750000000001</v>
      </c>
      <c r="K98" s="906"/>
      <c r="L98" s="989">
        <f>SUM(I98:K98)</f>
        <v>33967.712500000001</v>
      </c>
      <c r="M98" s="907">
        <f>L44*C44*(5/12)</f>
        <v>678.53125000000011</v>
      </c>
      <c r="N98" s="906"/>
      <c r="O98" s="963">
        <f>SUM(L98:N98)</f>
        <v>34646.243750000001</v>
      </c>
      <c r="Q98" s="1032"/>
      <c r="R98" s="1035">
        <f t="shared" si="4"/>
        <v>34646.243750000001</v>
      </c>
    </row>
    <row r="99" spans="1:18">
      <c r="A99" s="986">
        <v>348</v>
      </c>
      <c r="B99" s="884" t="s">
        <v>375</v>
      </c>
      <c r="C99" s="926">
        <v>0.02</v>
      </c>
      <c r="D99" s="907">
        <v>11454</v>
      </c>
      <c r="E99" s="906">
        <v>201</v>
      </c>
      <c r="F99" s="989">
        <f>E99+D99</f>
        <v>11655</v>
      </c>
      <c r="G99" s="907">
        <f>F45*C45*0.5</f>
        <v>200.88</v>
      </c>
      <c r="I99" s="963">
        <f>SUM(F99:H99)</f>
        <v>11855.88</v>
      </c>
      <c r="J99" s="907">
        <f>I45*C45</f>
        <v>401.76</v>
      </c>
      <c r="L99" s="989">
        <f>SUM(I99:K100)</f>
        <v>11934.439999999999</v>
      </c>
      <c r="M99" s="907">
        <f>L45*C45*(5/12)</f>
        <v>164.73333333333335</v>
      </c>
      <c r="N99" s="906">
        <f>M45*((C45/12)*1)</f>
        <v>5.0427999999999997</v>
      </c>
      <c r="O99" s="963">
        <f>SUM(L99:N99)</f>
        <v>12104.216133333332</v>
      </c>
      <c r="Q99" s="1032">
        <v>11406.52</v>
      </c>
      <c r="R99" s="1033">
        <f t="shared" si="4"/>
        <v>697.69613333333109</v>
      </c>
    </row>
    <row r="100" spans="1:18">
      <c r="A100" s="986"/>
      <c r="F100" s="989"/>
      <c r="J100" s="1011">
        <f>K100*C99*0.5</f>
        <v>-3.2</v>
      </c>
      <c r="K100" s="1039">
        <f>J45</f>
        <v>-320</v>
      </c>
      <c r="L100" s="989"/>
      <c r="N100" s="906"/>
      <c r="Q100" s="1032"/>
      <c r="R100" s="1033">
        <f t="shared" si="4"/>
        <v>0</v>
      </c>
    </row>
    <row r="101" spans="1:18" s="997" customFormat="1">
      <c r="A101" s="990"/>
      <c r="B101" s="991" t="s">
        <v>1159</v>
      </c>
      <c r="C101" s="992"/>
      <c r="D101" s="993">
        <f>SUM(D92:D99)</f>
        <v>405965</v>
      </c>
      <c r="E101" s="994">
        <f>SUM(E92:E99)</f>
        <v>-23</v>
      </c>
      <c r="F101" s="995">
        <f>SUM(F92:F99)</f>
        <v>405942</v>
      </c>
      <c r="G101" s="993">
        <f>SUM(G92:G99)</f>
        <v>10562.094999999998</v>
      </c>
      <c r="H101" s="994"/>
      <c r="I101" s="996">
        <f>SUM(I91:I99)</f>
        <v>416504.09500000003</v>
      </c>
      <c r="J101" s="993">
        <f>SUM(J92:J100)</f>
        <v>21120.989999999994</v>
      </c>
      <c r="K101" s="993">
        <f>SUM(K92:K100)</f>
        <v>-297.93028750000002</v>
      </c>
      <c r="L101" s="995">
        <f>SUM(L92:L99)</f>
        <v>437327.15471250005</v>
      </c>
      <c r="M101" s="993">
        <f>SUM(M91:M99)</f>
        <v>8817.7870041666683</v>
      </c>
      <c r="N101" s="994">
        <f>SUM(N96:N99)</f>
        <v>-233.22295</v>
      </c>
      <c r="O101" s="996">
        <f>SUM(O92:O99)</f>
        <v>445911.71876666666</v>
      </c>
      <c r="Q101" s="1034">
        <f>SUM(Q92:Q100)</f>
        <v>411436.63</v>
      </c>
      <c r="R101" s="1040">
        <f>O101-Q101</f>
        <v>34475.088766666653</v>
      </c>
    </row>
    <row r="102" spans="1:18">
      <c r="A102" s="986"/>
      <c r="B102" s="1010"/>
      <c r="C102" s="1014"/>
      <c r="K102" s="906"/>
      <c r="L102" s="899"/>
      <c r="N102" s="906"/>
      <c r="Q102" s="1032"/>
    </row>
    <row r="103" spans="1:18">
      <c r="A103" s="986"/>
      <c r="B103" s="1010" t="s">
        <v>1142</v>
      </c>
      <c r="C103" s="1014"/>
      <c r="E103" s="884"/>
      <c r="K103" s="906"/>
      <c r="L103" s="899"/>
      <c r="N103" s="906"/>
      <c r="Q103" s="1032"/>
    </row>
    <row r="104" spans="1:18">
      <c r="A104" s="986">
        <v>391</v>
      </c>
      <c r="B104" s="884" t="s">
        <v>1143</v>
      </c>
      <c r="C104" s="926">
        <v>0.05</v>
      </c>
      <c r="D104" s="907">
        <v>3049</v>
      </c>
      <c r="E104" s="906">
        <v>316</v>
      </c>
      <c r="F104" s="989">
        <f>E104+D104</f>
        <v>3365</v>
      </c>
      <c r="G104" s="907">
        <f>F49*C49*0.5</f>
        <v>316.22500000000002</v>
      </c>
      <c r="I104" s="963">
        <f>SUM(F104:H104)</f>
        <v>3681.2249999999999</v>
      </c>
      <c r="J104" s="907">
        <f>I49*C49</f>
        <v>632.45000000000005</v>
      </c>
      <c r="K104" s="906"/>
      <c r="L104" s="989">
        <f>SUM(I104:K104)</f>
        <v>4313.6750000000002</v>
      </c>
      <c r="M104" s="907">
        <f>L49*C49*(5/12)</f>
        <v>263.52083333333337</v>
      </c>
      <c r="N104" s="906"/>
      <c r="O104" s="963">
        <f>SUM(L104:N104)</f>
        <v>4577.1958333333332</v>
      </c>
      <c r="Q104" s="1032">
        <v>8059.8</v>
      </c>
      <c r="R104" s="1033">
        <f t="shared" ref="R104:R109" si="5">O104-Q104</f>
        <v>-3482.604166666667</v>
      </c>
    </row>
    <row r="105" spans="1:18">
      <c r="A105" s="986">
        <v>392</v>
      </c>
      <c r="B105" s="884" t="s">
        <v>465</v>
      </c>
      <c r="C105" s="926">
        <v>0.125</v>
      </c>
      <c r="D105" s="907">
        <v>14851</v>
      </c>
      <c r="E105" s="906">
        <v>-4167</v>
      </c>
      <c r="F105" s="989">
        <f>E105+D105</f>
        <v>10684</v>
      </c>
      <c r="G105" s="907">
        <f>F50*C50*0.5</f>
        <v>1134.3125</v>
      </c>
      <c r="I105" s="963">
        <f>SUM(F105:H105)</f>
        <v>11818.3125</v>
      </c>
      <c r="J105" s="907">
        <f>I50*C50</f>
        <v>2268.625</v>
      </c>
      <c r="K105" s="906"/>
      <c r="L105" s="989">
        <f>SUM(I105:K105)</f>
        <v>14086.9375</v>
      </c>
      <c r="M105" s="907">
        <f>L50*C50*(5/12)</f>
        <v>945.26041666666674</v>
      </c>
      <c r="N105" s="906"/>
      <c r="O105" s="963">
        <f>SUM(L105:N105)</f>
        <v>15032.197916666666</v>
      </c>
      <c r="Q105" s="1032">
        <v>18149</v>
      </c>
      <c r="R105" s="1033">
        <f t="shared" si="5"/>
        <v>-3116.8020833333339</v>
      </c>
    </row>
    <row r="106" spans="1:18">
      <c r="A106" s="986">
        <v>394</v>
      </c>
      <c r="B106" s="884" t="s">
        <v>1144</v>
      </c>
      <c r="C106" s="926">
        <v>0.05</v>
      </c>
      <c r="D106" s="907">
        <v>886</v>
      </c>
      <c r="E106" s="906">
        <v>51</v>
      </c>
      <c r="F106" s="989">
        <f>E106+D106</f>
        <v>937</v>
      </c>
      <c r="G106" s="907">
        <f>F51*C51*0.5</f>
        <v>50.625</v>
      </c>
      <c r="I106" s="963">
        <f>SUM(F106:H106)</f>
        <v>987.625</v>
      </c>
      <c r="J106" s="907">
        <f>I51*C51</f>
        <v>101.25</v>
      </c>
      <c r="K106" s="906">
        <f>J51*((C51/12)*10)</f>
        <v>4.8495833333333334</v>
      </c>
      <c r="L106" s="989">
        <f>SUM(I106:K106)</f>
        <v>1093.7245833333334</v>
      </c>
      <c r="M106" s="907">
        <f>L51*C51*(5/12)</f>
        <v>44.612291666666671</v>
      </c>
      <c r="N106" s="906">
        <f>M51*(($C$51/12)*4)</f>
        <v>4.3591666666666669</v>
      </c>
      <c r="O106" s="963">
        <f>SUM(L106:N108)</f>
        <v>1149.6287916666665</v>
      </c>
      <c r="Q106" s="1032">
        <v>1236.1099999999999</v>
      </c>
      <c r="R106" s="1033">
        <f t="shared" si="5"/>
        <v>-86.48120833333337</v>
      </c>
    </row>
    <row r="107" spans="1:18">
      <c r="A107" s="986"/>
      <c r="B107" s="1010"/>
      <c r="C107" s="1014"/>
      <c r="L107" s="899"/>
      <c r="N107" s="906">
        <f>M52*(($C$51/12)*3)</f>
        <v>3.9553750000000001</v>
      </c>
      <c r="Q107" s="1032"/>
      <c r="R107" s="1033">
        <f t="shared" si="5"/>
        <v>0</v>
      </c>
    </row>
    <row r="108" spans="1:18">
      <c r="A108" s="986"/>
      <c r="B108" s="1010"/>
      <c r="C108" s="1014"/>
      <c r="K108" s="906"/>
      <c r="L108" s="899"/>
      <c r="N108" s="906">
        <f>M53*(($C$51/12)*3)</f>
        <v>2.9773750000000003</v>
      </c>
      <c r="Q108" s="1032"/>
      <c r="R108" s="1033">
        <f t="shared" si="5"/>
        <v>0</v>
      </c>
    </row>
    <row r="109" spans="1:18">
      <c r="A109" s="986">
        <v>396</v>
      </c>
      <c r="B109" s="884" t="s">
        <v>1145</v>
      </c>
      <c r="C109" s="926">
        <v>0</v>
      </c>
      <c r="D109" s="907">
        <v>23559</v>
      </c>
      <c r="E109" s="884"/>
      <c r="F109" s="989">
        <f>E109+D109</f>
        <v>23559</v>
      </c>
      <c r="I109" s="963">
        <f>SUM(F109:H109)</f>
        <v>23559</v>
      </c>
      <c r="J109" s="907">
        <f>I54*C54</f>
        <v>0</v>
      </c>
      <c r="K109" s="906"/>
      <c r="L109" s="989">
        <f>SUM(I109:K109)</f>
        <v>23559</v>
      </c>
      <c r="M109" s="907">
        <f>J109</f>
        <v>0</v>
      </c>
      <c r="N109" s="906"/>
      <c r="O109" s="963">
        <f>SUM(L109:N109)</f>
        <v>23559</v>
      </c>
      <c r="Q109" s="1032"/>
      <c r="R109" s="1033">
        <f t="shared" si="5"/>
        <v>23559</v>
      </c>
    </row>
    <row r="110" spans="1:18" s="997" customFormat="1">
      <c r="A110" s="1018"/>
      <c r="B110" s="991" t="s">
        <v>1160</v>
      </c>
      <c r="C110" s="992"/>
      <c r="D110" s="993">
        <f>SUM(D104:D109)</f>
        <v>42345</v>
      </c>
      <c r="E110" s="994">
        <f>SUM(E104:E109)</f>
        <v>-3800</v>
      </c>
      <c r="F110" s="996">
        <f>SUM(F104:F109)</f>
        <v>38545</v>
      </c>
      <c r="G110" s="993">
        <f>SUM(G104:G109)</f>
        <v>1501.1624999999999</v>
      </c>
      <c r="H110" s="994"/>
      <c r="I110" s="996">
        <f>SUM(I104:I109)</f>
        <v>40046.162499999999</v>
      </c>
      <c r="J110" s="993">
        <f>SUM(J104:J109)</f>
        <v>3002.3249999999998</v>
      </c>
      <c r="K110" s="994">
        <f>K106</f>
        <v>4.8495833333333334</v>
      </c>
      <c r="L110" s="996">
        <f>SUM(L103:L109)</f>
        <v>43053.337083333332</v>
      </c>
      <c r="M110" s="993">
        <f>SUM(M104:M109)</f>
        <v>1253.3935416666666</v>
      </c>
      <c r="N110" s="993">
        <f>SUM(N104:N109)</f>
        <v>11.291916666666667</v>
      </c>
      <c r="O110" s="996">
        <f>SUM(O104:O109)</f>
        <v>44318.022541666665</v>
      </c>
      <c r="Q110" s="1034">
        <f>SUM(Q104:Q109)</f>
        <v>27444.91</v>
      </c>
      <c r="R110" s="1034">
        <f>SUM(R104:R109)</f>
        <v>16873.112541666665</v>
      </c>
    </row>
    <row r="111" spans="1:18">
      <c r="K111" s="906"/>
      <c r="N111" s="906"/>
      <c r="Q111" s="1032"/>
    </row>
    <row r="112" spans="1:18" s="997" customFormat="1">
      <c r="A112" s="1018"/>
      <c r="B112" s="991" t="s">
        <v>1161</v>
      </c>
      <c r="C112" s="992"/>
      <c r="D112" s="1041">
        <f>D110+D101+D89+D85+D72+D67</f>
        <v>574738</v>
      </c>
      <c r="E112" s="1040">
        <f>E110+E101+E89+E85+E72+E67</f>
        <v>-35387</v>
      </c>
      <c r="F112" s="995">
        <f>F110+F101+F89+F85+F72+F67</f>
        <v>539351</v>
      </c>
      <c r="G112" s="993">
        <f t="shared" ref="G112:O112" si="6">G110+G101+G89+G85+G72</f>
        <v>20396.750999999997</v>
      </c>
      <c r="H112" s="994">
        <f t="shared" si="6"/>
        <v>-7796.0537549999999</v>
      </c>
      <c r="I112" s="996">
        <f t="shared" si="6"/>
        <v>551951.69724500005</v>
      </c>
      <c r="J112" s="993">
        <f t="shared" si="6"/>
        <v>41988.61198999999</v>
      </c>
      <c r="K112" s="994">
        <f t="shared" si="6"/>
        <v>-2954.1785</v>
      </c>
      <c r="L112" s="996">
        <f t="shared" si="6"/>
        <v>590986.13073500013</v>
      </c>
      <c r="M112" s="993">
        <f t="shared" si="6"/>
        <v>18529.020116666667</v>
      </c>
      <c r="N112" s="993">
        <f t="shared" si="6"/>
        <v>-136.66336666666666</v>
      </c>
      <c r="O112" s="996">
        <f t="shared" si="6"/>
        <v>609378.48748499993</v>
      </c>
      <c r="Q112" s="1034">
        <f>Q72+Q85+Q89+Q101++Q110</f>
        <v>606923.62</v>
      </c>
      <c r="R112" s="1034">
        <f>R72+R85+R89+R101++R110</f>
        <v>2454.8674849999989</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workbookViewId="0"/>
  </sheetViews>
  <sheetFormatPr defaultRowHeight="15"/>
  <cols>
    <col min="1" max="1" width="2.7109375" style="389" customWidth="1"/>
    <col min="2" max="2" width="37.85546875" style="389" customWidth="1"/>
    <col min="3" max="6" width="20.7109375" style="389" customWidth="1"/>
    <col min="7" max="7" width="2" style="822" customWidth="1"/>
    <col min="8" max="8" width="3.140625" style="327" bestFit="1" customWidth="1"/>
    <col min="9" max="9" width="3.140625" style="327" customWidth="1"/>
    <col min="10" max="16384" width="9.140625" style="389"/>
  </cols>
  <sheetData>
    <row r="1" spans="1:14" s="21" customFormat="1" ht="15" customHeight="1">
      <c r="A1" s="117">
        <v>1</v>
      </c>
      <c r="B1" s="117"/>
      <c r="E1" s="285" t="s">
        <v>149</v>
      </c>
      <c r="F1" s="286">
        <f>IF(Cover!D13&gt;0, Cover!D13, "")</f>
        <v>2011</v>
      </c>
      <c r="G1" s="57"/>
      <c r="H1" s="57"/>
      <c r="I1" s="57"/>
      <c r="J1" s="57"/>
      <c r="L1" s="285"/>
      <c r="M1" s="285"/>
      <c r="N1" s="285"/>
    </row>
    <row r="2" spans="1:14" s="21" customFormat="1" ht="12.75">
      <c r="A2" s="117">
        <v>2</v>
      </c>
      <c r="B2" s="285" t="s">
        <v>150</v>
      </c>
      <c r="C2" s="1166" t="str">
        <f>IF(Cover!A1&gt;0, Cover!A1, "")</f>
        <v>Algonquin Water Resources of Missouri, LLC dba Liberty Utilities</v>
      </c>
      <c r="D2" s="1166"/>
      <c r="E2" s="1166"/>
      <c r="F2" s="1166"/>
      <c r="G2" s="293"/>
      <c r="H2" s="293"/>
      <c r="I2" s="293"/>
      <c r="J2" s="293"/>
      <c r="K2" s="293"/>
      <c r="L2" s="293"/>
      <c r="M2" s="293"/>
      <c r="N2" s="293"/>
    </row>
    <row r="3" spans="1:14" s="118" customFormat="1" ht="40.5" customHeight="1" thickBot="1">
      <c r="A3" s="117"/>
      <c r="B3" s="1441" t="s">
        <v>407</v>
      </c>
      <c r="C3" s="1441"/>
      <c r="D3" s="1441"/>
      <c r="E3" s="1441"/>
      <c r="F3" s="1441"/>
      <c r="G3" s="822"/>
      <c r="H3" s="407"/>
      <c r="I3" s="1240"/>
    </row>
    <row r="4" spans="1:14" s="817" customFormat="1">
      <c r="A4" s="117">
        <v>13</v>
      </c>
      <c r="B4" s="569"/>
      <c r="C4" s="570" t="s">
        <v>408</v>
      </c>
      <c r="D4" s="570" t="s">
        <v>408</v>
      </c>
      <c r="E4" s="570" t="s">
        <v>408</v>
      </c>
      <c r="F4" s="571" t="s">
        <v>408</v>
      </c>
      <c r="G4" s="822"/>
      <c r="H4" s="572"/>
      <c r="I4" s="1240"/>
    </row>
    <row r="5" spans="1:14" s="118" customFormat="1" ht="30" customHeight="1" thickBot="1">
      <c r="A5" s="117"/>
      <c r="B5" s="573"/>
      <c r="C5" s="574"/>
      <c r="D5" s="574"/>
      <c r="E5" s="574"/>
      <c r="F5" s="575"/>
      <c r="G5" s="822"/>
      <c r="H5" s="576"/>
      <c r="I5" s="1240"/>
    </row>
    <row r="6" spans="1:14" s="239" customFormat="1">
      <c r="A6" s="284"/>
      <c r="B6" s="577"/>
      <c r="C6" s="578"/>
      <c r="D6" s="578"/>
      <c r="E6" s="578"/>
      <c r="F6" s="579"/>
      <c r="H6" s="576"/>
      <c r="I6" s="1240"/>
    </row>
    <row r="7" spans="1:14" s="239" customFormat="1" ht="32.1" customHeight="1">
      <c r="A7" s="284">
        <v>14</v>
      </c>
      <c r="B7" s="577" t="s">
        <v>409</v>
      </c>
      <c r="C7" s="219" t="s">
        <v>999</v>
      </c>
      <c r="D7" s="219"/>
      <c r="E7" s="219"/>
      <c r="F7" s="220"/>
      <c r="H7" s="576"/>
      <c r="I7" s="1240"/>
    </row>
    <row r="8" spans="1:14" s="239" customFormat="1" ht="32.1" customHeight="1">
      <c r="A8" s="284">
        <v>15</v>
      </c>
      <c r="B8" s="577" t="s">
        <v>410</v>
      </c>
      <c r="C8" s="219">
        <v>1903</v>
      </c>
      <c r="D8" s="219">
        <v>1957</v>
      </c>
      <c r="E8" s="219">
        <v>1958</v>
      </c>
      <c r="F8" s="220">
        <v>1955</v>
      </c>
      <c r="H8" s="576"/>
      <c r="I8" s="1240"/>
    </row>
    <row r="9" spans="1:14" s="239" customFormat="1" ht="32.1" customHeight="1">
      <c r="A9" s="284">
        <v>16</v>
      </c>
      <c r="B9" s="577" t="s">
        <v>411</v>
      </c>
      <c r="C9" s="219" t="s">
        <v>1000</v>
      </c>
      <c r="D9" s="219" t="s">
        <v>1000</v>
      </c>
      <c r="E9" s="219" t="s">
        <v>1000</v>
      </c>
      <c r="F9" s="219" t="s">
        <v>1000</v>
      </c>
      <c r="H9" s="576"/>
      <c r="I9" s="1240"/>
    </row>
    <row r="10" spans="1:14" s="239" customFormat="1" ht="32.1" customHeight="1">
      <c r="A10" s="284">
        <v>17</v>
      </c>
      <c r="B10" s="577" t="s">
        <v>412</v>
      </c>
      <c r="C10" s="219" t="s">
        <v>878</v>
      </c>
      <c r="D10" s="219" t="s">
        <v>878</v>
      </c>
      <c r="E10" s="219" t="s">
        <v>878</v>
      </c>
      <c r="F10" s="219" t="s">
        <v>878</v>
      </c>
      <c r="H10" s="576"/>
      <c r="I10" s="1240"/>
    </row>
    <row r="11" spans="1:14" s="239" customFormat="1" ht="32.1" customHeight="1">
      <c r="A11" s="284">
        <v>18</v>
      </c>
      <c r="B11" s="577" t="s">
        <v>413</v>
      </c>
      <c r="C11" s="219" t="s">
        <v>1001</v>
      </c>
      <c r="D11" s="219" t="s">
        <v>1003</v>
      </c>
      <c r="E11" s="219" t="s">
        <v>1004</v>
      </c>
      <c r="F11" s="220" t="s">
        <v>1005</v>
      </c>
      <c r="H11" s="576"/>
      <c r="I11" s="1240"/>
    </row>
    <row r="12" spans="1:14" s="239" customFormat="1" ht="32.1" customHeight="1">
      <c r="A12" s="284">
        <v>19</v>
      </c>
      <c r="B12" s="577" t="s">
        <v>414</v>
      </c>
      <c r="C12" s="849">
        <v>11300</v>
      </c>
      <c r="D12" s="219">
        <v>14500</v>
      </c>
      <c r="E12" s="219">
        <v>11900</v>
      </c>
      <c r="F12" s="220">
        <v>14300</v>
      </c>
      <c r="H12" s="576"/>
      <c r="I12" s="1240"/>
    </row>
    <row r="13" spans="1:14" s="239" customFormat="1" ht="32.1" customHeight="1">
      <c r="A13" s="284">
        <v>20</v>
      </c>
      <c r="B13" s="580" t="s">
        <v>647</v>
      </c>
      <c r="C13" s="219"/>
      <c r="D13" s="219"/>
      <c r="E13" s="219"/>
      <c r="F13" s="219"/>
      <c r="H13" s="576"/>
      <c r="I13" s="1240"/>
    </row>
    <row r="14" spans="1:14" s="239" customFormat="1" ht="32.1" customHeight="1">
      <c r="A14" s="284">
        <v>21</v>
      </c>
      <c r="B14" s="577" t="s">
        <v>415</v>
      </c>
      <c r="C14" s="219" t="s">
        <v>1002</v>
      </c>
      <c r="D14" s="219"/>
      <c r="E14" s="219"/>
      <c r="F14" s="220"/>
      <c r="H14" s="576"/>
      <c r="I14" s="1240"/>
    </row>
    <row r="15" spans="1:14" s="239" customFormat="1" ht="32.1" customHeight="1">
      <c r="A15" s="284">
        <v>22</v>
      </c>
      <c r="B15" s="577" t="s">
        <v>416</v>
      </c>
      <c r="C15" s="219">
        <v>0.76</v>
      </c>
      <c r="D15" s="219">
        <v>0.76</v>
      </c>
      <c r="E15" s="219">
        <v>0.76</v>
      </c>
      <c r="F15" s="219">
        <v>0.76</v>
      </c>
      <c r="H15" s="576"/>
      <c r="I15" s="1240"/>
    </row>
    <row r="16" spans="1:14" s="239" customFormat="1" ht="32.1" customHeight="1" thickBot="1">
      <c r="A16" s="284">
        <v>23</v>
      </c>
      <c r="B16" s="191" t="s">
        <v>417</v>
      </c>
      <c r="C16" s="221">
        <v>2100</v>
      </c>
      <c r="D16" s="221">
        <v>1500</v>
      </c>
      <c r="E16" s="221">
        <v>1500</v>
      </c>
      <c r="F16" s="222">
        <v>1200</v>
      </c>
      <c r="G16" s="239">
        <v>450</v>
      </c>
      <c r="H16" s="576"/>
      <c r="I16" s="576">
        <f>IF(Cover!D13&gt;0, Cover!D13, "")</f>
        <v>2011</v>
      </c>
    </row>
    <row r="17" spans="1:9" s="118" customFormat="1" ht="40.5" customHeight="1">
      <c r="A17" s="1444" t="s">
        <v>817</v>
      </c>
      <c r="B17" s="239"/>
      <c r="C17" s="822"/>
      <c r="D17" s="822"/>
      <c r="E17" s="821"/>
      <c r="F17" s="822"/>
      <c r="G17" s="822"/>
      <c r="H17" s="576"/>
      <c r="I17" s="576"/>
    </row>
    <row r="18" spans="1:9" s="118" customFormat="1" ht="24.75" customHeight="1">
      <c r="A18" s="1444"/>
      <c r="E18" s="1442"/>
      <c r="F18" s="1443"/>
      <c r="G18" s="822"/>
      <c r="H18" s="576"/>
      <c r="I18" s="576"/>
    </row>
    <row r="19" spans="1:9" ht="12.75" customHeight="1">
      <c r="A19" s="1444"/>
      <c r="E19" s="118" t="s">
        <v>13</v>
      </c>
      <c r="F19" s="118"/>
      <c r="H19" s="576"/>
    </row>
    <row r="20" spans="1:9" s="97" customFormat="1">
      <c r="G20" s="237"/>
      <c r="H20" s="101"/>
      <c r="I20" s="101"/>
    </row>
    <row r="21" spans="1:9" s="97" customFormat="1">
      <c r="G21" s="237"/>
      <c r="H21" s="101"/>
      <c r="I21" s="101"/>
    </row>
    <row r="22" spans="1:9" s="97" customFormat="1">
      <c r="G22" s="237"/>
      <c r="H22" s="101"/>
      <c r="I22" s="101"/>
    </row>
    <row r="23" spans="1:9" s="97" customFormat="1">
      <c r="G23" s="237"/>
      <c r="H23" s="101"/>
      <c r="I23" s="101"/>
    </row>
    <row r="24" spans="1:9" s="97" customFormat="1">
      <c r="G24" s="237"/>
      <c r="H24" s="101"/>
      <c r="I24" s="101"/>
    </row>
    <row r="25" spans="1:9" s="97" customFormat="1">
      <c r="G25" s="237"/>
      <c r="H25" s="101"/>
      <c r="I25" s="101"/>
    </row>
    <row r="26" spans="1:9" s="97" customFormat="1">
      <c r="G26" s="237"/>
      <c r="H26" s="101"/>
      <c r="I26" s="101"/>
    </row>
    <row r="27" spans="1:9" s="97" customFormat="1">
      <c r="G27" s="237"/>
      <c r="H27" s="101"/>
      <c r="I27" s="101"/>
    </row>
    <row r="32" spans="1:9">
      <c r="G32" s="529"/>
    </row>
    <row r="43" spans="5:8">
      <c r="H43" s="413"/>
    </row>
    <row r="44" spans="5:8">
      <c r="E44" s="21"/>
    </row>
    <row r="45" spans="5:8">
      <c r="E45" s="21" t="s">
        <v>14</v>
      </c>
    </row>
    <row r="46" spans="5:8">
      <c r="E46" s="21" t="s">
        <v>15</v>
      </c>
    </row>
  </sheetData>
  <mergeCells count="5">
    <mergeCell ref="C2:F2"/>
    <mergeCell ref="B3:F3"/>
    <mergeCell ref="I3:I15"/>
    <mergeCell ref="A17:A19"/>
    <mergeCell ref="E18:F18"/>
  </mergeCells>
  <dataValidations count="2">
    <dataValidation allowBlank="1" showInputMessage="1" prompt="This field is to be used when filing under seal." sqref="E44:E46"/>
    <dataValidation type="list" allowBlank="1" showInputMessage="1" showErrorMessage="1" sqref="E18:F18">
      <formula1>$E$44:$E$46</formula1>
    </dataValidation>
  </dataValidations>
  <pageMargins left="0.7" right="0.7" top="0.75" bottom="0.75" header="0.3" footer="0.3"/>
  <pageSetup scale="68"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64"/>
  <sheetViews>
    <sheetView showGridLines="0" topLeftCell="A11" zoomScaleNormal="100" zoomScaleSheetLayoutView="100" workbookViewId="0">
      <selection activeCell="F42" sqref="F42"/>
    </sheetView>
  </sheetViews>
  <sheetFormatPr defaultRowHeight="15"/>
  <cols>
    <col min="1" max="1" width="3.5703125" style="118" bestFit="1" customWidth="1"/>
    <col min="2" max="2" width="2.7109375" style="117" customWidth="1"/>
    <col min="3" max="3" width="35.5703125" style="118" customWidth="1"/>
    <col min="4" max="4" width="12.140625" style="118" customWidth="1"/>
    <col min="5" max="5" width="16.5703125" style="118" bestFit="1" customWidth="1"/>
    <col min="6" max="6" width="14.7109375" style="118" customWidth="1"/>
    <col min="7" max="7" width="18.140625" style="118" customWidth="1"/>
    <col min="8" max="8" width="19.42578125" style="118" customWidth="1"/>
    <col min="9" max="9" width="18.28515625" style="118" customWidth="1"/>
    <col min="10" max="10" width="1" style="174" customWidth="1"/>
    <col min="11" max="11" width="3.28515625" style="327" customWidth="1"/>
    <col min="12" max="12" width="3.140625" style="327" customWidth="1"/>
    <col min="13" max="16384" width="9.140625" style="118"/>
  </cols>
  <sheetData>
    <row r="1" spans="2:256" ht="12.75" customHeight="1" thickBot="1">
      <c r="C1" s="1171" t="s">
        <v>418</v>
      </c>
      <c r="D1" s="1171"/>
      <c r="E1" s="1171"/>
      <c r="F1" s="1171"/>
      <c r="G1" s="1171"/>
      <c r="H1" s="1171"/>
      <c r="I1" s="1171"/>
      <c r="K1" s="406">
        <v>2</v>
      </c>
      <c r="L1" s="406">
        <v>1</v>
      </c>
    </row>
    <row r="2" spans="2:256" ht="78.75" customHeight="1" thickBot="1">
      <c r="C2" s="565" t="s">
        <v>621</v>
      </c>
      <c r="D2" s="582" t="s">
        <v>620</v>
      </c>
      <c r="E2" s="582" t="s">
        <v>619</v>
      </c>
      <c r="F2" s="582" t="s">
        <v>618</v>
      </c>
      <c r="G2" s="582" t="s">
        <v>617</v>
      </c>
      <c r="H2" s="582" t="s">
        <v>616</v>
      </c>
      <c r="I2" s="583" t="s">
        <v>615</v>
      </c>
      <c r="K2" s="470" t="s">
        <v>231</v>
      </c>
      <c r="L2" s="1240" t="s">
        <v>149</v>
      </c>
    </row>
    <row r="3" spans="2:256" ht="24" customHeight="1">
      <c r="B3" s="117">
        <v>3</v>
      </c>
      <c r="C3" s="596" t="s">
        <v>419</v>
      </c>
      <c r="D3" s="852" t="s">
        <v>1016</v>
      </c>
      <c r="E3" s="195">
        <v>653</v>
      </c>
      <c r="F3" s="195">
        <f>H3-E3</f>
        <v>1081</v>
      </c>
      <c r="G3" s="195"/>
      <c r="H3" s="195">
        <v>1734</v>
      </c>
      <c r="I3" s="196"/>
      <c r="K3" s="1301" t="str">
        <f>IF(Cover!A1&gt;0, Cover!A1, "")</f>
        <v>Algonquin Water Resources of Missouri, LLC dba Liberty Utilities</v>
      </c>
      <c r="L3" s="1240"/>
    </row>
    <row r="4" spans="2:256" ht="24" customHeight="1">
      <c r="B4" s="117">
        <v>4</v>
      </c>
      <c r="C4" s="185"/>
      <c r="D4" s="853">
        <v>1</v>
      </c>
      <c r="E4" s="195">
        <v>21</v>
      </c>
      <c r="F4" s="195">
        <f>H4-E4</f>
        <v>18</v>
      </c>
      <c r="G4" s="195"/>
      <c r="H4" s="195">
        <v>39</v>
      </c>
      <c r="I4" s="196"/>
      <c r="K4" s="1301"/>
      <c r="L4" s="1240"/>
    </row>
    <row r="5" spans="2:256" ht="24" customHeight="1">
      <c r="B5" s="117">
        <v>5</v>
      </c>
      <c r="C5" s="185"/>
      <c r="D5" s="853"/>
      <c r="E5" s="195"/>
      <c r="F5" s="195"/>
      <c r="G5" s="195"/>
      <c r="H5" s="195"/>
      <c r="I5" s="196"/>
      <c r="K5" s="1301"/>
      <c r="L5" s="1240"/>
    </row>
    <row r="6" spans="2:256" ht="24" customHeight="1">
      <c r="B6" s="117">
        <v>6</v>
      </c>
      <c r="C6" s="185"/>
      <c r="D6" s="194"/>
      <c r="E6" s="195"/>
      <c r="F6" s="195"/>
      <c r="G6" s="195"/>
      <c r="H6" s="195"/>
      <c r="I6" s="196"/>
      <c r="K6" s="1301"/>
      <c r="L6" s="1240"/>
    </row>
    <row r="7" spans="2:256" ht="24" customHeight="1">
      <c r="B7" s="117">
        <v>7</v>
      </c>
      <c r="C7" s="596" t="s">
        <v>420</v>
      </c>
      <c r="D7" s="194"/>
      <c r="E7" s="195"/>
      <c r="F7" s="195"/>
      <c r="G7" s="195"/>
      <c r="H7" s="195"/>
      <c r="I7" s="196"/>
      <c r="K7" s="1301"/>
      <c r="L7" s="1240"/>
    </row>
    <row r="8" spans="2:256" ht="24" customHeight="1">
      <c r="B8" s="117">
        <v>8</v>
      </c>
      <c r="C8" s="185" t="s">
        <v>301</v>
      </c>
      <c r="D8" s="194">
        <v>2</v>
      </c>
      <c r="E8" s="195">
        <v>93</v>
      </c>
      <c r="F8" s="195">
        <f>H8-E8</f>
        <v>10</v>
      </c>
      <c r="G8" s="195"/>
      <c r="H8" s="195">
        <v>103</v>
      </c>
      <c r="I8" s="196"/>
      <c r="K8" s="1301"/>
      <c r="L8" s="1240"/>
    </row>
    <row r="9" spans="2:256" ht="24" customHeight="1">
      <c r="B9" s="117">
        <v>9</v>
      </c>
      <c r="C9" s="185"/>
      <c r="D9" s="194"/>
      <c r="E9" s="195"/>
      <c r="F9" s="195"/>
      <c r="G9" s="195"/>
      <c r="H9" s="195"/>
      <c r="I9" s="196"/>
      <c r="K9" s="1301"/>
      <c r="L9" s="1240"/>
    </row>
    <row r="10" spans="2:256" ht="24" customHeight="1">
      <c r="B10" s="117">
        <v>10</v>
      </c>
      <c r="C10" s="594" t="s">
        <v>421</v>
      </c>
      <c r="D10" s="584" t="s">
        <v>422</v>
      </c>
      <c r="E10" s="585">
        <f>SUM(E3:E9)</f>
        <v>767</v>
      </c>
      <c r="F10" s="585">
        <f>SUM(F3:F9)</f>
        <v>1109</v>
      </c>
      <c r="G10" s="585">
        <f>SUM(G3:G9)</f>
        <v>0</v>
      </c>
      <c r="H10" s="585">
        <f>SUM(H3:H9)</f>
        <v>1876</v>
      </c>
      <c r="I10" s="585">
        <f>SUM(I3:I9)</f>
        <v>0</v>
      </c>
      <c r="K10" s="1301"/>
      <c r="L10" s="1240"/>
      <c r="IV10" s="585">
        <f>SUM(IV3:IV9)</f>
        <v>0</v>
      </c>
    </row>
    <row r="11" spans="2:256" ht="24" customHeight="1">
      <c r="B11" s="117">
        <v>11</v>
      </c>
      <c r="C11" s="594" t="s">
        <v>423</v>
      </c>
      <c r="D11" s="194"/>
      <c r="E11" s="195"/>
      <c r="F11" s="195"/>
      <c r="G11" s="195"/>
      <c r="H11" s="195"/>
      <c r="I11" s="586" t="s">
        <v>422</v>
      </c>
      <c r="K11" s="1301"/>
      <c r="L11" s="1240"/>
    </row>
    <row r="12" spans="2:256" ht="24" customHeight="1">
      <c r="B12" s="117">
        <v>12</v>
      </c>
      <c r="C12" s="185"/>
      <c r="D12" s="194"/>
      <c r="E12" s="195"/>
      <c r="F12" s="195"/>
      <c r="G12" s="195"/>
      <c r="H12" s="195"/>
      <c r="I12" s="586" t="s">
        <v>422</v>
      </c>
      <c r="K12" s="1301"/>
      <c r="L12" s="1240"/>
    </row>
    <row r="13" spans="2:256" ht="24" customHeight="1">
      <c r="B13" s="117">
        <v>13</v>
      </c>
      <c r="C13" s="185"/>
      <c r="D13" s="194"/>
      <c r="E13" s="195"/>
      <c r="F13" s="195"/>
      <c r="G13" s="195"/>
      <c r="H13" s="195"/>
      <c r="I13" s="586" t="s">
        <v>422</v>
      </c>
      <c r="K13" s="1301"/>
      <c r="L13" s="1240"/>
    </row>
    <row r="14" spans="2:256" ht="24" customHeight="1" thickBot="1">
      <c r="B14" s="117">
        <v>14</v>
      </c>
      <c r="C14" s="595" t="s">
        <v>424</v>
      </c>
      <c r="D14" s="587" t="s">
        <v>422</v>
      </c>
      <c r="E14" s="588">
        <f>SUM(E10:E13)</f>
        <v>767</v>
      </c>
      <c r="F14" s="588">
        <f>SUM(F10:F13)</f>
        <v>1109</v>
      </c>
      <c r="G14" s="588">
        <f>SUM(G10:G13)</f>
        <v>0</v>
      </c>
      <c r="H14" s="588">
        <f>SUM(H10:H13)</f>
        <v>1876</v>
      </c>
      <c r="I14" s="589">
        <f>I10</f>
        <v>0</v>
      </c>
      <c r="K14" s="1301"/>
      <c r="L14" s="1240"/>
    </row>
    <row r="15" spans="2:256" ht="8.1" customHeight="1">
      <c r="C15" s="174"/>
      <c r="D15" s="174"/>
      <c r="E15" s="174"/>
      <c r="F15" s="174"/>
      <c r="G15" s="174"/>
      <c r="H15" s="174"/>
      <c r="I15" s="174"/>
      <c r="K15" s="1301"/>
      <c r="L15" s="1240"/>
    </row>
    <row r="16" spans="2:256" ht="15.75" thickBot="1">
      <c r="C16" s="1171" t="s">
        <v>425</v>
      </c>
      <c r="D16" s="1171"/>
      <c r="E16" s="1171"/>
      <c r="F16" s="1171"/>
      <c r="G16" s="1171"/>
      <c r="H16" s="1171"/>
      <c r="I16" s="1171"/>
      <c r="K16" s="1301"/>
      <c r="L16" s="1240"/>
    </row>
    <row r="17" spans="1:12" ht="69.75" thickBot="1">
      <c r="C17" s="1452" t="s">
        <v>625</v>
      </c>
      <c r="D17" s="1453"/>
      <c r="E17" s="1453"/>
      <c r="F17" s="1454"/>
      <c r="G17" s="590" t="s">
        <v>622</v>
      </c>
      <c r="H17" s="590" t="s">
        <v>623</v>
      </c>
      <c r="I17" s="591" t="s">
        <v>624</v>
      </c>
      <c r="K17" s="1301"/>
      <c r="L17" s="1240"/>
    </row>
    <row r="18" spans="1:12" ht="24" customHeight="1">
      <c r="B18" s="117">
        <v>15</v>
      </c>
      <c r="C18" s="1446" t="s">
        <v>1049</v>
      </c>
      <c r="D18" s="1447"/>
      <c r="E18" s="1447"/>
      <c r="F18" s="1448"/>
      <c r="G18" s="187" t="s">
        <v>878</v>
      </c>
      <c r="H18" s="187"/>
      <c r="I18" s="190">
        <v>213000</v>
      </c>
      <c r="K18" s="1301"/>
      <c r="L18" s="1240"/>
    </row>
    <row r="19" spans="1:12" ht="24" customHeight="1">
      <c r="B19" s="117">
        <v>16</v>
      </c>
      <c r="C19" s="1446" t="s">
        <v>1052</v>
      </c>
      <c r="D19" s="1447"/>
      <c r="E19" s="1447"/>
      <c r="F19" s="1448"/>
      <c r="G19" s="187" t="s">
        <v>878</v>
      </c>
      <c r="H19" s="187"/>
      <c r="I19" s="190">
        <v>10000</v>
      </c>
      <c r="K19" s="1301"/>
      <c r="L19" s="1240"/>
    </row>
    <row r="20" spans="1:12" ht="24" customHeight="1">
      <c r="A20" s="1445" t="s">
        <v>426</v>
      </c>
      <c r="B20" s="117">
        <v>17</v>
      </c>
      <c r="C20" s="1446" t="s">
        <v>1050</v>
      </c>
      <c r="D20" s="1447"/>
      <c r="E20" s="1447"/>
      <c r="F20" s="1448"/>
      <c r="G20" s="187" t="s">
        <v>878</v>
      </c>
      <c r="H20" s="187"/>
      <c r="I20" s="190">
        <f>121600+129700</f>
        <v>251300</v>
      </c>
      <c r="K20" s="1301"/>
      <c r="L20" s="1240"/>
    </row>
    <row r="21" spans="1:12" ht="24" customHeight="1">
      <c r="A21" s="1445"/>
      <c r="B21" s="117">
        <v>18</v>
      </c>
      <c r="C21" s="1446" t="s">
        <v>1051</v>
      </c>
      <c r="D21" s="1447"/>
      <c r="E21" s="1447"/>
      <c r="F21" s="1448"/>
      <c r="G21" s="187" t="s">
        <v>878</v>
      </c>
      <c r="H21" s="187"/>
      <c r="I21" s="190">
        <v>20000</v>
      </c>
      <c r="K21" s="1301"/>
      <c r="L21" s="1240"/>
    </row>
    <row r="22" spans="1:12" ht="24" customHeight="1">
      <c r="A22" s="1445"/>
      <c r="C22" s="860" t="s">
        <v>1053</v>
      </c>
      <c r="D22" s="861"/>
      <c r="E22" s="861"/>
      <c r="F22" s="862"/>
      <c r="G22" s="187" t="s">
        <v>878</v>
      </c>
      <c r="H22" s="187"/>
      <c r="I22" s="190">
        <v>100000</v>
      </c>
      <c r="J22" s="859"/>
      <c r="K22" s="1301"/>
      <c r="L22" s="858"/>
    </row>
    <row r="23" spans="1:12" ht="24" customHeight="1">
      <c r="A23" s="1445"/>
      <c r="C23" s="860" t="s">
        <v>1054</v>
      </c>
      <c r="D23" s="861"/>
      <c r="E23" s="861"/>
      <c r="F23" s="862"/>
      <c r="G23" s="187" t="s">
        <v>878</v>
      </c>
      <c r="H23" s="187"/>
      <c r="I23" s="190">
        <v>10000</v>
      </c>
      <c r="J23" s="859"/>
      <c r="K23" s="1301"/>
      <c r="L23" s="858"/>
    </row>
    <row r="24" spans="1:12" ht="24" customHeight="1">
      <c r="A24" s="1445"/>
      <c r="C24" s="860" t="s">
        <v>1055</v>
      </c>
      <c r="D24" s="861"/>
      <c r="E24" s="861"/>
      <c r="F24" s="862"/>
      <c r="G24" s="187" t="s">
        <v>878</v>
      </c>
      <c r="H24" s="187"/>
      <c r="I24" s="190">
        <v>140000</v>
      </c>
      <c r="J24" s="859"/>
      <c r="K24" s="1301"/>
      <c r="L24" s="858"/>
    </row>
    <row r="25" spans="1:12" ht="24" customHeight="1">
      <c r="A25" s="1445"/>
      <c r="C25" s="860" t="s">
        <v>1056</v>
      </c>
      <c r="D25" s="861"/>
      <c r="E25" s="861"/>
      <c r="F25" s="862"/>
      <c r="G25" s="187" t="s">
        <v>878</v>
      </c>
      <c r="H25" s="187"/>
      <c r="I25" s="190">
        <v>198000</v>
      </c>
      <c r="J25" s="859"/>
      <c r="K25" s="1301"/>
      <c r="L25" s="858"/>
    </row>
    <row r="26" spans="1:12" ht="24" customHeight="1" thickBot="1">
      <c r="A26" s="1445"/>
      <c r="B26" s="117">
        <v>19</v>
      </c>
      <c r="C26" s="1449" t="s">
        <v>1057</v>
      </c>
      <c r="D26" s="1450"/>
      <c r="E26" s="1450"/>
      <c r="F26" s="1451"/>
      <c r="G26" s="192" t="s">
        <v>878</v>
      </c>
      <c r="H26" s="192"/>
      <c r="I26" s="193">
        <v>240000</v>
      </c>
      <c r="K26" s="1301"/>
      <c r="L26" s="1303">
        <f>IF(Cover!D13&gt;0, Cover!D13, "")</f>
        <v>2011</v>
      </c>
    </row>
    <row r="27" spans="1:12" ht="8.1" customHeight="1">
      <c r="A27" s="1445"/>
      <c r="C27" s="592"/>
      <c r="D27" s="592"/>
      <c r="E27" s="592"/>
      <c r="F27" s="592"/>
      <c r="G27" s="592"/>
      <c r="H27" s="593"/>
      <c r="I27" s="593"/>
      <c r="K27" s="1301"/>
      <c r="L27" s="1303"/>
    </row>
    <row r="28" spans="1:12" ht="15.75">
      <c r="A28" s="1445"/>
      <c r="B28" s="298"/>
      <c r="C28" s="298"/>
      <c r="D28" s="412"/>
      <c r="E28" s="412"/>
      <c r="F28" s="412"/>
      <c r="G28" s="412"/>
      <c r="H28" s="1455"/>
      <c r="I28" s="1456"/>
      <c r="J28" s="412"/>
      <c r="K28" s="1301"/>
      <c r="L28" s="1303"/>
    </row>
    <row r="29" spans="1:12" s="93" customFormat="1" ht="11.25" customHeight="1">
      <c r="B29" s="276"/>
      <c r="C29" s="277" t="s">
        <v>713</v>
      </c>
      <c r="I29" s="197" t="s">
        <v>13</v>
      </c>
      <c r="J29" s="237"/>
      <c r="K29" s="597"/>
      <c r="L29" s="101"/>
    </row>
    <row r="30" spans="1:12" s="93" customFormat="1">
      <c r="B30" s="92"/>
      <c r="J30" s="237"/>
      <c r="K30" s="597"/>
      <c r="L30" s="101"/>
    </row>
    <row r="31" spans="1:12" s="93" customFormat="1">
      <c r="B31" s="92"/>
      <c r="J31" s="237"/>
      <c r="K31" s="597"/>
      <c r="L31" s="101"/>
    </row>
    <row r="32" spans="1:12" s="93" customFormat="1">
      <c r="B32" s="92"/>
      <c r="J32" s="237"/>
      <c r="K32" s="597"/>
      <c r="L32" s="101"/>
    </row>
    <row r="33" spans="2:12" s="93" customFormat="1">
      <c r="B33" s="92"/>
      <c r="J33" s="237"/>
      <c r="K33" s="597"/>
      <c r="L33" s="101"/>
    </row>
    <row r="34" spans="2:12" s="93" customFormat="1">
      <c r="B34" s="92"/>
      <c r="J34" s="237"/>
      <c r="K34" s="597"/>
      <c r="L34" s="101"/>
    </row>
    <row r="35" spans="2:12">
      <c r="K35" s="576"/>
    </row>
    <row r="36" spans="2:12">
      <c r="K36" s="576"/>
    </row>
    <row r="37" spans="2:12">
      <c r="K37" s="576"/>
    </row>
    <row r="38" spans="2:12">
      <c r="K38" s="576"/>
    </row>
    <row r="39" spans="2:12">
      <c r="K39" s="576"/>
    </row>
    <row r="40" spans="2:12">
      <c r="K40" s="576"/>
    </row>
    <row r="41" spans="2:12">
      <c r="K41" s="576"/>
    </row>
    <row r="42" spans="2:12">
      <c r="K42" s="576"/>
    </row>
    <row r="43" spans="2:12">
      <c r="K43" s="576"/>
    </row>
    <row r="44" spans="2:12">
      <c r="K44" s="576"/>
    </row>
    <row r="45" spans="2:12">
      <c r="K45" s="576"/>
    </row>
    <row r="46" spans="2:12">
      <c r="H46" s="21"/>
      <c r="K46" s="576"/>
    </row>
    <row r="47" spans="2:12">
      <c r="H47" s="21" t="s">
        <v>14</v>
      </c>
      <c r="K47" s="576"/>
    </row>
    <row r="48" spans="2:12">
      <c r="H48" s="21" t="s">
        <v>15</v>
      </c>
    </row>
    <row r="51" spans="2:11">
      <c r="K51" s="413"/>
    </row>
    <row r="64" spans="2:11">
      <c r="B64" s="118"/>
    </row>
  </sheetData>
  <sheetProtection password="C0F1" sheet="1" formatCells="0" formatColumns="0" formatRows="0" insertColumns="0" insertRows="0"/>
  <customSheetViews>
    <customSheetView guid="{1F4AFEE5-5BDD-4100-B0E9-57B262CA123C}" showPageBreaks="1" showGridLines="0" fitToPage="1" printArea="1" view="pageBreakPreview" topLeftCell="F1">
      <selection activeCell="I12" sqref="I12"/>
      <pageMargins left="0.45" right="0.45" top="0.5" bottom="0.25" header="0.3" footer="0.3"/>
      <printOptions horizontalCentered="1"/>
      <pageSetup scale="86" orientation="landscape" r:id="rId1"/>
      <headerFooter>
        <oddFooter>&amp;C&amp;A</oddFooter>
      </headerFooter>
    </customSheetView>
  </customSheetViews>
  <mergeCells count="13">
    <mergeCell ref="K3:K28"/>
    <mergeCell ref="L2:L21"/>
    <mergeCell ref="C16:I16"/>
    <mergeCell ref="C17:F17"/>
    <mergeCell ref="L26:L28"/>
    <mergeCell ref="H28:I28"/>
    <mergeCell ref="C18:F18"/>
    <mergeCell ref="C19:F19"/>
    <mergeCell ref="C1:I1"/>
    <mergeCell ref="A20:A28"/>
    <mergeCell ref="C20:F20"/>
    <mergeCell ref="C21:F21"/>
    <mergeCell ref="C26:F26"/>
  </mergeCells>
  <dataValidations count="2">
    <dataValidation allowBlank="1" showInputMessage="1" prompt="This field is to be used when filing under seal." sqref="H46:H49"/>
    <dataValidation type="list" allowBlank="1" showInputMessage="1" showErrorMessage="1" sqref="H28">
      <formula1>$H$46:$H$48</formula1>
    </dataValidation>
  </dataValidations>
  <printOptions horizontalCentered="1"/>
  <pageMargins left="0.45" right="0.45" top="0.5" bottom="0.25" header="0.3" footer="0.3"/>
  <pageSetup scale="79" orientation="landscape" r:id="rId2"/>
  <headerFooter>
    <oddFooter>&amp;C&amp;A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52"/>
  <sheetViews>
    <sheetView showGridLines="0" zoomScaleNormal="100" zoomScaleSheetLayoutView="100" workbookViewId="0"/>
  </sheetViews>
  <sheetFormatPr defaultRowHeight="15"/>
  <cols>
    <col min="1" max="1" width="3.5703125" style="118" bestFit="1" customWidth="1"/>
    <col min="2" max="2" width="5.85546875" style="118" customWidth="1"/>
    <col min="3" max="3" width="62.5703125" style="118" customWidth="1"/>
    <col min="4" max="4" width="10.85546875" style="118" customWidth="1"/>
    <col min="5" max="5" width="14.85546875" style="118" customWidth="1"/>
    <col min="6" max="6" width="13.42578125" style="118" customWidth="1"/>
    <col min="7" max="7" width="18.28515625" style="118" customWidth="1"/>
    <col min="8" max="8" width="16.42578125" style="118" customWidth="1"/>
    <col min="9" max="9" width="0.85546875" style="174" customWidth="1"/>
    <col min="10" max="10" width="3.28515625" style="327" customWidth="1"/>
    <col min="11" max="11" width="3.140625" style="327" customWidth="1"/>
    <col min="12" max="16384" width="9.140625" style="118"/>
  </cols>
  <sheetData>
    <row r="1" spans="2:256" ht="15.75" thickBot="1">
      <c r="C1" s="1171" t="s">
        <v>427</v>
      </c>
      <c r="D1" s="1171"/>
      <c r="E1" s="1171"/>
      <c r="F1" s="1171"/>
      <c r="G1" s="1171"/>
      <c r="H1" s="1171"/>
      <c r="J1" s="1464" t="s">
        <v>636</v>
      </c>
      <c r="K1" s="406">
        <v>1</v>
      </c>
    </row>
    <row r="2" spans="2:256" ht="83.25" customHeight="1" thickBot="1">
      <c r="C2" s="717" t="s">
        <v>818</v>
      </c>
      <c r="D2" s="582" t="s">
        <v>626</v>
      </c>
      <c r="E2" s="582" t="s">
        <v>627</v>
      </c>
      <c r="F2" s="582" t="s">
        <v>628</v>
      </c>
      <c r="G2" s="582" t="s">
        <v>629</v>
      </c>
      <c r="H2" s="583" t="s">
        <v>616</v>
      </c>
      <c r="J2" s="1464"/>
    </row>
    <row r="3" spans="2:256" ht="18.95" customHeight="1">
      <c r="B3" s="117">
        <v>3</v>
      </c>
      <c r="C3" s="185" t="s">
        <v>889</v>
      </c>
      <c r="D3" s="200" t="s">
        <v>890</v>
      </c>
      <c r="E3" s="202">
        <v>2030</v>
      </c>
      <c r="F3" s="202"/>
      <c r="G3" s="202"/>
      <c r="H3" s="599">
        <f>SUM(E3+F3-G3)</f>
        <v>2030</v>
      </c>
      <c r="J3" s="1255" t="str">
        <f>IF(Cover!A1&gt;0, Cover!A1, "")</f>
        <v>Algonquin Water Resources of Missouri, LLC dba Liberty Utilities</v>
      </c>
      <c r="K3" s="450"/>
    </row>
    <row r="4" spans="2:256" ht="18.95" customHeight="1">
      <c r="B4" s="117">
        <v>4</v>
      </c>
      <c r="C4" s="185" t="s">
        <v>889</v>
      </c>
      <c r="D4" s="201" t="s">
        <v>891</v>
      </c>
      <c r="E4" s="198">
        <v>19878</v>
      </c>
      <c r="F4" s="198"/>
      <c r="G4" s="198"/>
      <c r="H4" s="601">
        <f t="shared" ref="H4:H15" si="0">SUM(E4+F4-G4)</f>
        <v>19878</v>
      </c>
      <c r="J4" s="1255"/>
      <c r="K4" s="450"/>
    </row>
    <row r="5" spans="2:256" ht="18.95" customHeight="1">
      <c r="B5" s="117">
        <v>5</v>
      </c>
      <c r="C5" s="185" t="s">
        <v>889</v>
      </c>
      <c r="D5" s="201" t="s">
        <v>892</v>
      </c>
      <c r="E5" s="198">
        <v>23974</v>
      </c>
      <c r="F5" s="198"/>
      <c r="G5" s="198"/>
      <c r="H5" s="601">
        <f t="shared" si="0"/>
        <v>23974</v>
      </c>
      <c r="J5" s="1255"/>
      <c r="K5" s="450"/>
    </row>
    <row r="6" spans="2:256" ht="18.95" customHeight="1">
      <c r="B6" s="117">
        <v>6</v>
      </c>
      <c r="C6" s="185" t="s">
        <v>889</v>
      </c>
      <c r="D6" s="201" t="s">
        <v>893</v>
      </c>
      <c r="E6" s="198">
        <v>11065</v>
      </c>
      <c r="F6" s="198"/>
      <c r="G6" s="198"/>
      <c r="H6" s="601">
        <f t="shared" si="0"/>
        <v>11065</v>
      </c>
      <c r="J6" s="1255"/>
      <c r="K6" s="450"/>
    </row>
    <row r="7" spans="2:256" ht="18.95" customHeight="1">
      <c r="B7" s="117">
        <v>7</v>
      </c>
      <c r="C7" s="185" t="s">
        <v>889</v>
      </c>
      <c r="D7" s="201" t="s">
        <v>894</v>
      </c>
      <c r="E7" s="198">
        <v>17998</v>
      </c>
      <c r="F7" s="198"/>
      <c r="G7" s="198"/>
      <c r="H7" s="601">
        <f t="shared" si="0"/>
        <v>17998</v>
      </c>
      <c r="J7" s="1255"/>
      <c r="K7" s="450"/>
    </row>
    <row r="8" spans="2:256" ht="18.95" customHeight="1">
      <c r="B8" s="117">
        <v>8</v>
      </c>
      <c r="C8" s="185" t="s">
        <v>889</v>
      </c>
      <c r="D8" s="201" t="s">
        <v>895</v>
      </c>
      <c r="E8" s="198">
        <v>1060</v>
      </c>
      <c r="F8" s="198"/>
      <c r="G8" s="198"/>
      <c r="H8" s="601">
        <f t="shared" si="0"/>
        <v>1060</v>
      </c>
      <c r="J8" s="1255"/>
      <c r="K8" s="450"/>
    </row>
    <row r="9" spans="2:256" ht="18.95" customHeight="1">
      <c r="B9" s="117">
        <v>9</v>
      </c>
      <c r="C9" s="185" t="s">
        <v>889</v>
      </c>
      <c r="D9" s="201" t="s">
        <v>1017</v>
      </c>
      <c r="E9" s="198"/>
      <c r="F9" s="198"/>
      <c r="G9" s="198"/>
      <c r="H9" s="601">
        <f t="shared" si="0"/>
        <v>0</v>
      </c>
      <c r="J9" s="1255"/>
      <c r="K9" s="450"/>
    </row>
    <row r="10" spans="2:256" ht="18.95" customHeight="1">
      <c r="B10" s="117">
        <v>10</v>
      </c>
      <c r="C10" s="185" t="s">
        <v>889</v>
      </c>
      <c r="D10" s="201" t="s">
        <v>894</v>
      </c>
      <c r="E10" s="198"/>
      <c r="F10" s="198"/>
      <c r="G10" s="198"/>
      <c r="H10" s="601">
        <f t="shared" si="0"/>
        <v>0</v>
      </c>
      <c r="J10" s="1255"/>
      <c r="K10" s="450"/>
    </row>
    <row r="11" spans="2:256" ht="18.95" customHeight="1">
      <c r="B11" s="117">
        <v>11</v>
      </c>
      <c r="C11" s="185" t="s">
        <v>889</v>
      </c>
      <c r="D11" s="201" t="s">
        <v>1018</v>
      </c>
      <c r="E11" s="198"/>
      <c r="F11" s="198"/>
      <c r="G11" s="198"/>
      <c r="H11" s="601">
        <f t="shared" si="0"/>
        <v>0</v>
      </c>
      <c r="J11" s="1255"/>
      <c r="K11" s="450"/>
    </row>
    <row r="12" spans="2:256" ht="18.95" customHeight="1">
      <c r="B12" s="117">
        <v>12</v>
      </c>
      <c r="C12" s="185" t="s">
        <v>889</v>
      </c>
      <c r="D12" s="201" t="s">
        <v>894</v>
      </c>
      <c r="E12" s="198"/>
      <c r="F12" s="198"/>
      <c r="G12" s="198"/>
      <c r="H12" s="601">
        <f t="shared" si="0"/>
        <v>0</v>
      </c>
      <c r="J12" s="1255"/>
      <c r="K12" s="450"/>
    </row>
    <row r="13" spans="2:256" ht="18.95" customHeight="1">
      <c r="B13" s="117">
        <v>13</v>
      </c>
      <c r="C13" s="185" t="s">
        <v>889</v>
      </c>
      <c r="D13" s="201" t="s">
        <v>1019</v>
      </c>
      <c r="E13" s="198"/>
      <c r="F13" s="198"/>
      <c r="G13" s="198"/>
      <c r="H13" s="601">
        <f t="shared" si="0"/>
        <v>0</v>
      </c>
      <c r="J13" s="1255"/>
      <c r="K13" s="450"/>
      <c r="IV13" s="600"/>
    </row>
    <row r="14" spans="2:256" ht="18.95" customHeight="1">
      <c r="B14" s="117">
        <v>14</v>
      </c>
      <c r="C14" s="185" t="s">
        <v>889</v>
      </c>
      <c r="D14" s="201" t="s">
        <v>892</v>
      </c>
      <c r="E14" s="198"/>
      <c r="F14" s="198"/>
      <c r="G14" s="198"/>
      <c r="H14" s="601">
        <f t="shared" si="0"/>
        <v>0</v>
      </c>
      <c r="J14" s="1255"/>
      <c r="K14" s="450"/>
    </row>
    <row r="15" spans="2:256" ht="18.95" customHeight="1">
      <c r="B15" s="117">
        <v>15</v>
      </c>
      <c r="C15" s="185" t="s">
        <v>1021</v>
      </c>
      <c r="D15" s="204" t="s">
        <v>1020</v>
      </c>
      <c r="E15" s="198"/>
      <c r="F15" s="198">
        <v>95122</v>
      </c>
      <c r="G15" s="198"/>
      <c r="H15" s="601">
        <f t="shared" si="0"/>
        <v>95122</v>
      </c>
      <c r="J15" s="1255"/>
      <c r="K15" s="450"/>
    </row>
    <row r="16" spans="2:256" ht="18.95" customHeight="1" thickBot="1">
      <c r="B16" s="117">
        <v>16</v>
      </c>
      <c r="C16" s="602" t="s">
        <v>428</v>
      </c>
      <c r="D16" s="603"/>
      <c r="E16" s="604">
        <f>SUM(E3:E15)</f>
        <v>76005</v>
      </c>
      <c r="F16" s="604">
        <f>SUM(F3:F15)</f>
        <v>95122</v>
      </c>
      <c r="G16" s="604">
        <f>SUM(G3:G15)</f>
        <v>0</v>
      </c>
      <c r="H16" s="604">
        <f>SUM(H3:H15)</f>
        <v>171127</v>
      </c>
      <c r="J16" s="1255"/>
      <c r="K16" s="450"/>
    </row>
    <row r="17" spans="1:11" ht="21" customHeight="1" thickBot="1">
      <c r="B17" s="117"/>
      <c r="C17" s="1171" t="s">
        <v>429</v>
      </c>
      <c r="D17" s="1171"/>
      <c r="E17" s="1171"/>
      <c r="F17" s="1171"/>
      <c r="G17" s="1171"/>
      <c r="H17" s="1171"/>
      <c r="J17" s="1255"/>
      <c r="K17" s="1240" t="s">
        <v>149</v>
      </c>
    </row>
    <row r="18" spans="1:11" ht="13.5" customHeight="1">
      <c r="B18" s="117"/>
      <c r="C18" s="1259" t="s">
        <v>630</v>
      </c>
      <c r="D18" s="1250" t="s">
        <v>430</v>
      </c>
      <c r="E18" s="1251"/>
      <c r="F18" s="1251"/>
      <c r="G18" s="1461"/>
      <c r="H18" s="1465" t="s">
        <v>635</v>
      </c>
      <c r="J18" s="1255"/>
      <c r="K18" s="1240"/>
    </row>
    <row r="19" spans="1:11" ht="85.5" customHeight="1" thickBot="1">
      <c r="B19" s="117"/>
      <c r="C19" s="1261"/>
      <c r="D19" s="605" t="s">
        <v>631</v>
      </c>
      <c r="E19" s="605" t="s">
        <v>632</v>
      </c>
      <c r="F19" s="605" t="s">
        <v>633</v>
      </c>
      <c r="G19" s="605" t="s">
        <v>634</v>
      </c>
      <c r="H19" s="1466"/>
      <c r="J19" s="1255"/>
      <c r="K19" s="1240"/>
    </row>
    <row r="20" spans="1:11" ht="18.95" customHeight="1">
      <c r="B20" s="117"/>
      <c r="C20" s="596" t="s">
        <v>431</v>
      </c>
      <c r="D20" s="598"/>
      <c r="E20" s="598"/>
      <c r="F20" s="598"/>
      <c r="G20" s="598"/>
      <c r="H20" s="606"/>
      <c r="J20" s="1255"/>
      <c r="K20" s="1240"/>
    </row>
    <row r="21" spans="1:11" ht="18.95" customHeight="1">
      <c r="B21" s="117">
        <v>15</v>
      </c>
      <c r="C21" s="185" t="s">
        <v>896</v>
      </c>
      <c r="D21" s="198">
        <v>351</v>
      </c>
      <c r="E21" s="198"/>
      <c r="F21" s="198"/>
      <c r="G21" s="607">
        <f>SUM(D21+E21-F21)</f>
        <v>351</v>
      </c>
      <c r="H21" s="199"/>
      <c r="J21" s="1255"/>
      <c r="K21" s="1240"/>
    </row>
    <row r="22" spans="1:11" s="174" customFormat="1" ht="18.95" customHeight="1">
      <c r="B22" s="117">
        <f t="shared" ref="B22:B30" si="1">B21+1</f>
        <v>16</v>
      </c>
      <c r="C22" s="185"/>
      <c r="D22" s="198"/>
      <c r="E22" s="198"/>
      <c r="F22" s="198"/>
      <c r="G22" s="607">
        <f t="shared" ref="G22:G29" si="2">SUM(D22+E22-F22)</f>
        <v>0</v>
      </c>
      <c r="H22" s="199"/>
      <c r="J22" s="1255"/>
      <c r="K22" s="1240"/>
    </row>
    <row r="23" spans="1:11" s="174" customFormat="1" ht="18.95" customHeight="1">
      <c r="B23" s="117">
        <f t="shared" si="1"/>
        <v>17</v>
      </c>
      <c r="C23" s="185"/>
      <c r="D23" s="198"/>
      <c r="E23" s="198"/>
      <c r="F23" s="198"/>
      <c r="G23" s="607">
        <f t="shared" si="2"/>
        <v>0</v>
      </c>
      <c r="H23" s="199"/>
      <c r="J23" s="1255"/>
      <c r="K23" s="1240"/>
    </row>
    <row r="24" spans="1:11" s="174" customFormat="1" ht="18.95" customHeight="1">
      <c r="B24" s="117">
        <f t="shared" si="1"/>
        <v>18</v>
      </c>
      <c r="C24" s="185"/>
      <c r="D24" s="198"/>
      <c r="E24" s="198"/>
      <c r="F24" s="198"/>
      <c r="G24" s="607">
        <f t="shared" si="2"/>
        <v>0</v>
      </c>
      <c r="H24" s="199"/>
      <c r="J24" s="1255"/>
      <c r="K24" s="1240"/>
    </row>
    <row r="25" spans="1:11" s="174" customFormat="1" ht="18.95" customHeight="1">
      <c r="B25" s="117"/>
      <c r="C25" s="596" t="s">
        <v>432</v>
      </c>
      <c r="D25" s="600"/>
      <c r="E25" s="600"/>
      <c r="F25" s="600"/>
      <c r="G25" s="600"/>
      <c r="H25" s="608"/>
      <c r="J25" s="1255"/>
      <c r="K25" s="1240"/>
    </row>
    <row r="26" spans="1:11" s="174" customFormat="1" ht="18.95" customHeight="1">
      <c r="B26" s="117">
        <f>B24+1</f>
        <v>19</v>
      </c>
      <c r="C26" s="185"/>
      <c r="D26" s="198"/>
      <c r="E26" s="198"/>
      <c r="F26" s="198"/>
      <c r="G26" s="607">
        <f t="shared" si="2"/>
        <v>0</v>
      </c>
      <c r="H26" s="199"/>
      <c r="J26" s="1255"/>
      <c r="K26" s="1240"/>
    </row>
    <row r="27" spans="1:11" s="174" customFormat="1" ht="18.95" customHeight="1">
      <c r="B27" s="117">
        <f t="shared" si="1"/>
        <v>20</v>
      </c>
      <c r="C27" s="185"/>
      <c r="D27" s="198"/>
      <c r="E27" s="198"/>
      <c r="F27" s="198"/>
      <c r="G27" s="607">
        <f t="shared" si="2"/>
        <v>0</v>
      </c>
      <c r="H27" s="199"/>
      <c r="J27" s="1255"/>
      <c r="K27" s="1240"/>
    </row>
    <row r="28" spans="1:11" s="174" customFormat="1" ht="18.95" customHeight="1">
      <c r="B28" s="117">
        <f t="shared" si="1"/>
        <v>21</v>
      </c>
      <c r="C28" s="185"/>
      <c r="D28" s="198"/>
      <c r="E28" s="198"/>
      <c r="F28" s="198"/>
      <c r="G28" s="607">
        <f t="shared" si="2"/>
        <v>0</v>
      </c>
      <c r="H28" s="199"/>
      <c r="J28" s="1255"/>
      <c r="K28" s="1240"/>
    </row>
    <row r="29" spans="1:11" s="174" customFormat="1" ht="18.95" customHeight="1">
      <c r="A29" s="1462" t="s">
        <v>433</v>
      </c>
      <c r="B29" s="117">
        <f t="shared" si="1"/>
        <v>22</v>
      </c>
      <c r="C29" s="185"/>
      <c r="D29" s="203"/>
      <c r="E29" s="203"/>
      <c r="F29" s="203"/>
      <c r="G29" s="607">
        <f t="shared" si="2"/>
        <v>0</v>
      </c>
      <c r="H29" s="205"/>
      <c r="J29" s="1255"/>
      <c r="K29" s="1240"/>
    </row>
    <row r="30" spans="1:11" s="174" customFormat="1" ht="18.95" customHeight="1" thickBot="1">
      <c r="A30" s="1462"/>
      <c r="B30" s="117">
        <f t="shared" si="1"/>
        <v>23</v>
      </c>
      <c r="C30" s="596" t="s">
        <v>434</v>
      </c>
      <c r="D30" s="609">
        <f>SUM(D20:D29)</f>
        <v>351</v>
      </c>
      <c r="E30" s="609">
        <f>SUM(E20:E29)</f>
        <v>0</v>
      </c>
      <c r="F30" s="609">
        <f>SUM(F20:F29)</f>
        <v>0</v>
      </c>
      <c r="G30" s="609">
        <f>SUM(G20:G29)</f>
        <v>351</v>
      </c>
      <c r="H30" s="609">
        <f>SUM(H20:H29)</f>
        <v>0</v>
      </c>
      <c r="J30" s="1255"/>
      <c r="K30" s="1457">
        <f>IF(Cover!D13&gt;0, Cover!D13, "")</f>
        <v>2011</v>
      </c>
    </row>
    <row r="31" spans="1:11" s="174" customFormat="1" ht="6" customHeight="1">
      <c r="A31" s="1462"/>
      <c r="B31" s="118"/>
      <c r="C31" s="1458"/>
      <c r="D31" s="1458"/>
      <c r="E31" s="1458"/>
      <c r="F31" s="1458"/>
      <c r="G31" s="1458"/>
      <c r="H31" s="1458"/>
      <c r="J31" s="1255"/>
      <c r="K31" s="1457"/>
    </row>
    <row r="32" spans="1:11">
      <c r="A32" s="1462"/>
      <c r="D32" s="412"/>
      <c r="E32" s="412"/>
      <c r="F32" s="412"/>
      <c r="G32" s="1459"/>
      <c r="H32" s="1460"/>
      <c r="J32" s="1255"/>
      <c r="K32" s="1457"/>
    </row>
    <row r="33" spans="1:11" s="93" customFormat="1" ht="13.5" customHeight="1">
      <c r="A33" s="276"/>
      <c r="B33" s="277" t="s">
        <v>713</v>
      </c>
      <c r="G33" s="1463" t="s">
        <v>13</v>
      </c>
      <c r="H33" s="1463"/>
      <c r="I33" s="106"/>
      <c r="J33" s="101"/>
      <c r="K33" s="383"/>
    </row>
    <row r="34" spans="1:11" s="93" customFormat="1">
      <c r="A34" s="388"/>
      <c r="I34" s="237"/>
      <c r="J34" s="101"/>
      <c r="K34" s="383"/>
    </row>
    <row r="35" spans="1:11" s="93" customFormat="1" ht="12" customHeight="1">
      <c r="I35" s="237"/>
      <c r="J35" s="101"/>
      <c r="K35" s="101"/>
    </row>
    <row r="36" spans="1:11" s="93" customFormat="1">
      <c r="I36" s="237"/>
      <c r="J36" s="101"/>
      <c r="K36" s="101"/>
    </row>
    <row r="37" spans="1:11" s="93" customFormat="1">
      <c r="I37" s="237"/>
      <c r="J37" s="101"/>
      <c r="K37" s="101"/>
    </row>
    <row r="38" spans="1:11" s="93" customFormat="1">
      <c r="I38" s="237"/>
      <c r="J38" s="101"/>
      <c r="K38" s="101"/>
    </row>
    <row r="39" spans="1:11" s="93" customFormat="1">
      <c r="I39" s="237"/>
      <c r="J39" s="101"/>
      <c r="K39" s="101"/>
    </row>
    <row r="40" spans="1:11" s="93" customFormat="1">
      <c r="I40" s="237"/>
      <c r="J40" s="101"/>
      <c r="K40" s="101"/>
    </row>
    <row r="50" spans="7:7">
      <c r="G50" s="21"/>
    </row>
    <row r="51" spans="7:7">
      <c r="G51" s="21" t="s">
        <v>14</v>
      </c>
    </row>
    <row r="52" spans="7:7">
      <c r="G52" s="21" t="s">
        <v>15</v>
      </c>
    </row>
  </sheetData>
  <sheetProtection password="C0F1" sheet="1" formatCells="0" formatColumns="0" formatRows="0" insertColumns="0" insertRows="0"/>
  <customSheetViews>
    <customSheetView guid="{1F4AFEE5-5BDD-4100-B0E9-57B262CA123C}" scale="130" showPageBreaks="1" showGridLines="0" fitToPage="1" printArea="1" view="pageBreakPreview">
      <pageMargins left="0.35" right="0.35" top="0.5" bottom="0.15" header="0.3" footer="0.3"/>
      <printOptions horizontalCentered="1"/>
      <pageSetup scale="85" orientation="landscape" r:id="rId1"/>
      <headerFooter>
        <oddFooter>&amp;C&amp;A</oddFooter>
      </headerFooter>
    </customSheetView>
  </customSheetViews>
  <mergeCells count="13">
    <mergeCell ref="C1:H1"/>
    <mergeCell ref="J3:J32"/>
    <mergeCell ref="A29:A32"/>
    <mergeCell ref="C18:C19"/>
    <mergeCell ref="G33:H33"/>
    <mergeCell ref="J1:J2"/>
    <mergeCell ref="H18:H19"/>
    <mergeCell ref="K30:K32"/>
    <mergeCell ref="K17:K29"/>
    <mergeCell ref="C31:H31"/>
    <mergeCell ref="G32:H32"/>
    <mergeCell ref="C17:H17"/>
    <mergeCell ref="D18:G18"/>
  </mergeCells>
  <dataValidations count="2">
    <dataValidation allowBlank="1" showInputMessage="1" prompt="This field is to be used when filing under seal." sqref="G50:G53"/>
    <dataValidation type="list" allowBlank="1" showInputMessage="1" showErrorMessage="1" sqref="G32:H32">
      <formula1>$G$50:$G$52</formula1>
    </dataValidation>
  </dataValidations>
  <printOptions horizontalCentered="1"/>
  <pageMargins left="0.35" right="0.35" top="0.5" bottom="0.15" header="0.3" footer="0.3"/>
  <pageSetup scale="80" orientation="landscape" r:id="rId2"/>
  <headerFooter>
    <oddFooter>&amp;C&amp;A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0"/>
  <sheetViews>
    <sheetView showGridLines="0" topLeftCell="A10" zoomScaleNormal="100" zoomScaleSheetLayoutView="100" workbookViewId="0">
      <selection activeCell="D25" sqref="D25"/>
    </sheetView>
  </sheetViews>
  <sheetFormatPr defaultColWidth="11.42578125" defaultRowHeight="15"/>
  <cols>
    <col min="1" max="1" width="3.42578125" style="117" bestFit="1" customWidth="1"/>
    <col min="2" max="2" width="15.140625" style="316" customWidth="1"/>
    <col min="3" max="3" width="51.28515625" style="316" customWidth="1"/>
    <col min="4" max="4" width="22.28515625" style="316" customWidth="1"/>
    <col min="5" max="16384" width="11.42578125" style="316"/>
  </cols>
  <sheetData>
    <row r="1" spans="1:4">
      <c r="A1" s="117">
        <v>1</v>
      </c>
      <c r="C1" s="285" t="s">
        <v>149</v>
      </c>
      <c r="D1" s="303">
        <f>IF(Cover!D13&gt;0, Cover!D13, "")</f>
        <v>2011</v>
      </c>
    </row>
    <row r="2" spans="1:4">
      <c r="A2" s="117">
        <v>2</v>
      </c>
      <c r="B2" s="57" t="s">
        <v>150</v>
      </c>
      <c r="C2" s="1203" t="str">
        <f>IF(Cover!A1&gt;0, Cover!A1, "")</f>
        <v>Algonquin Water Resources of Missouri, LLC dba Liberty Utilities</v>
      </c>
      <c r="D2" s="1203"/>
    </row>
    <row r="3" spans="1:4">
      <c r="B3" s="1170"/>
      <c r="C3" s="1170"/>
      <c r="D3" s="1170"/>
    </row>
    <row r="4" spans="1:4" ht="15.75" thickBot="1">
      <c r="B4" s="1267" t="s">
        <v>435</v>
      </c>
      <c r="C4" s="1267"/>
      <c r="D4" s="1267"/>
    </row>
    <row r="5" spans="1:4" ht="45.75" customHeight="1" thickBot="1">
      <c r="B5" s="1317" t="s">
        <v>193</v>
      </c>
      <c r="C5" s="1318"/>
      <c r="D5" s="480" t="s">
        <v>274</v>
      </c>
    </row>
    <row r="6" spans="1:4" ht="27" customHeight="1">
      <c r="A6" s="117">
        <v>3</v>
      </c>
      <c r="B6" s="610" t="s">
        <v>781</v>
      </c>
      <c r="C6" s="611"/>
      <c r="D6" s="612">
        <f>'Page S-2'!G29</f>
        <v>223665.82</v>
      </c>
    </row>
    <row r="7" spans="1:4" ht="27" customHeight="1">
      <c r="B7" s="485" t="s">
        <v>276</v>
      </c>
      <c r="C7" s="309"/>
      <c r="D7" s="537"/>
    </row>
    <row r="8" spans="1:4" ht="27" customHeight="1">
      <c r="A8" s="117">
        <v>4</v>
      </c>
      <c r="B8" s="319" t="s">
        <v>277</v>
      </c>
      <c r="C8" s="309"/>
      <c r="D8" s="613">
        <f>'Page 7'!E23</f>
        <v>0</v>
      </c>
    </row>
    <row r="9" spans="1:4" ht="27" customHeight="1">
      <c r="A9" s="117">
        <v>5</v>
      </c>
      <c r="B9" s="319" t="s">
        <v>278</v>
      </c>
      <c r="C9" s="309"/>
      <c r="D9" s="177"/>
    </row>
    <row r="10" spans="1:4" ht="27" customHeight="1">
      <c r="A10" s="117">
        <v>6</v>
      </c>
      <c r="B10" s="319" t="s">
        <v>279</v>
      </c>
      <c r="C10" s="309"/>
      <c r="D10" s="177"/>
    </row>
    <row r="11" spans="1:4" ht="27" customHeight="1">
      <c r="A11" s="117">
        <v>7</v>
      </c>
      <c r="B11" s="319" t="s">
        <v>782</v>
      </c>
      <c r="C11" s="309"/>
      <c r="D11" s="613">
        <f>'Page S-3'!E18</f>
        <v>120633.39</v>
      </c>
    </row>
    <row r="12" spans="1:4" ht="27" customHeight="1">
      <c r="A12" s="117">
        <v>8</v>
      </c>
      <c r="B12" s="319" t="s">
        <v>281</v>
      </c>
      <c r="C12" s="309"/>
      <c r="D12" s="177"/>
    </row>
    <row r="13" spans="1:4" ht="27" customHeight="1">
      <c r="A13" s="117">
        <v>9</v>
      </c>
      <c r="B13" s="319" t="s">
        <v>282</v>
      </c>
      <c r="C13" s="309"/>
      <c r="D13" s="177"/>
    </row>
    <row r="14" spans="1:4" ht="27" customHeight="1">
      <c r="A14" s="117">
        <v>10</v>
      </c>
      <c r="B14" s="319" t="s">
        <v>283</v>
      </c>
      <c r="C14" s="309"/>
      <c r="D14" s="177">
        <v>4664.92</v>
      </c>
    </row>
    <row r="15" spans="1:4" ht="27" customHeight="1">
      <c r="A15" s="117">
        <v>11</v>
      </c>
      <c r="B15" s="319" t="s">
        <v>768</v>
      </c>
      <c r="C15" s="309"/>
      <c r="D15" s="177">
        <v>2629.8</v>
      </c>
    </row>
    <row r="16" spans="1:4" ht="27" customHeight="1">
      <c r="A16" s="117">
        <v>12</v>
      </c>
      <c r="B16" s="319" t="s">
        <v>284</v>
      </c>
      <c r="C16" s="309"/>
      <c r="D16" s="177">
        <v>3354.7</v>
      </c>
    </row>
    <row r="17" spans="1:4" ht="27" customHeight="1">
      <c r="A17" s="117">
        <v>13</v>
      </c>
      <c r="B17" s="319" t="s">
        <v>783</v>
      </c>
      <c r="C17" s="309"/>
      <c r="D17" s="613">
        <f>'Page 8'!E24</f>
        <v>128906.14</v>
      </c>
    </row>
    <row r="18" spans="1:4" ht="27" customHeight="1">
      <c r="A18" s="117">
        <v>14</v>
      </c>
      <c r="B18" s="319" t="s">
        <v>286</v>
      </c>
      <c r="C18" s="309"/>
      <c r="D18" s="177">
        <v>12329.11</v>
      </c>
    </row>
    <row r="19" spans="1:4" ht="27" customHeight="1">
      <c r="A19" s="117">
        <v>15</v>
      </c>
      <c r="B19" s="319" t="s">
        <v>287</v>
      </c>
      <c r="C19" s="309"/>
      <c r="D19" s="613">
        <f>'Page 6'!F36</f>
        <v>0</v>
      </c>
    </row>
    <row r="20" spans="1:4" ht="27" customHeight="1">
      <c r="A20" s="117">
        <v>16</v>
      </c>
      <c r="B20" s="319" t="s">
        <v>784</v>
      </c>
      <c r="C20" s="309"/>
      <c r="D20" s="613">
        <f>'Page S-5'!E49</f>
        <v>39037.022366666679</v>
      </c>
    </row>
    <row r="21" spans="1:4" ht="27" customHeight="1">
      <c r="A21" s="117">
        <v>17</v>
      </c>
      <c r="B21" s="319" t="s">
        <v>785</v>
      </c>
      <c r="C21" s="309"/>
      <c r="D21" s="613">
        <f>-('Page 9'!E33+'Page 9'!E40)</f>
        <v>-5307.1067686325669</v>
      </c>
    </row>
    <row r="22" spans="1:4" ht="27" customHeight="1">
      <c r="A22" s="117">
        <v>18</v>
      </c>
      <c r="B22" s="319" t="s">
        <v>290</v>
      </c>
      <c r="C22" s="309"/>
      <c r="D22" s="177"/>
    </row>
    <row r="23" spans="1:4" ht="27" customHeight="1">
      <c r="A23" s="117">
        <v>19</v>
      </c>
      <c r="B23" s="319" t="s">
        <v>786</v>
      </c>
      <c r="C23" s="309"/>
      <c r="D23" s="613">
        <f>'Page S-3'!E28</f>
        <v>5115.24</v>
      </c>
    </row>
    <row r="24" spans="1:4" ht="27" customHeight="1">
      <c r="A24" s="117">
        <v>20</v>
      </c>
      <c r="B24" s="319" t="s">
        <v>292</v>
      </c>
      <c r="C24" s="309"/>
      <c r="D24" s="613">
        <f>'Page 10'!K24</f>
        <v>0</v>
      </c>
    </row>
    <row r="25" spans="1:4" ht="27" customHeight="1">
      <c r="A25" s="117">
        <v>21</v>
      </c>
      <c r="B25" s="319" t="s">
        <v>787</v>
      </c>
      <c r="C25" s="309"/>
      <c r="D25" s="177"/>
    </row>
    <row r="26" spans="1:4" ht="27" customHeight="1">
      <c r="A26" s="117">
        <v>22</v>
      </c>
      <c r="B26" s="319" t="s">
        <v>293</v>
      </c>
      <c r="C26" s="309"/>
      <c r="D26" s="615">
        <f>SUM(D8:D25)</f>
        <v>311363.21559803415</v>
      </c>
    </row>
    <row r="27" spans="1:4" ht="27" customHeight="1" thickBot="1">
      <c r="A27" s="284">
        <v>23</v>
      </c>
      <c r="B27" s="1467" t="s">
        <v>814</v>
      </c>
      <c r="C27" s="1468"/>
      <c r="D27" s="616">
        <f>SUM(D6-D26)</f>
        <v>-87697.395598034142</v>
      </c>
    </row>
    <row r="28" spans="1:4" s="244" customFormat="1" ht="5.25" customHeight="1">
      <c r="A28" s="92"/>
      <c r="B28" s="83"/>
      <c r="C28" s="253"/>
      <c r="D28" s="262"/>
    </row>
    <row r="29" spans="1:4" s="244" customFormat="1" ht="15.75">
      <c r="A29" s="274"/>
      <c r="B29" s="275" t="s">
        <v>712</v>
      </c>
      <c r="C29" s="83"/>
      <c r="D29" s="206"/>
    </row>
    <row r="30" spans="1:4" s="244" customFormat="1">
      <c r="A30" s="276"/>
      <c r="B30" s="277" t="s">
        <v>713</v>
      </c>
      <c r="C30" s="77"/>
      <c r="D30" s="263" t="s">
        <v>13</v>
      </c>
    </row>
    <row r="31" spans="1:4" s="244" customFormat="1">
      <c r="A31" s="92"/>
      <c r="C31" s="83"/>
    </row>
    <row r="32" spans="1:4" s="244" customFormat="1" ht="7.5" customHeight="1">
      <c r="A32" s="92"/>
      <c r="C32" s="106"/>
    </row>
    <row r="33" spans="1:1" s="244" customFormat="1">
      <c r="A33" s="92"/>
    </row>
    <row r="34" spans="1:1" s="244" customFormat="1">
      <c r="A34" s="92"/>
    </row>
    <row r="35" spans="1:1" s="244" customFormat="1">
      <c r="A35" s="92"/>
    </row>
    <row r="69" spans="4:4">
      <c r="D69" s="316" t="s">
        <v>14</v>
      </c>
    </row>
    <row r="70" spans="4:4">
      <c r="D70" s="316" t="s">
        <v>15</v>
      </c>
    </row>
    <row r="79" spans="4:4">
      <c r="D79" s="316" t="s">
        <v>14</v>
      </c>
    </row>
    <row r="80" spans="4:4">
      <c r="D80" s="316" t="s">
        <v>15</v>
      </c>
    </row>
  </sheetData>
  <sheetProtection password="C0F1" sheet="1" formatCells="0" formatColumns="0" formatRows="0" insertColumns="0" insertRows="0"/>
  <customSheetViews>
    <customSheetView guid="{1F4AFEE5-5BDD-4100-B0E9-57B262CA123C}" scale="115" showPageBreaks="1" showGridLines="0" fitToPage="1" printArea="1" view="pageBreakPreview">
      <selection activeCell="C12" sqref="C12"/>
      <pageMargins left="0.5" right="0.5" top="0.5" bottom="0.25" header="0.3" footer="0.3"/>
      <printOptions horizontalCentered="1"/>
      <pageSetup orientation="portrait" r:id="rId1"/>
      <headerFooter>
        <oddFooter>&amp;C&amp;A</oddFooter>
      </headerFooter>
    </customSheetView>
  </customSheetViews>
  <mergeCells count="5">
    <mergeCell ref="C2:D2"/>
    <mergeCell ref="B3:D3"/>
    <mergeCell ref="B4:D4"/>
    <mergeCell ref="B5:C5"/>
    <mergeCell ref="B27:C27"/>
  </mergeCells>
  <dataValidations count="1">
    <dataValidation type="list" allowBlank="1" showInputMessage="1" showErrorMessage="1" sqref="D29">
      <formula1>$D$68:$D$70</formula1>
    </dataValidation>
  </dataValidations>
  <printOptions horizontalCentered="1"/>
  <pageMargins left="0.5" right="0.5" top="0.5" bottom="0.25" header="0.3" footer="0.3"/>
  <pageSetup orientation="portrait" r:id="rId2"/>
  <headerFooter>
    <oddFooter>&amp;C&amp;A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showGridLines="0" zoomScaleNormal="100" zoomScaleSheetLayoutView="100" workbookViewId="0"/>
  </sheetViews>
  <sheetFormatPr defaultRowHeight="15"/>
  <cols>
    <col min="1" max="1" width="3.85546875" style="329" customWidth="1"/>
    <col min="2" max="2" width="18" style="329" customWidth="1"/>
    <col min="3" max="3" width="38.5703125" style="329" customWidth="1"/>
    <col min="4" max="4" width="20.140625" style="329" customWidth="1"/>
    <col min="5" max="5" width="16.28515625" style="329" bestFit="1" customWidth="1"/>
    <col min="6" max="6" width="4.28515625" style="333" customWidth="1"/>
    <col min="7" max="16384" width="9.140625" style="329"/>
  </cols>
  <sheetData>
    <row r="1" spans="1:6">
      <c r="A1" s="328">
        <v>1</v>
      </c>
      <c r="B1" s="21"/>
      <c r="C1" s="21"/>
      <c r="D1" s="285" t="s">
        <v>149</v>
      </c>
      <c r="E1" s="303">
        <f>IF(Cover!D13&gt;0, Cover!D13,"")</f>
        <v>2011</v>
      </c>
    </row>
    <row r="2" spans="1:6">
      <c r="A2" s="328">
        <v>2</v>
      </c>
      <c r="B2" s="57" t="s">
        <v>150</v>
      </c>
      <c r="C2" s="1203" t="str">
        <f>IF(Cover!A1&gt;0, Cover!A1, "")</f>
        <v>Algonquin Water Resources of Missouri, LLC dba Liberty Utilities</v>
      </c>
      <c r="D2" s="1203"/>
      <c r="E2" s="1203"/>
    </row>
    <row r="3" spans="1:6" ht="12.75" customHeight="1">
      <c r="A3" s="328"/>
      <c r="B3" s="57"/>
      <c r="C3" s="57"/>
      <c r="D3" s="61"/>
      <c r="E3" s="61"/>
    </row>
    <row r="4" spans="1:6">
      <c r="A4" s="1171" t="s">
        <v>816</v>
      </c>
      <c r="B4" s="1171"/>
      <c r="C4" s="1171"/>
      <c r="D4" s="1171"/>
      <c r="E4" s="1171"/>
    </row>
    <row r="5" spans="1:6">
      <c r="A5" s="304"/>
      <c r="B5" s="304"/>
      <c r="C5" s="304"/>
      <c r="D5" s="304"/>
      <c r="E5" s="304"/>
    </row>
    <row r="6" spans="1:6">
      <c r="A6" s="330">
        <v>3</v>
      </c>
      <c r="B6" s="331" t="s">
        <v>688</v>
      </c>
      <c r="C6" s="332" t="s">
        <v>800</v>
      </c>
      <c r="D6" s="800">
        <f>'Page S-1'!D15</f>
        <v>2629.8</v>
      </c>
      <c r="E6" s="324"/>
    </row>
    <row r="7" spans="1:6">
      <c r="A7" s="333" t="s">
        <v>170</v>
      </c>
      <c r="B7" s="334" t="s">
        <v>655</v>
      </c>
      <c r="C7" s="334"/>
      <c r="D7" s="334"/>
      <c r="E7" s="334" t="s">
        <v>654</v>
      </c>
      <c r="F7" s="333" t="s">
        <v>170</v>
      </c>
    </row>
    <row r="8" spans="1:6">
      <c r="A8" s="353"/>
      <c r="B8" s="1213" t="s">
        <v>927</v>
      </c>
      <c r="C8" s="1214"/>
      <c r="D8" s="1215"/>
      <c r="E8" s="798">
        <v>2629.8</v>
      </c>
      <c r="F8" s="353"/>
    </row>
    <row r="9" spans="1:6">
      <c r="A9" s="94"/>
      <c r="B9" s="1213"/>
      <c r="C9" s="1214"/>
      <c r="D9" s="1215"/>
      <c r="E9" s="798"/>
      <c r="F9" s="94"/>
    </row>
    <row r="10" spans="1:6">
      <c r="A10" s="94"/>
      <c r="B10" s="1213"/>
      <c r="C10" s="1214"/>
      <c r="D10" s="1215"/>
      <c r="E10" s="798"/>
      <c r="F10" s="94"/>
    </row>
    <row r="11" spans="1:6">
      <c r="A11" s="94"/>
      <c r="B11" s="1213"/>
      <c r="C11" s="1214"/>
      <c r="D11" s="1215"/>
      <c r="E11" s="798"/>
      <c r="F11" s="94"/>
    </row>
    <row r="12" spans="1:6">
      <c r="A12" s="94"/>
      <c r="B12" s="1213"/>
      <c r="C12" s="1214"/>
      <c r="D12" s="1215"/>
      <c r="E12" s="798"/>
      <c r="F12" s="94"/>
    </row>
    <row r="13" spans="1:6">
      <c r="A13" s="354"/>
      <c r="B13" s="1207" t="s">
        <v>743</v>
      </c>
      <c r="C13" s="1208"/>
      <c r="D13" s="1209"/>
      <c r="E13" s="799">
        <f>SUM(E8:E12)</f>
        <v>2629.8</v>
      </c>
      <c r="F13" s="354"/>
    </row>
    <row r="14" spans="1:6" ht="30" customHeight="1">
      <c r="A14" s="333"/>
      <c r="B14" s="62"/>
      <c r="C14" s="62"/>
      <c r="D14" s="335"/>
      <c r="E14" s="337"/>
    </row>
    <row r="15" spans="1:6">
      <c r="A15" s="330">
        <v>4</v>
      </c>
      <c r="B15" s="331" t="s">
        <v>689</v>
      </c>
      <c r="C15" s="332" t="s">
        <v>672</v>
      </c>
      <c r="D15" s="800">
        <f>'Page S-1'!D25</f>
        <v>0</v>
      </c>
      <c r="E15" s="324"/>
    </row>
    <row r="16" spans="1:6">
      <c r="A16" s="333" t="s">
        <v>170</v>
      </c>
      <c r="B16" s="334" t="s">
        <v>655</v>
      </c>
      <c r="C16" s="334"/>
      <c r="D16" s="334"/>
      <c r="E16" s="334" t="s">
        <v>654</v>
      </c>
      <c r="F16" s="333" t="s">
        <v>170</v>
      </c>
    </row>
    <row r="17" spans="1:6">
      <c r="A17" s="353"/>
      <c r="B17" s="1213"/>
      <c r="C17" s="1214"/>
      <c r="D17" s="1215"/>
      <c r="E17" s="798"/>
      <c r="F17" s="353"/>
    </row>
    <row r="18" spans="1:6">
      <c r="A18" s="94"/>
      <c r="B18" s="1213"/>
      <c r="C18" s="1214"/>
      <c r="D18" s="1215"/>
      <c r="E18" s="798"/>
      <c r="F18" s="94"/>
    </row>
    <row r="19" spans="1:6">
      <c r="A19" s="94"/>
      <c r="B19" s="1213"/>
      <c r="C19" s="1214"/>
      <c r="D19" s="1215"/>
      <c r="E19" s="798"/>
      <c r="F19" s="94"/>
    </row>
    <row r="20" spans="1:6">
      <c r="A20" s="94"/>
      <c r="B20" s="1213"/>
      <c r="C20" s="1214"/>
      <c r="D20" s="1215"/>
      <c r="E20" s="798"/>
      <c r="F20" s="94"/>
    </row>
    <row r="21" spans="1:6">
      <c r="A21" s="94"/>
      <c r="B21" s="1213"/>
      <c r="C21" s="1214"/>
      <c r="D21" s="1215"/>
      <c r="E21" s="798"/>
      <c r="F21" s="94"/>
    </row>
    <row r="22" spans="1:6">
      <c r="A22" s="354"/>
      <c r="B22" s="1207" t="s">
        <v>690</v>
      </c>
      <c r="C22" s="1208"/>
      <c r="D22" s="1209"/>
      <c r="E22" s="799">
        <f>SUM(E17:E21)</f>
        <v>0</v>
      </c>
      <c r="F22" s="354"/>
    </row>
    <row r="23" spans="1:6" ht="30" customHeight="1">
      <c r="A23" s="617"/>
      <c r="B23" s="617"/>
      <c r="C23" s="617"/>
      <c r="D23" s="617"/>
      <c r="E23" s="617"/>
      <c r="F23" s="808"/>
    </row>
    <row r="24" spans="1:6" s="261" customFormat="1">
      <c r="A24" s="376"/>
      <c r="B24" s="377"/>
      <c r="C24" s="378"/>
      <c r="D24" s="379"/>
      <c r="E24" s="242"/>
      <c r="F24" s="372"/>
    </row>
    <row r="25" spans="1:6" s="261" customFormat="1">
      <c r="A25" s="372"/>
      <c r="B25" s="226"/>
      <c r="C25" s="226"/>
      <c r="D25" s="226"/>
      <c r="E25" s="226"/>
      <c r="F25" s="372"/>
    </row>
    <row r="26" spans="1:6" s="261" customFormat="1">
      <c r="A26" s="372"/>
      <c r="B26" s="1219"/>
      <c r="C26" s="1219"/>
      <c r="D26" s="1219"/>
      <c r="E26" s="380"/>
      <c r="F26" s="372"/>
    </row>
    <row r="27" spans="1:6" s="261" customFormat="1">
      <c r="A27" s="372"/>
      <c r="B27" s="1218"/>
      <c r="C27" s="1218"/>
      <c r="D27" s="1218"/>
      <c r="E27" s="380"/>
      <c r="F27" s="372"/>
    </row>
    <row r="28" spans="1:6" s="261" customFormat="1">
      <c r="A28" s="372"/>
      <c r="B28" s="1218"/>
      <c r="C28" s="1218"/>
      <c r="D28" s="1218"/>
      <c r="E28" s="380"/>
      <c r="F28" s="372"/>
    </row>
    <row r="29" spans="1:6" s="261" customFormat="1">
      <c r="A29" s="372"/>
      <c r="B29" s="1218"/>
      <c r="C29" s="1218"/>
      <c r="D29" s="1218"/>
      <c r="E29" s="380"/>
      <c r="F29" s="372"/>
    </row>
    <row r="30" spans="1:6" s="261" customFormat="1">
      <c r="A30" s="372"/>
      <c r="B30" s="1218"/>
      <c r="C30" s="1218"/>
      <c r="D30" s="1218"/>
      <c r="E30" s="380"/>
      <c r="F30" s="372"/>
    </row>
    <row r="31" spans="1:6" s="261" customFormat="1">
      <c r="A31" s="372"/>
      <c r="B31" s="1218"/>
      <c r="C31" s="1218"/>
      <c r="D31" s="1218"/>
      <c r="E31" s="374"/>
      <c r="F31" s="372"/>
    </row>
    <row r="32" spans="1:6" s="261" customFormat="1" ht="30" customHeight="1">
      <c r="A32" s="375"/>
      <c r="B32" s="375"/>
      <c r="C32" s="375"/>
      <c r="D32" s="375"/>
      <c r="E32" s="375"/>
      <c r="F32" s="372"/>
    </row>
    <row r="33" spans="1:6" s="375" customFormat="1">
      <c r="A33" s="376"/>
      <c r="B33" s="377"/>
      <c r="C33" s="378"/>
      <c r="D33" s="379"/>
      <c r="E33" s="242"/>
      <c r="F33" s="372"/>
    </row>
    <row r="34" spans="1:6" s="375" customFormat="1">
      <c r="A34" s="372"/>
      <c r="B34" s="226"/>
      <c r="C34" s="226"/>
      <c r="D34" s="226"/>
      <c r="E34" s="226"/>
      <c r="F34" s="372"/>
    </row>
    <row r="35" spans="1:6" s="375" customFormat="1">
      <c r="A35" s="372"/>
      <c r="B35" s="1219"/>
      <c r="C35" s="1219"/>
      <c r="D35" s="1219"/>
      <c r="E35" s="380"/>
      <c r="F35" s="372"/>
    </row>
    <row r="36" spans="1:6" s="375" customFormat="1">
      <c r="A36" s="372"/>
      <c r="B36" s="1218"/>
      <c r="C36" s="1218"/>
      <c r="D36" s="1218"/>
      <c r="E36" s="380"/>
      <c r="F36" s="372"/>
    </row>
    <row r="37" spans="1:6" s="375" customFormat="1">
      <c r="A37" s="372"/>
      <c r="B37" s="1218"/>
      <c r="C37" s="1218"/>
      <c r="D37" s="1218"/>
      <c r="E37" s="380"/>
      <c r="F37" s="372"/>
    </row>
    <row r="38" spans="1:6" s="375" customFormat="1">
      <c r="A38" s="372"/>
      <c r="B38" s="1218"/>
      <c r="C38" s="1218"/>
      <c r="D38" s="1218"/>
      <c r="E38" s="380"/>
      <c r="F38" s="372"/>
    </row>
    <row r="39" spans="1:6" s="375" customFormat="1">
      <c r="A39" s="372"/>
      <c r="B39" s="1218"/>
      <c r="C39" s="1218"/>
      <c r="D39" s="1218"/>
      <c r="E39" s="380"/>
      <c r="F39" s="372"/>
    </row>
    <row r="40" spans="1:6" s="349" customFormat="1">
      <c r="A40" s="350"/>
      <c r="B40" s="1216"/>
      <c r="C40" s="1216"/>
      <c r="D40" s="1216"/>
      <c r="E40" s="352"/>
      <c r="F40" s="350"/>
    </row>
    <row r="41" spans="1:6" ht="33.75" customHeight="1">
      <c r="A41" s="333"/>
      <c r="B41" s="62"/>
      <c r="C41" s="62"/>
      <c r="D41" s="62"/>
      <c r="E41" s="337"/>
    </row>
    <row r="42" spans="1:6" ht="18">
      <c r="A42" s="297"/>
      <c r="B42" s="298" t="s">
        <v>712</v>
      </c>
      <c r="C42" s="301"/>
      <c r="D42" s="1104"/>
      <c r="E42" s="1105"/>
    </row>
    <row r="43" spans="1:6">
      <c r="A43" s="299"/>
      <c r="B43" s="300" t="s">
        <v>713</v>
      </c>
      <c r="C43" s="300"/>
      <c r="D43" s="316"/>
      <c r="E43" s="302" t="s">
        <v>13</v>
      </c>
    </row>
    <row r="44" spans="1:6">
      <c r="B44" s="57"/>
      <c r="C44" s="21"/>
      <c r="D44" s="21"/>
      <c r="E44" s="21"/>
      <c r="F44" s="801"/>
    </row>
    <row r="45" spans="1:6">
      <c r="B45" s="57"/>
      <c r="C45" s="21"/>
      <c r="D45" s="21"/>
      <c r="E45" s="21"/>
      <c r="F45" s="801"/>
    </row>
    <row r="46" spans="1:6">
      <c r="B46" s="57"/>
      <c r="C46" s="21"/>
      <c r="D46" s="21"/>
      <c r="E46" s="21"/>
      <c r="F46" s="801"/>
    </row>
    <row r="47" spans="1:6">
      <c r="B47" s="57"/>
      <c r="C47" s="21"/>
      <c r="D47" s="21"/>
      <c r="E47" s="21"/>
      <c r="F47" s="801"/>
    </row>
    <row r="48" spans="1:6">
      <c r="B48" s="57"/>
      <c r="C48" s="21"/>
      <c r="D48" s="21"/>
      <c r="E48" s="21"/>
      <c r="F48" s="801"/>
    </row>
    <row r="49" spans="2:6">
      <c r="B49" s="57"/>
      <c r="C49" s="21"/>
      <c r="D49" s="21"/>
      <c r="E49" s="21"/>
      <c r="F49" s="801"/>
    </row>
    <row r="50" spans="2:6">
      <c r="B50" s="57"/>
      <c r="C50" s="21"/>
      <c r="D50" s="21"/>
      <c r="E50" s="21"/>
      <c r="F50" s="801"/>
    </row>
    <row r="51" spans="2:6">
      <c r="B51" s="57"/>
      <c r="C51" s="21"/>
      <c r="D51" s="21"/>
      <c r="E51" s="21"/>
      <c r="F51" s="801"/>
    </row>
    <row r="52" spans="2:6">
      <c r="B52" s="57"/>
      <c r="C52" s="21"/>
      <c r="D52" s="21"/>
      <c r="E52" s="21"/>
      <c r="F52" s="801"/>
    </row>
    <row r="53" spans="2:6">
      <c r="B53" s="57"/>
      <c r="C53" s="21"/>
      <c r="D53" s="21"/>
      <c r="E53" s="21"/>
      <c r="F53" s="801"/>
    </row>
    <row r="54" spans="2:6">
      <c r="B54" s="57"/>
      <c r="C54" s="21"/>
      <c r="D54" s="21"/>
      <c r="E54" s="21"/>
      <c r="F54" s="801"/>
    </row>
    <row r="55" spans="2:6">
      <c r="B55" s="57"/>
      <c r="C55" s="21"/>
      <c r="D55" s="21"/>
      <c r="E55" s="21"/>
      <c r="F55" s="801"/>
    </row>
    <row r="56" spans="2:6">
      <c r="B56" s="57"/>
      <c r="C56" s="21"/>
      <c r="D56" s="21"/>
      <c r="E56" s="21"/>
      <c r="F56" s="801"/>
    </row>
    <row r="57" spans="2:6">
      <c r="B57" s="57"/>
      <c r="C57" s="21"/>
      <c r="D57" s="21"/>
      <c r="E57" s="21"/>
      <c r="F57" s="801"/>
    </row>
    <row r="58" spans="2:6">
      <c r="B58" s="57"/>
      <c r="C58" s="21"/>
      <c r="D58" s="21"/>
      <c r="E58" s="21"/>
      <c r="F58" s="801"/>
    </row>
    <row r="59" spans="2:6">
      <c r="B59" s="57"/>
      <c r="C59" s="21"/>
      <c r="D59" s="21"/>
      <c r="E59" s="21"/>
      <c r="F59" s="801"/>
    </row>
    <row r="60" spans="2:6">
      <c r="B60" s="57"/>
      <c r="C60" s="21"/>
      <c r="D60" s="21" t="s">
        <v>14</v>
      </c>
      <c r="E60" s="21"/>
      <c r="F60" s="801"/>
    </row>
    <row r="61" spans="2:6">
      <c r="B61" s="57"/>
      <c r="C61" s="21"/>
      <c r="D61" s="21" t="s">
        <v>15</v>
      </c>
      <c r="E61" s="21"/>
      <c r="F61" s="801"/>
    </row>
  </sheetData>
  <sheetProtection password="C0F1" sheet="1" formatCells="0" formatColumns="0" formatRows="0" insertColumns="0" insertRows="0"/>
  <customSheetViews>
    <customSheetView guid="{1F4AFEE5-5BDD-4100-B0E9-57B262CA123C}" showPageBreaks="1" showGridLines="0" printArea="1" view="pageBreakPreview">
      <selection activeCell="D6" sqref="D6"/>
      <pageMargins left="0.45" right="0.45" top="0.5" bottom="0.25" header="0.3" footer="0.3"/>
      <printOptions horizontalCentered="1"/>
      <pageSetup orientation="portrait" r:id="rId1"/>
      <headerFooter>
        <oddFooter>&amp;C&amp;A</oddFooter>
      </headerFooter>
    </customSheetView>
  </customSheetViews>
  <mergeCells count="27">
    <mergeCell ref="B39:D39"/>
    <mergeCell ref="B40:D40"/>
    <mergeCell ref="D42:E42"/>
    <mergeCell ref="B30:D30"/>
    <mergeCell ref="B31:D31"/>
    <mergeCell ref="B35:D35"/>
    <mergeCell ref="B36:D36"/>
    <mergeCell ref="B37:D37"/>
    <mergeCell ref="B38:D38"/>
    <mergeCell ref="B29:D29"/>
    <mergeCell ref="B12:D12"/>
    <mergeCell ref="B13:D13"/>
    <mergeCell ref="B17:D17"/>
    <mergeCell ref="B18:D18"/>
    <mergeCell ref="B19:D19"/>
    <mergeCell ref="B20:D20"/>
    <mergeCell ref="B21:D21"/>
    <mergeCell ref="B22:D22"/>
    <mergeCell ref="B26:D26"/>
    <mergeCell ref="B27:D27"/>
    <mergeCell ref="B28:D28"/>
    <mergeCell ref="B11:D11"/>
    <mergeCell ref="C2:E2"/>
    <mergeCell ref="A4:E4"/>
    <mergeCell ref="B8:D8"/>
    <mergeCell ref="B9:D9"/>
    <mergeCell ref="B10:D10"/>
  </mergeCells>
  <dataValidations count="1">
    <dataValidation type="list" allowBlank="1" showInputMessage="1" showErrorMessage="1" prompt="This field is to be used when filing under seal." sqref="D42:E42">
      <formula1>$D$59:$D$61</formula1>
    </dataValidation>
  </dataValidations>
  <printOptions horizontalCentered="1"/>
  <pageMargins left="0.45" right="0.45" top="0.5" bottom="0.25" header="0.3" footer="0.3"/>
  <pageSetup scale="95" orientation="portrait" r:id="rId2"/>
  <headerFooter>
    <oddFooter>&amp;C&amp;A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topLeftCell="A13" zoomScaleNormal="100" zoomScaleSheetLayoutView="100" workbookViewId="0">
      <selection activeCell="E10" sqref="E10"/>
    </sheetView>
  </sheetViews>
  <sheetFormatPr defaultRowHeight="14.25"/>
  <cols>
    <col min="1" max="1" width="2.7109375" style="751" bestFit="1" customWidth="1"/>
    <col min="2" max="2" width="15" style="752" customWidth="1"/>
    <col min="3" max="3" width="30.42578125" style="752" customWidth="1"/>
    <col min="4" max="4" width="12.42578125" style="752" customWidth="1"/>
    <col min="5" max="5" width="11.7109375" style="752" customWidth="1"/>
    <col min="6" max="6" width="12.5703125" style="752" customWidth="1"/>
    <col min="7" max="7" width="14" style="752" bestFit="1" customWidth="1"/>
    <col min="8" max="16384" width="9.140625" style="752"/>
  </cols>
  <sheetData>
    <row r="1" spans="1:7">
      <c r="A1" s="751">
        <v>1</v>
      </c>
      <c r="C1" s="753"/>
      <c r="D1" s="753"/>
      <c r="E1" s="753"/>
      <c r="F1" s="754" t="s">
        <v>149</v>
      </c>
      <c r="G1" s="755">
        <f>IF(Cover!D13&gt;0, Cover!D13, "")</f>
        <v>2011</v>
      </c>
    </row>
    <row r="2" spans="1:7">
      <c r="A2" s="751">
        <v>2</v>
      </c>
      <c r="B2" s="753" t="s">
        <v>150</v>
      </c>
      <c r="C2" s="1469" t="str">
        <f>IF(Cover!A1&gt;0, Cover!A1, "")</f>
        <v>Algonquin Water Resources of Missouri, LLC dba Liberty Utilities</v>
      </c>
      <c r="D2" s="1469"/>
      <c r="E2" s="1469"/>
      <c r="F2" s="1469"/>
      <c r="G2" s="1469"/>
    </row>
    <row r="3" spans="1:7" ht="9.9499999999999993" customHeight="1">
      <c r="B3" s="1470"/>
      <c r="C3" s="1470"/>
      <c r="D3" s="1470"/>
      <c r="E3" s="1470"/>
      <c r="F3" s="1470"/>
      <c r="G3" s="1470"/>
    </row>
    <row r="4" spans="1:7">
      <c r="B4" s="1471" t="s">
        <v>436</v>
      </c>
      <c r="C4" s="1471"/>
      <c r="D4" s="1471"/>
      <c r="E4" s="1471"/>
      <c r="F4" s="1471"/>
      <c r="G4" s="1471"/>
    </row>
    <row r="5" spans="1:7" ht="15" thickBot="1">
      <c r="B5" s="1485" t="s">
        <v>295</v>
      </c>
      <c r="C5" s="1485"/>
      <c r="D5" s="1485"/>
      <c r="E5" s="1485"/>
      <c r="F5" s="1485"/>
      <c r="G5" s="1485"/>
    </row>
    <row r="6" spans="1:7" ht="15" customHeight="1">
      <c r="B6" s="1478" t="s">
        <v>193</v>
      </c>
      <c r="C6" s="1479"/>
      <c r="D6" s="1486" t="s">
        <v>637</v>
      </c>
      <c r="E6" s="1487"/>
      <c r="F6" s="1488" t="s">
        <v>639</v>
      </c>
      <c r="G6" s="1476" t="s">
        <v>640</v>
      </c>
    </row>
    <row r="7" spans="1:7" ht="66" customHeight="1" thickBot="1">
      <c r="B7" s="1480"/>
      <c r="C7" s="1481"/>
      <c r="D7" s="756" t="s">
        <v>594</v>
      </c>
      <c r="E7" s="756" t="s">
        <v>638</v>
      </c>
      <c r="F7" s="1489"/>
      <c r="G7" s="1477"/>
    </row>
    <row r="8" spans="1:7" ht="23.1" customHeight="1">
      <c r="B8" s="1472" t="s">
        <v>437</v>
      </c>
      <c r="C8" s="1473"/>
      <c r="D8" s="757"/>
      <c r="E8" s="757"/>
      <c r="F8" s="786"/>
      <c r="G8" s="758"/>
    </row>
    <row r="9" spans="1:7" ht="23.1" customHeight="1">
      <c r="A9" s="751">
        <v>3</v>
      </c>
      <c r="B9" s="1474" t="s">
        <v>298</v>
      </c>
      <c r="C9" s="1475"/>
      <c r="D9" s="761">
        <v>252</v>
      </c>
      <c r="E9" s="761">
        <v>441</v>
      </c>
      <c r="F9" s="787" t="s">
        <v>297</v>
      </c>
      <c r="G9" s="762">
        <v>190529.43</v>
      </c>
    </row>
    <row r="10" spans="1:7" ht="23.1" customHeight="1">
      <c r="A10" s="751">
        <v>4</v>
      </c>
      <c r="B10" s="759" t="s">
        <v>299</v>
      </c>
      <c r="C10" s="763"/>
      <c r="D10" s="761"/>
      <c r="E10" s="761"/>
      <c r="F10" s="787" t="s">
        <v>297</v>
      </c>
      <c r="G10" s="762"/>
    </row>
    <row r="11" spans="1:7" ht="23.1" customHeight="1">
      <c r="A11" s="751">
        <v>5</v>
      </c>
      <c r="B11" s="759" t="s">
        <v>300</v>
      </c>
      <c r="C11" s="763"/>
      <c r="D11" s="761"/>
      <c r="E11" s="761"/>
      <c r="F11" s="787" t="s">
        <v>297</v>
      </c>
      <c r="G11" s="762"/>
    </row>
    <row r="12" spans="1:7" ht="23.1" customHeight="1">
      <c r="A12" s="751">
        <v>6</v>
      </c>
      <c r="B12" s="759" t="s">
        <v>301</v>
      </c>
      <c r="C12" s="763"/>
      <c r="D12" s="761">
        <v>11</v>
      </c>
      <c r="E12" s="761">
        <v>11</v>
      </c>
      <c r="F12" s="787" t="s">
        <v>297</v>
      </c>
      <c r="G12" s="762">
        <v>33136.39</v>
      </c>
    </row>
    <row r="13" spans="1:7" ht="23.1" customHeight="1">
      <c r="A13" s="751">
        <v>7</v>
      </c>
      <c r="B13" s="759" t="s">
        <v>302</v>
      </c>
      <c r="C13" s="763"/>
      <c r="D13" s="761"/>
      <c r="E13" s="761"/>
      <c r="F13" s="787" t="s">
        <v>297</v>
      </c>
      <c r="G13" s="762"/>
    </row>
    <row r="14" spans="1:7" ht="23.1" customHeight="1">
      <c r="A14" s="751">
        <v>8</v>
      </c>
      <c r="B14" s="759" t="s">
        <v>788</v>
      </c>
      <c r="C14" s="763"/>
      <c r="D14" s="761"/>
      <c r="E14" s="761"/>
      <c r="F14" s="787" t="s">
        <v>297</v>
      </c>
      <c r="G14" s="762"/>
    </row>
    <row r="15" spans="1:7" ht="23.1" customHeight="1" thickBot="1">
      <c r="A15" s="751">
        <v>9</v>
      </c>
      <c r="B15" s="759" t="s">
        <v>303</v>
      </c>
      <c r="C15" s="763"/>
      <c r="D15" s="764">
        <f>SUM(D9:D14)</f>
        <v>263</v>
      </c>
      <c r="E15" s="764">
        <f>SUM(E9:E14)</f>
        <v>452</v>
      </c>
      <c r="F15" s="787" t="s">
        <v>297</v>
      </c>
      <c r="G15" s="765">
        <f>SUM(G9:G14)</f>
        <v>223665.82</v>
      </c>
    </row>
    <row r="16" spans="1:7" ht="23.1" customHeight="1" thickTop="1">
      <c r="B16" s="1472" t="s">
        <v>769</v>
      </c>
      <c r="C16" s="1473"/>
      <c r="D16" s="766"/>
      <c r="E16" s="766"/>
      <c r="F16" s="757"/>
      <c r="G16" s="758"/>
    </row>
    <row r="17" spans="1:7" ht="23.1" customHeight="1">
      <c r="A17" s="751">
        <v>10</v>
      </c>
      <c r="B17" s="759" t="s">
        <v>301</v>
      </c>
      <c r="C17" s="763"/>
      <c r="D17" s="761"/>
      <c r="E17" s="761"/>
      <c r="F17" s="761"/>
      <c r="G17" s="762"/>
    </row>
    <row r="18" spans="1:7" ht="23.1" customHeight="1">
      <c r="A18" s="751">
        <v>11</v>
      </c>
      <c r="B18" s="759" t="s">
        <v>302</v>
      </c>
      <c r="C18" s="763"/>
      <c r="D18" s="761"/>
      <c r="E18" s="761"/>
      <c r="F18" s="761"/>
      <c r="G18" s="762"/>
    </row>
    <row r="19" spans="1:7" ht="23.1" customHeight="1">
      <c r="A19" s="751">
        <v>12</v>
      </c>
      <c r="B19" s="759" t="s">
        <v>788</v>
      </c>
      <c r="C19" s="763"/>
      <c r="D19" s="761"/>
      <c r="E19" s="761"/>
      <c r="F19" s="767"/>
      <c r="G19" s="762"/>
    </row>
    <row r="20" spans="1:7" ht="23.1" customHeight="1" thickBot="1">
      <c r="A20" s="751">
        <v>13</v>
      </c>
      <c r="B20" s="759" t="s">
        <v>310</v>
      </c>
      <c r="C20" s="763"/>
      <c r="D20" s="764">
        <f>SUM(D17:D19)</f>
        <v>0</v>
      </c>
      <c r="E20" s="764">
        <f>SUM(E17:E19)</f>
        <v>0</v>
      </c>
      <c r="F20" s="768">
        <f>SUM(F17:F19)</f>
        <v>0</v>
      </c>
      <c r="G20" s="765">
        <f>SUM(G17:G19)</f>
        <v>0</v>
      </c>
    </row>
    <row r="21" spans="1:7" ht="23.1" customHeight="1" thickTop="1">
      <c r="A21" s="752"/>
      <c r="B21" s="1472" t="s">
        <v>311</v>
      </c>
      <c r="C21" s="1473"/>
      <c r="D21" s="769"/>
      <c r="E21" s="769"/>
      <c r="F21" s="770"/>
      <c r="G21" s="758"/>
    </row>
    <row r="22" spans="1:7" ht="23.1" customHeight="1">
      <c r="A22" s="751">
        <v>14</v>
      </c>
      <c r="B22" s="1474" t="s">
        <v>312</v>
      </c>
      <c r="C22" s="1475"/>
      <c r="D22" s="770"/>
      <c r="E22" s="770"/>
      <c r="F22" s="760"/>
      <c r="G22" s="762"/>
    </row>
    <row r="23" spans="1:7" ht="23.1" customHeight="1">
      <c r="A23" s="751">
        <v>15</v>
      </c>
      <c r="B23" s="759" t="s">
        <v>313</v>
      </c>
      <c r="C23" s="760"/>
      <c r="D23" s="760"/>
      <c r="E23" s="760"/>
      <c r="F23" s="760"/>
      <c r="G23" s="762"/>
    </row>
    <row r="24" spans="1:7" ht="23.1" customHeight="1">
      <c r="A24" s="751">
        <v>16</v>
      </c>
      <c r="B24" s="759" t="s">
        <v>314</v>
      </c>
      <c r="C24" s="760"/>
      <c r="D24" s="760"/>
      <c r="E24" s="760"/>
      <c r="F24" s="760"/>
      <c r="G24" s="762"/>
    </row>
    <row r="25" spans="1:7" ht="23.1" customHeight="1">
      <c r="A25" s="751">
        <v>17</v>
      </c>
      <c r="B25" s="759" t="s">
        <v>315</v>
      </c>
      <c r="C25" s="760"/>
      <c r="D25" s="760"/>
      <c r="E25" s="760"/>
      <c r="F25" s="760"/>
      <c r="G25" s="762"/>
    </row>
    <row r="26" spans="1:7" ht="23.1" customHeight="1">
      <c r="A26" s="751">
        <v>18</v>
      </c>
      <c r="B26" s="759" t="s">
        <v>789</v>
      </c>
      <c r="C26" s="760"/>
      <c r="D26" s="760"/>
      <c r="E26" s="760"/>
      <c r="F26" s="760"/>
      <c r="G26" s="762"/>
    </row>
    <row r="27" spans="1:7" ht="23.1" customHeight="1">
      <c r="A27" s="751">
        <v>19</v>
      </c>
      <c r="B27" s="759" t="s">
        <v>790</v>
      </c>
      <c r="C27" s="760"/>
      <c r="D27" s="760"/>
      <c r="E27" s="760"/>
      <c r="F27" s="760"/>
      <c r="G27" s="762"/>
    </row>
    <row r="28" spans="1:7" ht="23.1" customHeight="1">
      <c r="A28" s="751">
        <v>20</v>
      </c>
      <c r="B28" s="759" t="s">
        <v>316</v>
      </c>
      <c r="C28" s="760"/>
      <c r="D28" s="760"/>
      <c r="E28" s="760"/>
      <c r="F28" s="760"/>
      <c r="G28" s="765">
        <f>SUM(G22:G27)</f>
        <v>0</v>
      </c>
    </row>
    <row r="29" spans="1:7" ht="23.1" customHeight="1" thickBot="1">
      <c r="A29" s="751">
        <v>21</v>
      </c>
      <c r="B29" s="771" t="s">
        <v>691</v>
      </c>
      <c r="C29" s="760"/>
      <c r="D29" s="760"/>
      <c r="E29" s="760"/>
      <c r="F29" s="760"/>
      <c r="G29" s="765">
        <f>SUM(G15+G20+G28)</f>
        <v>223665.82</v>
      </c>
    </row>
    <row r="30" spans="1:7" ht="17.100000000000001" customHeight="1" thickTop="1" thickBot="1">
      <c r="B30" s="772"/>
      <c r="C30" s="773"/>
      <c r="D30" s="773"/>
      <c r="E30" s="773"/>
      <c r="F30" s="774"/>
      <c r="G30" s="775" t="s">
        <v>229</v>
      </c>
    </row>
    <row r="31" spans="1:7">
      <c r="A31" s="776" t="s">
        <v>400</v>
      </c>
      <c r="B31" s="1484" t="s">
        <v>791</v>
      </c>
      <c r="C31" s="1484"/>
      <c r="D31" s="1484"/>
      <c r="E31" s="1484"/>
      <c r="F31" s="777"/>
      <c r="G31" s="760"/>
    </row>
    <row r="32" spans="1:7" s="780" customFormat="1" ht="15.75">
      <c r="A32" s="778"/>
      <c r="B32" s="779" t="s">
        <v>712</v>
      </c>
      <c r="F32" s="1482"/>
      <c r="G32" s="1483"/>
    </row>
    <row r="33" spans="1:7" s="780" customFormat="1">
      <c r="A33" s="781"/>
      <c r="B33" s="782" t="s">
        <v>713</v>
      </c>
      <c r="G33" s="783" t="s">
        <v>13</v>
      </c>
    </row>
    <row r="34" spans="1:7" s="780" customFormat="1">
      <c r="A34" s="784"/>
    </row>
    <row r="35" spans="1:7" s="780" customFormat="1">
      <c r="A35" s="784"/>
    </row>
    <row r="36" spans="1:7" s="780" customFormat="1">
      <c r="A36" s="784"/>
    </row>
    <row r="37" spans="1:7" s="780" customFormat="1">
      <c r="A37" s="784"/>
    </row>
    <row r="38" spans="1:7" s="780" customFormat="1">
      <c r="A38" s="784"/>
    </row>
    <row r="39" spans="1:7" s="780" customFormat="1">
      <c r="A39" s="784"/>
    </row>
    <row r="50" spans="6:6">
      <c r="F50" s="785"/>
    </row>
    <row r="51" spans="6:6">
      <c r="F51" s="785" t="s">
        <v>14</v>
      </c>
    </row>
    <row r="52" spans="6:6">
      <c r="F52" s="785" t="s">
        <v>15</v>
      </c>
    </row>
  </sheetData>
  <sheetProtection password="C0F1" sheet="1" formatCells="0" formatColumns="0" formatRows="0" insertColumns="0" insertRows="0"/>
  <customSheetViews>
    <customSheetView guid="{1F4AFEE5-5BDD-4100-B0E9-57B262CA123C}" scale="130" showPageBreaks="1" showGridLines="0" fitToPage="1" printArea="1" view="pageBreakPreview" topLeftCell="A11">
      <selection activeCell="B18" sqref="B18"/>
      <pageMargins left="0.5" right="0.5" top="0.75" bottom="0.25" header="0.3" footer="0.3"/>
      <printOptions horizontalCentered="1"/>
      <pageSetup scale="98" orientation="portrait" r:id="rId1"/>
      <headerFooter>
        <oddFooter>&amp;C&amp;A</oddFooter>
      </headerFooter>
    </customSheetView>
  </customSheetViews>
  <mergeCells count="15">
    <mergeCell ref="F32:G32"/>
    <mergeCell ref="B31:E31"/>
    <mergeCell ref="B5:G5"/>
    <mergeCell ref="D6:E6"/>
    <mergeCell ref="F6:F7"/>
    <mergeCell ref="B16:C16"/>
    <mergeCell ref="C2:G2"/>
    <mergeCell ref="B3:G3"/>
    <mergeCell ref="B4:G4"/>
    <mergeCell ref="B21:C21"/>
    <mergeCell ref="B22:C22"/>
    <mergeCell ref="B9:C9"/>
    <mergeCell ref="B8:C8"/>
    <mergeCell ref="G6:G7"/>
    <mergeCell ref="B6:C7"/>
  </mergeCells>
  <dataValidations count="2">
    <dataValidation allowBlank="1" showInputMessage="1" prompt="This field is to be used when filing under seal." sqref="F50:F52"/>
    <dataValidation type="list" allowBlank="1" showInputMessage="1" showErrorMessage="1" sqref="F32">
      <formula1>$F$50:$F$52</formula1>
    </dataValidation>
  </dataValidations>
  <printOptions horizontalCentered="1"/>
  <pageMargins left="0.5" right="0.5" top="0.75" bottom="0.25" header="0.3" footer="0.3"/>
  <pageSetup scale="96" orientation="portrait" r:id="rId2"/>
  <headerFooter>
    <oddFooter>&amp;C&amp;A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
  <sheetViews>
    <sheetView showGridLines="0" zoomScaleNormal="100" zoomScaleSheetLayoutView="100" workbookViewId="0"/>
  </sheetViews>
  <sheetFormatPr defaultRowHeight="15"/>
  <cols>
    <col min="1" max="1" width="3.85546875" style="329" customWidth="1"/>
    <col min="2" max="2" width="18" style="329" customWidth="1"/>
    <col min="3" max="3" width="41.7109375" style="329" customWidth="1"/>
    <col min="4" max="4" width="16.28515625" style="329" customWidth="1"/>
    <col min="5" max="5" width="16.28515625" style="329" bestFit="1" customWidth="1"/>
    <col min="6" max="6" width="3.7109375" style="686" customWidth="1"/>
    <col min="7" max="16384" width="9.140625" style="329"/>
  </cols>
  <sheetData>
    <row r="1" spans="1:6">
      <c r="A1" s="328">
        <v>1</v>
      </c>
      <c r="B1" s="21"/>
      <c r="C1" s="21"/>
      <c r="D1" s="285" t="s">
        <v>149</v>
      </c>
      <c r="E1" s="303">
        <f>IF(Cover!D13&gt;0, Cover!D13,"")</f>
        <v>2011</v>
      </c>
    </row>
    <row r="2" spans="1:6">
      <c r="A2" s="328">
        <v>2</v>
      </c>
      <c r="B2" s="57" t="s">
        <v>150</v>
      </c>
      <c r="C2" s="1203" t="str">
        <f>IF(Cover!A1&gt;0, Cover!A1, "")</f>
        <v>Algonquin Water Resources of Missouri, LLC dba Liberty Utilities</v>
      </c>
      <c r="D2" s="1203"/>
      <c r="E2" s="1203"/>
    </row>
    <row r="3" spans="1:6" ht="22.5" customHeight="1">
      <c r="A3" s="328"/>
      <c r="B3" s="57"/>
      <c r="C3" s="57"/>
      <c r="D3" s="61"/>
      <c r="E3" s="61"/>
    </row>
    <row r="4" spans="1:6">
      <c r="A4" s="1171" t="s">
        <v>816</v>
      </c>
      <c r="B4" s="1171"/>
      <c r="C4" s="1171"/>
      <c r="D4" s="1171"/>
      <c r="E4" s="1171"/>
    </row>
    <row r="5" spans="1:6" ht="19.5" customHeight="1">
      <c r="A5" s="304"/>
      <c r="B5" s="304"/>
      <c r="C5" s="304"/>
      <c r="D5" s="304"/>
      <c r="E5" s="304"/>
    </row>
    <row r="6" spans="1:6">
      <c r="A6" s="330">
        <v>3</v>
      </c>
      <c r="B6" s="331" t="s">
        <v>692</v>
      </c>
      <c r="C6" s="332" t="s">
        <v>798</v>
      </c>
      <c r="D6" s="800">
        <f>'Page S-2'!G14</f>
        <v>0</v>
      </c>
      <c r="E6" s="324"/>
    </row>
    <row r="7" spans="1:6">
      <c r="A7" s="333" t="s">
        <v>170</v>
      </c>
      <c r="B7" s="334" t="s">
        <v>655</v>
      </c>
      <c r="C7" s="334"/>
      <c r="D7" s="334"/>
      <c r="E7" s="334" t="s">
        <v>654</v>
      </c>
      <c r="F7" s="686" t="s">
        <v>170</v>
      </c>
    </row>
    <row r="8" spans="1:6">
      <c r="A8" s="353"/>
      <c r="B8" s="1213"/>
      <c r="C8" s="1214"/>
      <c r="D8" s="1215"/>
      <c r="E8" s="798"/>
      <c r="F8" s="353"/>
    </row>
    <row r="9" spans="1:6">
      <c r="A9" s="94"/>
      <c r="B9" s="1213"/>
      <c r="C9" s="1214"/>
      <c r="D9" s="1215"/>
      <c r="E9" s="798"/>
      <c r="F9" s="94"/>
    </row>
    <row r="10" spans="1:6">
      <c r="A10" s="94"/>
      <c r="B10" s="1213"/>
      <c r="C10" s="1214"/>
      <c r="D10" s="1215"/>
      <c r="E10" s="798"/>
      <c r="F10" s="94"/>
    </row>
    <row r="11" spans="1:6">
      <c r="A11" s="94"/>
      <c r="B11" s="1213"/>
      <c r="C11" s="1214"/>
      <c r="D11" s="1215"/>
      <c r="E11" s="798"/>
      <c r="F11" s="94"/>
    </row>
    <row r="12" spans="1:6">
      <c r="A12" s="94"/>
      <c r="B12" s="1213"/>
      <c r="C12" s="1214"/>
      <c r="D12" s="1215"/>
      <c r="E12" s="798"/>
      <c r="F12" s="94"/>
    </row>
    <row r="13" spans="1:6">
      <c r="A13" s="354"/>
      <c r="B13" s="1207" t="s">
        <v>694</v>
      </c>
      <c r="C13" s="1208"/>
      <c r="D13" s="1209"/>
      <c r="E13" s="799">
        <f>SUM(E8:E12)</f>
        <v>0</v>
      </c>
      <c r="F13" s="354"/>
    </row>
    <row r="14" spans="1:6" ht="30" customHeight="1">
      <c r="A14" s="333"/>
      <c r="B14" s="62"/>
      <c r="C14" s="62"/>
      <c r="D14" s="335"/>
      <c r="E14" s="337"/>
    </row>
    <row r="15" spans="1:6">
      <c r="A15" s="330">
        <v>4</v>
      </c>
      <c r="B15" s="331" t="s">
        <v>693</v>
      </c>
      <c r="C15" s="332" t="s">
        <v>798</v>
      </c>
      <c r="D15" s="800">
        <f>'Page S-2'!G19</f>
        <v>0</v>
      </c>
      <c r="E15" s="324"/>
    </row>
    <row r="16" spans="1:6">
      <c r="A16" s="333" t="s">
        <v>170</v>
      </c>
      <c r="B16" s="334" t="s">
        <v>655</v>
      </c>
      <c r="C16" s="334"/>
      <c r="D16" s="334"/>
      <c r="E16" s="334" t="s">
        <v>654</v>
      </c>
      <c r="F16" s="686" t="s">
        <v>170</v>
      </c>
    </row>
    <row r="17" spans="1:6">
      <c r="A17" s="353"/>
      <c r="B17" s="1213"/>
      <c r="C17" s="1214"/>
      <c r="D17" s="1215"/>
      <c r="E17" s="798"/>
      <c r="F17" s="353"/>
    </row>
    <row r="18" spans="1:6">
      <c r="A18" s="94"/>
      <c r="B18" s="1213"/>
      <c r="C18" s="1214"/>
      <c r="D18" s="1215"/>
      <c r="E18" s="798"/>
      <c r="F18" s="94"/>
    </row>
    <row r="19" spans="1:6">
      <c r="A19" s="94"/>
      <c r="B19" s="1213"/>
      <c r="C19" s="1214"/>
      <c r="D19" s="1215"/>
      <c r="E19" s="798"/>
      <c r="F19" s="94"/>
    </row>
    <row r="20" spans="1:6">
      <c r="A20" s="94"/>
      <c r="B20" s="1213"/>
      <c r="C20" s="1214"/>
      <c r="D20" s="1215"/>
      <c r="E20" s="798"/>
      <c r="F20" s="94"/>
    </row>
    <row r="21" spans="1:6">
      <c r="A21" s="94"/>
      <c r="B21" s="1213"/>
      <c r="C21" s="1214"/>
      <c r="D21" s="1215"/>
      <c r="E21" s="798"/>
      <c r="F21" s="94"/>
    </row>
    <row r="22" spans="1:6">
      <c r="A22" s="354"/>
      <c r="B22" s="1207" t="s">
        <v>695</v>
      </c>
      <c r="C22" s="1208"/>
      <c r="D22" s="1209"/>
      <c r="E22" s="799">
        <f>SUM(E17:E21)</f>
        <v>0</v>
      </c>
      <c r="F22" s="354"/>
    </row>
    <row r="23" spans="1:6" ht="30" customHeight="1"/>
    <row r="24" spans="1:6">
      <c r="A24" s="330">
        <v>5</v>
      </c>
      <c r="B24" s="331" t="s">
        <v>696</v>
      </c>
      <c r="C24" s="793" t="s">
        <v>678</v>
      </c>
      <c r="D24" s="800">
        <f>'Page S-2'!G26</f>
        <v>0</v>
      </c>
      <c r="E24" s="324"/>
    </row>
    <row r="25" spans="1:6">
      <c r="A25" s="333" t="s">
        <v>170</v>
      </c>
      <c r="B25" s="334" t="s">
        <v>655</v>
      </c>
      <c r="C25" s="334"/>
      <c r="D25" s="334"/>
      <c r="E25" s="334" t="s">
        <v>654</v>
      </c>
      <c r="F25" s="686" t="s">
        <v>170</v>
      </c>
    </row>
    <row r="26" spans="1:6">
      <c r="A26" s="353"/>
      <c r="B26" s="1213"/>
      <c r="C26" s="1214"/>
      <c r="D26" s="1215"/>
      <c r="E26" s="798"/>
      <c r="F26" s="353"/>
    </row>
    <row r="27" spans="1:6">
      <c r="A27" s="94"/>
      <c r="B27" s="1213"/>
      <c r="C27" s="1214"/>
      <c r="D27" s="1215"/>
      <c r="E27" s="798"/>
      <c r="F27" s="94"/>
    </row>
    <row r="28" spans="1:6">
      <c r="A28" s="94"/>
      <c r="B28" s="1213"/>
      <c r="C28" s="1214"/>
      <c r="D28" s="1215"/>
      <c r="E28" s="798"/>
      <c r="F28" s="94"/>
    </row>
    <row r="29" spans="1:6">
      <c r="A29" s="94"/>
      <c r="B29" s="1213"/>
      <c r="C29" s="1214"/>
      <c r="D29" s="1215"/>
      <c r="E29" s="798"/>
      <c r="F29" s="94"/>
    </row>
    <row r="30" spans="1:6">
      <c r="A30" s="94"/>
      <c r="B30" s="1213"/>
      <c r="C30" s="1214"/>
      <c r="D30" s="1215"/>
      <c r="E30" s="798"/>
      <c r="F30" s="94"/>
    </row>
    <row r="31" spans="1:6">
      <c r="A31" s="354"/>
      <c r="B31" s="1207" t="s">
        <v>697</v>
      </c>
      <c r="C31" s="1208"/>
      <c r="D31" s="1209"/>
      <c r="E31" s="799">
        <f>SUM(E26:E30)</f>
        <v>0</v>
      </c>
      <c r="F31" s="354"/>
    </row>
    <row r="32" spans="1:6" ht="30" customHeight="1"/>
    <row r="33" spans="1:6">
      <c r="A33" s="330">
        <v>5</v>
      </c>
      <c r="B33" s="331" t="s">
        <v>698</v>
      </c>
      <c r="C33" s="332" t="s">
        <v>799</v>
      </c>
      <c r="D33" s="800">
        <f>'Page S-2'!G27</f>
        <v>0</v>
      </c>
      <c r="E33" s="324"/>
    </row>
    <row r="34" spans="1:6">
      <c r="A34" s="333" t="s">
        <v>170</v>
      </c>
      <c r="B34" s="334" t="s">
        <v>655</v>
      </c>
      <c r="C34" s="334"/>
      <c r="D34" s="334"/>
      <c r="E34" s="334" t="s">
        <v>654</v>
      </c>
      <c r="F34" s="686" t="s">
        <v>170</v>
      </c>
    </row>
    <row r="35" spans="1:6">
      <c r="A35" s="353"/>
      <c r="B35" s="1213"/>
      <c r="C35" s="1214"/>
      <c r="D35" s="1215"/>
      <c r="E35" s="798"/>
      <c r="F35" s="353"/>
    </row>
    <row r="36" spans="1:6">
      <c r="A36" s="94"/>
      <c r="B36" s="1213"/>
      <c r="C36" s="1214"/>
      <c r="D36" s="1215"/>
      <c r="E36" s="798"/>
      <c r="F36" s="94"/>
    </row>
    <row r="37" spans="1:6">
      <c r="A37" s="94"/>
      <c r="B37" s="1213"/>
      <c r="C37" s="1214"/>
      <c r="D37" s="1215"/>
      <c r="E37" s="798"/>
      <c r="F37" s="94"/>
    </row>
    <row r="38" spans="1:6">
      <c r="A38" s="94"/>
      <c r="B38" s="1213"/>
      <c r="C38" s="1214"/>
      <c r="D38" s="1215"/>
      <c r="E38" s="798"/>
      <c r="F38" s="94"/>
    </row>
    <row r="39" spans="1:6">
      <c r="A39" s="94"/>
      <c r="B39" s="1213"/>
      <c r="C39" s="1214"/>
      <c r="D39" s="1215"/>
      <c r="E39" s="798"/>
      <c r="F39" s="94"/>
    </row>
    <row r="40" spans="1:6">
      <c r="A40" s="354"/>
      <c r="B40" s="1207" t="s">
        <v>699</v>
      </c>
      <c r="C40" s="1208"/>
      <c r="D40" s="1209"/>
      <c r="E40" s="799">
        <f>SUM(E35:E39)</f>
        <v>0</v>
      </c>
      <c r="F40" s="354"/>
    </row>
    <row r="41" spans="1:6" s="261" customFormat="1" ht="48.75" customHeight="1">
      <c r="A41" s="384"/>
      <c r="B41" s="273"/>
      <c r="C41" s="273"/>
      <c r="D41" s="385"/>
      <c r="E41" s="386"/>
      <c r="F41" s="710"/>
    </row>
    <row r="42" spans="1:6" s="261" customFormat="1" ht="18">
      <c r="A42" s="274"/>
      <c r="B42" s="275" t="s">
        <v>712</v>
      </c>
      <c r="C42" s="226"/>
      <c r="D42" s="1104"/>
      <c r="E42" s="1105"/>
      <c r="F42" s="710"/>
    </row>
    <row r="43" spans="1:6" s="261" customFormat="1">
      <c r="A43" s="276"/>
      <c r="B43" s="277" t="s">
        <v>713</v>
      </c>
      <c r="C43" s="277"/>
      <c r="D43" s="244"/>
      <c r="E43" s="77" t="s">
        <v>13</v>
      </c>
      <c r="F43" s="710"/>
    </row>
    <row r="44" spans="1:6" s="261" customFormat="1">
      <c r="B44" s="83"/>
      <c r="C44" s="17"/>
      <c r="D44" s="17"/>
      <c r="E44" s="17"/>
      <c r="F44" s="58"/>
    </row>
    <row r="45" spans="1:6" s="261" customFormat="1">
      <c r="B45" s="83"/>
      <c r="C45" s="17"/>
      <c r="D45" s="17"/>
      <c r="E45" s="17"/>
      <c r="F45" s="58"/>
    </row>
    <row r="46" spans="1:6" s="261" customFormat="1">
      <c r="B46" s="83"/>
      <c r="C46" s="17"/>
      <c r="D46" s="17"/>
      <c r="E46" s="17"/>
      <c r="F46" s="58"/>
    </row>
    <row r="47" spans="1:6">
      <c r="B47" s="57"/>
      <c r="C47" s="21"/>
      <c r="D47" s="21"/>
      <c r="E47" s="21"/>
      <c r="F47" s="61"/>
    </row>
    <row r="48" spans="1:6">
      <c r="B48" s="57"/>
      <c r="C48" s="21"/>
      <c r="D48" s="21"/>
      <c r="E48" s="21"/>
      <c r="F48" s="61"/>
    </row>
    <row r="49" spans="2:6">
      <c r="B49" s="57"/>
      <c r="C49" s="21"/>
      <c r="D49" s="21"/>
      <c r="E49" s="21"/>
      <c r="F49" s="61"/>
    </row>
    <row r="50" spans="2:6">
      <c r="B50" s="57"/>
      <c r="C50" s="21"/>
      <c r="D50" s="21"/>
      <c r="E50" s="21"/>
      <c r="F50" s="61"/>
    </row>
    <row r="51" spans="2:6">
      <c r="B51" s="57"/>
      <c r="C51" s="21"/>
      <c r="D51" s="21"/>
      <c r="E51" s="21"/>
      <c r="F51" s="61"/>
    </row>
    <row r="52" spans="2:6">
      <c r="B52" s="57"/>
      <c r="C52" s="21"/>
      <c r="D52" s="21"/>
      <c r="E52" s="21"/>
      <c r="F52" s="61"/>
    </row>
    <row r="53" spans="2:6">
      <c r="B53" s="57"/>
      <c r="C53" s="21"/>
      <c r="D53" s="21"/>
      <c r="E53" s="21"/>
      <c r="F53" s="61"/>
    </row>
    <row r="54" spans="2:6">
      <c r="B54" s="57"/>
      <c r="C54" s="21"/>
      <c r="D54" s="21"/>
      <c r="E54" s="21"/>
      <c r="F54" s="61"/>
    </row>
    <row r="55" spans="2:6">
      <c r="B55" s="57"/>
      <c r="C55" s="21"/>
      <c r="D55" s="21"/>
      <c r="E55" s="21"/>
      <c r="F55" s="61"/>
    </row>
    <row r="56" spans="2:6">
      <c r="B56" s="57"/>
      <c r="C56" s="21"/>
      <c r="D56" s="21"/>
      <c r="E56" s="21"/>
      <c r="F56" s="61"/>
    </row>
    <row r="57" spans="2:6">
      <c r="B57" s="57"/>
      <c r="C57" s="21"/>
      <c r="D57" s="21"/>
      <c r="E57" s="21"/>
      <c r="F57" s="61"/>
    </row>
    <row r="58" spans="2:6">
      <c r="B58" s="57"/>
      <c r="C58" s="21"/>
      <c r="D58" s="21"/>
      <c r="E58" s="21"/>
      <c r="F58" s="61"/>
    </row>
    <row r="59" spans="2:6">
      <c r="B59" s="57"/>
      <c r="C59" s="21"/>
      <c r="D59" s="21"/>
      <c r="E59" s="21"/>
      <c r="F59" s="61"/>
    </row>
    <row r="60" spans="2:6">
      <c r="B60" s="57"/>
      <c r="C60" s="21"/>
      <c r="D60" s="21" t="s">
        <v>14</v>
      </c>
      <c r="E60" s="21"/>
      <c r="F60" s="61"/>
    </row>
    <row r="61" spans="2:6">
      <c r="B61" s="57"/>
      <c r="C61" s="21"/>
      <c r="D61" s="21" t="s">
        <v>15</v>
      </c>
      <c r="E61" s="21"/>
      <c r="F61" s="61"/>
    </row>
  </sheetData>
  <sheetProtection password="C0F1" sheet="1" formatCells="0" formatColumns="0" formatRows="0" insertColumns="0" insertRows="0" insertHyperlinks="0"/>
  <customSheetViews>
    <customSheetView guid="{1F4AFEE5-5BDD-4100-B0E9-57B262CA123C}" scale="115" showPageBreaks="1" showGridLines="0" fitToPage="1" printArea="1" view="pageBreakPreview" topLeftCell="A25">
      <selection activeCell="D33" sqref="D33"/>
      <pageMargins left="0.45" right="0.45" top="0.5" bottom="0.25" header="0.3" footer="0.3"/>
      <printOptions horizontalCentered="1"/>
      <pageSetup orientation="portrait" r:id="rId1"/>
      <headerFooter>
        <oddFooter>&amp;C&amp;A</oddFooter>
      </headerFooter>
    </customSheetView>
  </customSheetViews>
  <mergeCells count="27">
    <mergeCell ref="C2:E2"/>
    <mergeCell ref="A4:E4"/>
    <mergeCell ref="B8:D8"/>
    <mergeCell ref="B9:D9"/>
    <mergeCell ref="B10:D10"/>
    <mergeCell ref="B11:D11"/>
    <mergeCell ref="B12:D12"/>
    <mergeCell ref="B13:D13"/>
    <mergeCell ref="B17:D17"/>
    <mergeCell ref="B18:D18"/>
    <mergeCell ref="B19:D19"/>
    <mergeCell ref="B20:D20"/>
    <mergeCell ref="B21:D21"/>
    <mergeCell ref="B22:D22"/>
    <mergeCell ref="B26:D26"/>
    <mergeCell ref="B27:D27"/>
    <mergeCell ref="B28:D28"/>
    <mergeCell ref="B29:D29"/>
    <mergeCell ref="B39:D39"/>
    <mergeCell ref="B40:D40"/>
    <mergeCell ref="D42:E42"/>
    <mergeCell ref="B30:D30"/>
    <mergeCell ref="B31:D31"/>
    <mergeCell ref="B35:D35"/>
    <mergeCell ref="B36:D36"/>
    <mergeCell ref="B37:D37"/>
    <mergeCell ref="B38:D38"/>
  </mergeCells>
  <dataValidations count="1">
    <dataValidation type="list" allowBlank="1" showInputMessage="1" showErrorMessage="1" prompt="This field is to be used when filing under seal." sqref="D42:E42">
      <formula1>$D$59:$D$61</formula1>
    </dataValidation>
  </dataValidations>
  <printOptions horizontalCentered="1"/>
  <pageMargins left="0.45" right="0.45" top="0.5" bottom="0.25" header="0.3" footer="0.3"/>
  <pageSetup scale="96" orientation="portrait" r:id="rId2"/>
  <headerFooter>
    <oddFooter>&amp;C&amp;A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0"/>
  <sheetViews>
    <sheetView showGridLines="0" topLeftCell="A4" zoomScaleNormal="100" zoomScaleSheetLayoutView="100" workbookViewId="0">
      <selection activeCell="E7" sqref="E7:E17"/>
    </sheetView>
  </sheetViews>
  <sheetFormatPr defaultRowHeight="15"/>
  <cols>
    <col min="1" max="1" width="2.7109375" style="117" customWidth="1"/>
    <col min="2" max="2" width="15.28515625" style="316" customWidth="1"/>
    <col min="3" max="3" width="42.7109375" style="316" customWidth="1"/>
    <col min="4" max="4" width="14.28515625" style="316" customWidth="1"/>
    <col min="5" max="5" width="18.85546875" style="316" customWidth="1"/>
    <col min="6" max="16384" width="9.140625" style="316"/>
  </cols>
  <sheetData>
    <row r="1" spans="1:5">
      <c r="A1" s="117">
        <v>1</v>
      </c>
      <c r="C1" s="57"/>
      <c r="D1" s="285" t="s">
        <v>149</v>
      </c>
      <c r="E1" s="303">
        <f>IF(Cover!D13&gt;0, Cover!D13, "")</f>
        <v>2011</v>
      </c>
    </row>
    <row r="2" spans="1:5">
      <c r="A2" s="117">
        <v>2</v>
      </c>
      <c r="B2" s="57" t="s">
        <v>150</v>
      </c>
      <c r="C2" s="1203" t="str">
        <f>IF(Cover!A1&gt;0, Cover!A1, " ")</f>
        <v>Algonquin Water Resources of Missouri, LLC dba Liberty Utilities</v>
      </c>
      <c r="D2" s="1203"/>
      <c r="E2" s="1203"/>
    </row>
    <row r="3" spans="1:5" ht="8.25" customHeight="1">
      <c r="B3" s="1170"/>
      <c r="C3" s="1170"/>
      <c r="D3" s="1170"/>
      <c r="E3" s="1170"/>
    </row>
    <row r="4" spans="1:5" ht="15.75" thickBot="1">
      <c r="B4" s="1267" t="s">
        <v>436</v>
      </c>
      <c r="C4" s="1267"/>
      <c r="D4" s="1267"/>
      <c r="E4" s="1267"/>
    </row>
    <row r="5" spans="1:5" ht="38.25" customHeight="1" thickBot="1">
      <c r="B5" s="1317" t="s">
        <v>193</v>
      </c>
      <c r="C5" s="1318"/>
      <c r="D5" s="1319"/>
      <c r="E5" s="734" t="s">
        <v>274</v>
      </c>
    </row>
    <row r="6" spans="1:5" ht="24.95" customHeight="1">
      <c r="B6" s="1352" t="s">
        <v>317</v>
      </c>
      <c r="C6" s="1353"/>
      <c r="D6" s="1354"/>
      <c r="E6" s="735"/>
    </row>
    <row r="7" spans="1:5" ht="24.95" customHeight="1">
      <c r="A7" s="117">
        <v>3</v>
      </c>
      <c r="B7" s="618" t="s">
        <v>438</v>
      </c>
      <c r="C7" s="619"/>
      <c r="D7" s="620"/>
      <c r="E7" s="248">
        <v>80708.899999999994</v>
      </c>
    </row>
    <row r="8" spans="1:5" ht="24.95" customHeight="1">
      <c r="A8" s="117">
        <v>4</v>
      </c>
      <c r="B8" s="488" t="s">
        <v>439</v>
      </c>
      <c r="C8" s="265"/>
      <c r="D8" s="487"/>
      <c r="E8" s="248"/>
    </row>
    <row r="9" spans="1:5" ht="24.95" customHeight="1">
      <c r="A9" s="117">
        <v>5</v>
      </c>
      <c r="B9" s="488" t="s">
        <v>440</v>
      </c>
      <c r="C9" s="265"/>
      <c r="D9" s="487"/>
      <c r="E9" s="248"/>
    </row>
    <row r="10" spans="1:5" ht="24.95" customHeight="1">
      <c r="A10" s="117">
        <v>6</v>
      </c>
      <c r="B10" s="488" t="s">
        <v>441</v>
      </c>
      <c r="C10" s="265"/>
      <c r="D10" s="487"/>
      <c r="E10" s="248"/>
    </row>
    <row r="11" spans="1:5" ht="24.95" customHeight="1">
      <c r="A11" s="117">
        <v>7</v>
      </c>
      <c r="B11" s="488" t="s">
        <v>442</v>
      </c>
      <c r="C11" s="265"/>
      <c r="D11" s="487"/>
      <c r="E11" s="248"/>
    </row>
    <row r="12" spans="1:5" ht="24.95" customHeight="1">
      <c r="A12" s="117">
        <v>8</v>
      </c>
      <c r="B12" s="488" t="s">
        <v>770</v>
      </c>
      <c r="C12" s="265"/>
      <c r="D12" s="487"/>
      <c r="E12" s="248"/>
    </row>
    <row r="13" spans="1:5" ht="24.95" customHeight="1">
      <c r="A13" s="117">
        <v>9</v>
      </c>
      <c r="B13" s="488" t="s">
        <v>443</v>
      </c>
      <c r="C13" s="265"/>
      <c r="D13" s="487"/>
      <c r="E13" s="248">
        <v>22945.87</v>
      </c>
    </row>
    <row r="14" spans="1:5" ht="24.95" customHeight="1">
      <c r="A14" s="117">
        <v>10</v>
      </c>
      <c r="B14" s="488" t="s">
        <v>323</v>
      </c>
      <c r="C14" s="265"/>
      <c r="D14" s="487"/>
      <c r="E14" s="248">
        <v>7069.32</v>
      </c>
    </row>
    <row r="15" spans="1:5" ht="24.95" customHeight="1">
      <c r="A15" s="117">
        <v>11</v>
      </c>
      <c r="B15" s="488" t="s">
        <v>444</v>
      </c>
      <c r="C15" s="265"/>
      <c r="D15" s="487"/>
      <c r="E15" s="248">
        <v>8406.2999999999993</v>
      </c>
    </row>
    <row r="16" spans="1:5" ht="24.95" customHeight="1">
      <c r="A16" s="117">
        <v>12</v>
      </c>
      <c r="B16" s="488" t="s">
        <v>445</v>
      </c>
      <c r="C16" s="265"/>
      <c r="D16" s="487"/>
      <c r="E16" s="248">
        <v>1503</v>
      </c>
    </row>
    <row r="17" spans="1:5" ht="24.95" customHeight="1">
      <c r="A17" s="117">
        <v>13</v>
      </c>
      <c r="B17" s="488" t="s">
        <v>771</v>
      </c>
      <c r="C17" s="265"/>
      <c r="D17" s="487"/>
      <c r="E17" s="248"/>
    </row>
    <row r="18" spans="1:5" ht="24.95" customHeight="1" thickBot="1">
      <c r="A18" s="117">
        <v>14</v>
      </c>
      <c r="B18" s="488" t="s">
        <v>325</v>
      </c>
      <c r="C18" s="265"/>
      <c r="D18" s="487"/>
      <c r="E18" s="736">
        <f>SUM(E7:E17)</f>
        <v>120633.39</v>
      </c>
    </row>
    <row r="19" spans="1:5" ht="15.75" thickTop="1">
      <c r="B19" s="488"/>
      <c r="C19" s="265"/>
      <c r="D19" s="487"/>
      <c r="E19" s="737" t="s">
        <v>236</v>
      </c>
    </row>
    <row r="20" spans="1:5" ht="24.95" customHeight="1">
      <c r="B20" s="485" t="s">
        <v>326</v>
      </c>
      <c r="C20" s="486"/>
      <c r="D20" s="513"/>
      <c r="E20" s="489"/>
    </row>
    <row r="21" spans="1:5" ht="24.95" customHeight="1">
      <c r="A21" s="117">
        <f>A18+1</f>
        <v>15</v>
      </c>
      <c r="B21" s="488" t="s">
        <v>327</v>
      </c>
      <c r="C21" s="265"/>
      <c r="D21" s="487"/>
      <c r="E21" s="248">
        <v>5115.24</v>
      </c>
    </row>
    <row r="22" spans="1:5" ht="24.95" customHeight="1">
      <c r="A22" s="117">
        <f>A21+1</f>
        <v>16</v>
      </c>
      <c r="B22" s="488" t="s">
        <v>328</v>
      </c>
      <c r="C22" s="265"/>
      <c r="D22" s="487"/>
      <c r="E22" s="248"/>
    </row>
    <row r="23" spans="1:5" ht="24.95" customHeight="1">
      <c r="A23" s="117">
        <f t="shared" ref="A23:A28" si="0">A22+1</f>
        <v>17</v>
      </c>
      <c r="B23" s="488" t="s">
        <v>329</v>
      </c>
      <c r="C23" s="265"/>
      <c r="D23" s="487"/>
      <c r="E23" s="248"/>
    </row>
    <row r="24" spans="1:5" ht="24.95" customHeight="1">
      <c r="A24" s="117">
        <f t="shared" si="0"/>
        <v>18</v>
      </c>
      <c r="B24" s="488" t="s">
        <v>772</v>
      </c>
      <c r="C24" s="265"/>
      <c r="D24" s="487"/>
      <c r="E24" s="248"/>
    </row>
    <row r="25" spans="1:5" ht="24.95" customHeight="1">
      <c r="A25" s="117">
        <f t="shared" si="0"/>
        <v>19</v>
      </c>
      <c r="B25" s="488" t="s">
        <v>330</v>
      </c>
      <c r="C25" s="265"/>
      <c r="D25" s="487"/>
      <c r="E25" s="248"/>
    </row>
    <row r="26" spans="1:5" ht="24.95" customHeight="1">
      <c r="A26" s="117">
        <f t="shared" si="0"/>
        <v>20</v>
      </c>
      <c r="B26" s="488" t="s">
        <v>331</v>
      </c>
      <c r="C26" s="265"/>
      <c r="D26" s="487"/>
      <c r="E26" s="248"/>
    </row>
    <row r="27" spans="1:5" ht="24.95" customHeight="1">
      <c r="A27" s="117">
        <f t="shared" si="0"/>
        <v>21</v>
      </c>
      <c r="B27" s="488" t="s">
        <v>332</v>
      </c>
      <c r="C27" s="265"/>
      <c r="D27" s="487"/>
      <c r="E27" s="738"/>
    </row>
    <row r="28" spans="1:5" ht="24.95" customHeight="1" thickBot="1">
      <c r="A28" s="117">
        <f t="shared" si="0"/>
        <v>22</v>
      </c>
      <c r="B28" s="488" t="s">
        <v>333</v>
      </c>
      <c r="C28" s="265"/>
      <c r="D28" s="487"/>
      <c r="E28" s="736">
        <f>SUM(E21:E27)</f>
        <v>5115.24</v>
      </c>
    </row>
    <row r="29" spans="1:5" ht="16.5" thickTop="1" thickBot="1">
      <c r="B29" s="1490"/>
      <c r="C29" s="1491"/>
      <c r="D29" s="1492"/>
      <c r="E29" s="739" t="s">
        <v>236</v>
      </c>
    </row>
    <row r="30" spans="1:5" s="266" customFormat="1" ht="15.75" thickBot="1">
      <c r="A30" s="284"/>
      <c r="B30" s="1493"/>
      <c r="C30" s="1493"/>
      <c r="D30" s="1493"/>
      <c r="E30" s="1493"/>
    </row>
    <row r="31" spans="1:5" s="244" customFormat="1" ht="20.25" customHeight="1" thickBot="1">
      <c r="A31" s="207"/>
      <c r="B31" s="275"/>
      <c r="C31" s="106"/>
      <c r="D31" s="1494"/>
      <c r="E31" s="1495"/>
    </row>
    <row r="32" spans="1:5" s="244" customFormat="1">
      <c r="A32" s="276"/>
      <c r="B32" s="277" t="s">
        <v>713</v>
      </c>
      <c r="E32" s="267" t="s">
        <v>13</v>
      </c>
    </row>
    <row r="33" spans="1:1" s="244" customFormat="1">
      <c r="A33" s="92"/>
    </row>
    <row r="34" spans="1:1" s="244" customFormat="1">
      <c r="A34" s="92"/>
    </row>
    <row r="35" spans="1:1" s="244" customFormat="1">
      <c r="A35" s="92"/>
    </row>
    <row r="36" spans="1:1" s="244" customFormat="1">
      <c r="A36" s="92"/>
    </row>
    <row r="37" spans="1:1" s="244" customFormat="1">
      <c r="A37" s="92"/>
    </row>
    <row r="38" spans="1:1" s="244" customFormat="1">
      <c r="A38" s="92"/>
    </row>
    <row r="68" spans="4:4">
      <c r="D68" s="21"/>
    </row>
    <row r="69" spans="4:4">
      <c r="D69" s="21" t="s">
        <v>14</v>
      </c>
    </row>
    <row r="70" spans="4:4">
      <c r="D70" s="21" t="s">
        <v>15</v>
      </c>
    </row>
  </sheetData>
  <sheetProtection password="C0F1" sheet="1" formatCells="0" formatColumns="0" formatRows="0" insertColumns="0" insertRows="0"/>
  <customSheetViews>
    <customSheetView guid="{1F4AFEE5-5BDD-4100-B0E9-57B262CA123C}" scale="145" showPageBreaks="1" showGridLines="0" fitToPage="1" printArea="1" view="pageBreakPreview" topLeftCell="A22">
      <pageMargins left="0.5" right="0.5" top="0.75" bottom="0.25" header="0.3" footer="0.3"/>
      <printOptions horizontalCentered="1"/>
      <pageSetup orientation="portrait" r:id="rId1"/>
      <headerFooter>
        <oddFooter>&amp;C&amp;A</oddFooter>
      </headerFooter>
    </customSheetView>
  </customSheetViews>
  <mergeCells count="8">
    <mergeCell ref="B29:D29"/>
    <mergeCell ref="B30:E30"/>
    <mergeCell ref="D31:E31"/>
    <mergeCell ref="C2:E2"/>
    <mergeCell ref="B5:D5"/>
    <mergeCell ref="B6:D6"/>
    <mergeCell ref="B3:E3"/>
    <mergeCell ref="B4:E4"/>
  </mergeCells>
  <dataValidations count="1">
    <dataValidation type="list" allowBlank="1" showInputMessage="1" prompt="To be used when filing under seal. " sqref="D31:E31">
      <formula1>$D$68:$D$70</formula1>
    </dataValidation>
  </dataValidations>
  <printOptions horizontalCentered="1"/>
  <pageMargins left="0.5" right="0.5" top="0.75" bottom="0.25" header="0.3" footer="0.3"/>
  <pageSetup orientation="portrait" r:id="rId2"/>
  <headerFooter>
    <oddFooter>&amp;C&amp;A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
  <sheetViews>
    <sheetView showGridLines="0" zoomScaleNormal="100" zoomScaleSheetLayoutView="100" workbookViewId="0">
      <selection activeCell="B17" sqref="B17:D17"/>
    </sheetView>
  </sheetViews>
  <sheetFormatPr defaultRowHeight="15"/>
  <cols>
    <col min="1" max="1" width="3.140625" style="329" customWidth="1"/>
    <col min="2" max="2" width="16.5703125" style="329" customWidth="1"/>
    <col min="3" max="3" width="42.140625" style="329" customWidth="1"/>
    <col min="4" max="4" width="18.7109375" style="329" customWidth="1"/>
    <col min="5" max="5" width="16.28515625" style="329" bestFit="1" customWidth="1"/>
    <col min="6" max="6" width="3" style="333" customWidth="1"/>
    <col min="7" max="16384" width="9.140625" style="329"/>
  </cols>
  <sheetData>
    <row r="1" spans="1:6">
      <c r="A1" s="328">
        <v>1</v>
      </c>
      <c r="B1" s="21"/>
      <c r="C1" s="21"/>
      <c r="D1" s="285" t="s">
        <v>149</v>
      </c>
      <c r="E1" s="303">
        <f>IF(Cover!D13&gt;0, Cover!D13,"")</f>
        <v>2011</v>
      </c>
    </row>
    <row r="2" spans="1:6">
      <c r="A2" s="328">
        <v>2</v>
      </c>
      <c r="B2" s="57" t="s">
        <v>150</v>
      </c>
      <c r="C2" s="1203" t="str">
        <f>IF(Cover!A1&gt;0, Cover!A1, "")</f>
        <v>Algonquin Water Resources of Missouri, LLC dba Liberty Utilities</v>
      </c>
      <c r="D2" s="1203"/>
      <c r="E2" s="1203"/>
    </row>
    <row r="3" spans="1:6" ht="12.75" customHeight="1">
      <c r="A3" s="328"/>
      <c r="B3" s="57"/>
      <c r="C3" s="57"/>
      <c r="D3" s="61"/>
      <c r="E3" s="61"/>
    </row>
    <row r="4" spans="1:6">
      <c r="A4" s="1171" t="s">
        <v>816</v>
      </c>
      <c r="B4" s="1171"/>
      <c r="C4" s="1171"/>
      <c r="D4" s="1171"/>
      <c r="E4" s="1171"/>
    </row>
    <row r="5" spans="1:6">
      <c r="A5" s="304"/>
      <c r="B5" s="304"/>
      <c r="C5" s="304"/>
      <c r="D5" s="304"/>
      <c r="E5" s="304"/>
    </row>
    <row r="6" spans="1:6">
      <c r="A6" s="549" t="s">
        <v>700</v>
      </c>
      <c r="B6" s="331" t="s">
        <v>703</v>
      </c>
      <c r="C6" s="332" t="s">
        <v>792</v>
      </c>
      <c r="D6" s="800">
        <f>'Page S-3'!E12</f>
        <v>0</v>
      </c>
      <c r="E6" s="324"/>
    </row>
    <row r="7" spans="1:6">
      <c r="A7" s="333" t="s">
        <v>170</v>
      </c>
      <c r="B7" s="334" t="s">
        <v>655</v>
      </c>
      <c r="C7" s="334"/>
      <c r="D7" s="334"/>
      <c r="E7" s="334" t="s">
        <v>654</v>
      </c>
      <c r="F7" s="333" t="s">
        <v>170</v>
      </c>
    </row>
    <row r="8" spans="1:6">
      <c r="A8" s="353"/>
      <c r="B8" s="1213"/>
      <c r="C8" s="1214"/>
      <c r="D8" s="1215"/>
      <c r="E8" s="798"/>
      <c r="F8" s="353"/>
    </row>
    <row r="9" spans="1:6">
      <c r="A9" s="94"/>
      <c r="B9" s="1213"/>
      <c r="C9" s="1214"/>
      <c r="D9" s="1215"/>
      <c r="E9" s="798"/>
      <c r="F9" s="94"/>
    </row>
    <row r="10" spans="1:6">
      <c r="A10" s="94"/>
      <c r="B10" s="1213"/>
      <c r="C10" s="1214"/>
      <c r="D10" s="1215"/>
      <c r="E10" s="798"/>
      <c r="F10" s="94"/>
    </row>
    <row r="11" spans="1:6">
      <c r="A11" s="94"/>
      <c r="B11" s="1213"/>
      <c r="C11" s="1214"/>
      <c r="D11" s="1215"/>
      <c r="E11" s="798"/>
      <c r="F11" s="94"/>
    </row>
    <row r="12" spans="1:6">
      <c r="A12" s="94"/>
      <c r="B12" s="1213"/>
      <c r="C12" s="1214"/>
      <c r="D12" s="1215"/>
      <c r="E12" s="798"/>
      <c r="F12" s="94"/>
    </row>
    <row r="13" spans="1:6">
      <c r="A13" s="354"/>
      <c r="B13" s="1207" t="s">
        <v>704</v>
      </c>
      <c r="C13" s="1208"/>
      <c r="D13" s="1209"/>
      <c r="E13" s="799">
        <f>SUM(E8:E12)</f>
        <v>0</v>
      </c>
      <c r="F13" s="354"/>
    </row>
    <row r="14" spans="1:6" ht="30" customHeight="1">
      <c r="A14" s="333"/>
      <c r="B14" s="62"/>
      <c r="C14" s="62"/>
      <c r="D14" s="335"/>
      <c r="E14" s="337"/>
    </row>
    <row r="15" spans="1:6">
      <c r="A15" s="621" t="s">
        <v>701</v>
      </c>
      <c r="B15" s="331" t="s">
        <v>705</v>
      </c>
      <c r="C15" s="332" t="s">
        <v>793</v>
      </c>
      <c r="D15" s="800">
        <f>'Page S-3'!E17</f>
        <v>0</v>
      </c>
      <c r="E15" s="324"/>
    </row>
    <row r="16" spans="1:6">
      <c r="A16" s="333" t="s">
        <v>170</v>
      </c>
      <c r="B16" s="334" t="s">
        <v>655</v>
      </c>
      <c r="C16" s="334"/>
      <c r="D16" s="334"/>
      <c r="E16" s="334" t="s">
        <v>654</v>
      </c>
      <c r="F16" s="333" t="s">
        <v>170</v>
      </c>
    </row>
    <row r="17" spans="1:6">
      <c r="A17" s="353"/>
      <c r="B17" s="1213" t="s">
        <v>1040</v>
      </c>
      <c r="C17" s="1214"/>
      <c r="D17" s="1215"/>
      <c r="E17" s="798"/>
      <c r="F17" s="353"/>
    </row>
    <row r="18" spans="1:6">
      <c r="A18" s="94"/>
      <c r="B18" s="1213"/>
      <c r="C18" s="1214"/>
      <c r="D18" s="1215"/>
      <c r="E18" s="798"/>
      <c r="F18" s="94"/>
    </row>
    <row r="19" spans="1:6">
      <c r="A19" s="94"/>
      <c r="B19" s="1213"/>
      <c r="C19" s="1214"/>
      <c r="D19" s="1215"/>
      <c r="E19" s="798"/>
      <c r="F19" s="94"/>
    </row>
    <row r="20" spans="1:6">
      <c r="A20" s="94"/>
      <c r="B20" s="1213"/>
      <c r="C20" s="1214"/>
      <c r="D20" s="1215"/>
      <c r="E20" s="798"/>
      <c r="F20" s="94"/>
    </row>
    <row r="21" spans="1:6">
      <c r="A21" s="94"/>
      <c r="B21" s="1213"/>
      <c r="C21" s="1214"/>
      <c r="D21" s="1215"/>
      <c r="E21" s="798"/>
      <c r="F21" s="94"/>
    </row>
    <row r="22" spans="1:6">
      <c r="A22" s="354"/>
      <c r="B22" s="1207" t="s">
        <v>706</v>
      </c>
      <c r="C22" s="1208"/>
      <c r="D22" s="1209"/>
      <c r="E22" s="799">
        <f>SUM(E17:E21)</f>
        <v>0</v>
      </c>
      <c r="F22" s="354"/>
    </row>
    <row r="23" spans="1:6" ht="30" customHeight="1"/>
    <row r="24" spans="1:6">
      <c r="A24" s="549" t="s">
        <v>702</v>
      </c>
      <c r="B24" s="331" t="s">
        <v>707</v>
      </c>
      <c r="C24" s="503" t="s">
        <v>794</v>
      </c>
      <c r="D24" s="800">
        <f>'Page S-3'!E24</f>
        <v>0</v>
      </c>
      <c r="E24" s="324"/>
    </row>
    <row r="25" spans="1:6">
      <c r="A25" s="333" t="s">
        <v>170</v>
      </c>
      <c r="B25" s="334" t="s">
        <v>655</v>
      </c>
      <c r="C25" s="334"/>
      <c r="D25" s="334"/>
      <c r="E25" s="334" t="s">
        <v>654</v>
      </c>
      <c r="F25" s="333" t="s">
        <v>170</v>
      </c>
    </row>
    <row r="26" spans="1:6">
      <c r="A26" s="353"/>
      <c r="B26" s="1213"/>
      <c r="C26" s="1214"/>
      <c r="D26" s="1215"/>
      <c r="E26" s="798"/>
      <c r="F26" s="353"/>
    </row>
    <row r="27" spans="1:6">
      <c r="A27" s="94"/>
      <c r="B27" s="1213"/>
      <c r="C27" s="1214"/>
      <c r="D27" s="1215"/>
      <c r="E27" s="798"/>
      <c r="F27" s="94"/>
    </row>
    <row r="28" spans="1:6">
      <c r="A28" s="94"/>
      <c r="B28" s="1213"/>
      <c r="C28" s="1214"/>
      <c r="D28" s="1215"/>
      <c r="E28" s="798"/>
      <c r="F28" s="94"/>
    </row>
    <row r="29" spans="1:6">
      <c r="A29" s="94"/>
      <c r="B29" s="1213"/>
      <c r="C29" s="1214"/>
      <c r="D29" s="1215"/>
      <c r="E29" s="798"/>
      <c r="F29" s="94"/>
    </row>
    <row r="30" spans="1:6">
      <c r="A30" s="94"/>
      <c r="B30" s="1213"/>
      <c r="C30" s="1214"/>
      <c r="D30" s="1215"/>
      <c r="E30" s="798"/>
      <c r="F30" s="94"/>
    </row>
    <row r="31" spans="1:6">
      <c r="A31" s="354"/>
      <c r="B31" s="1207" t="s">
        <v>708</v>
      </c>
      <c r="C31" s="1208"/>
      <c r="D31" s="1209"/>
      <c r="E31" s="799">
        <f>SUM(E26:E30)</f>
        <v>0</v>
      </c>
      <c r="F31" s="354"/>
    </row>
    <row r="32" spans="1:6" s="261" customFormat="1" ht="30" customHeight="1">
      <c r="A32" s="622"/>
      <c r="B32" s="622"/>
      <c r="C32" s="622"/>
      <c r="D32" s="622"/>
      <c r="E32" s="622"/>
      <c r="F32" s="384"/>
    </row>
    <row r="33" spans="1:6" s="261" customFormat="1">
      <c r="A33" s="623"/>
      <c r="B33" s="377"/>
      <c r="C33" s="378"/>
      <c r="D33" s="379"/>
      <c r="E33" s="242"/>
      <c r="F33" s="384"/>
    </row>
    <row r="34" spans="1:6" s="261" customFormat="1">
      <c r="A34" s="372"/>
      <c r="B34" s="226"/>
      <c r="C34" s="226"/>
      <c r="D34" s="226"/>
      <c r="E34" s="226"/>
      <c r="F34" s="384"/>
    </row>
    <row r="35" spans="1:6" s="261" customFormat="1">
      <c r="A35" s="372"/>
      <c r="B35" s="1219"/>
      <c r="C35" s="1219"/>
      <c r="D35" s="1219"/>
      <c r="E35" s="380"/>
      <c r="F35" s="384"/>
    </row>
    <row r="36" spans="1:6" s="261" customFormat="1">
      <c r="A36" s="372"/>
      <c r="B36" s="1218"/>
      <c r="C36" s="1218"/>
      <c r="D36" s="1218"/>
      <c r="E36" s="380"/>
      <c r="F36" s="384"/>
    </row>
    <row r="37" spans="1:6" s="261" customFormat="1">
      <c r="A37" s="372"/>
      <c r="B37" s="1218"/>
      <c r="C37" s="1218"/>
      <c r="D37" s="1218"/>
      <c r="E37" s="380"/>
      <c r="F37" s="384"/>
    </row>
    <row r="38" spans="1:6" s="261" customFormat="1">
      <c r="A38" s="372"/>
      <c r="B38" s="1218"/>
      <c r="C38" s="1218"/>
      <c r="D38" s="1218"/>
      <c r="E38" s="380"/>
      <c r="F38" s="384"/>
    </row>
    <row r="39" spans="1:6" s="261" customFormat="1">
      <c r="A39" s="372"/>
      <c r="B39" s="1218"/>
      <c r="C39" s="1218"/>
      <c r="D39" s="1218"/>
      <c r="E39" s="380"/>
      <c r="F39" s="384"/>
    </row>
    <row r="40" spans="1:6" s="261" customFormat="1">
      <c r="A40" s="372"/>
      <c r="B40" s="1218"/>
      <c r="C40" s="1218"/>
      <c r="D40" s="1218"/>
      <c r="E40" s="374"/>
      <c r="F40" s="372"/>
    </row>
    <row r="41" spans="1:6" s="261" customFormat="1" ht="72" customHeight="1">
      <c r="A41" s="384"/>
      <c r="B41" s="273"/>
      <c r="C41" s="273"/>
      <c r="D41" s="273"/>
      <c r="E41" s="386"/>
      <c r="F41" s="384"/>
    </row>
    <row r="42" spans="1:6" ht="18">
      <c r="A42" s="297"/>
      <c r="B42" s="298" t="s">
        <v>712</v>
      </c>
      <c r="C42" s="301"/>
      <c r="D42" s="1104"/>
      <c r="E42" s="1105"/>
    </row>
    <row r="43" spans="1:6">
      <c r="A43" s="299"/>
      <c r="B43" s="300" t="s">
        <v>713</v>
      </c>
      <c r="C43" s="300"/>
      <c r="D43" s="316"/>
      <c r="E43" s="302" t="s">
        <v>13</v>
      </c>
    </row>
    <row r="44" spans="1:6">
      <c r="B44" s="57"/>
      <c r="C44" s="21"/>
      <c r="D44" s="21"/>
      <c r="E44" s="21"/>
      <c r="F44" s="801"/>
    </row>
    <row r="45" spans="1:6">
      <c r="B45" s="57"/>
      <c r="C45" s="21"/>
      <c r="D45" s="21"/>
      <c r="E45" s="21"/>
      <c r="F45" s="801"/>
    </row>
    <row r="46" spans="1:6">
      <c r="B46" s="57"/>
      <c r="C46" s="21"/>
      <c r="D46" s="21"/>
      <c r="E46" s="21"/>
      <c r="F46" s="801"/>
    </row>
    <row r="47" spans="1:6">
      <c r="B47" s="57"/>
      <c r="C47" s="21"/>
      <c r="D47" s="21"/>
      <c r="E47" s="21"/>
      <c r="F47" s="801"/>
    </row>
    <row r="48" spans="1:6">
      <c r="B48" s="57"/>
      <c r="C48" s="21"/>
      <c r="D48" s="21"/>
      <c r="E48" s="21"/>
      <c r="F48" s="801"/>
    </row>
    <row r="49" spans="2:6">
      <c r="B49" s="57"/>
      <c r="C49" s="21"/>
      <c r="D49" s="21"/>
      <c r="E49" s="21"/>
      <c r="F49" s="801"/>
    </row>
    <row r="50" spans="2:6">
      <c r="B50" s="57"/>
      <c r="C50" s="21"/>
      <c r="D50" s="21"/>
      <c r="E50" s="21"/>
      <c r="F50" s="801"/>
    </row>
    <row r="51" spans="2:6">
      <c r="B51" s="57"/>
      <c r="C51" s="21"/>
      <c r="D51" s="21"/>
      <c r="E51" s="21"/>
      <c r="F51" s="801"/>
    </row>
    <row r="52" spans="2:6">
      <c r="B52" s="57"/>
      <c r="C52" s="21"/>
      <c r="D52" s="21"/>
      <c r="E52" s="21"/>
      <c r="F52" s="801"/>
    </row>
    <row r="53" spans="2:6">
      <c r="B53" s="57"/>
      <c r="C53" s="21"/>
      <c r="D53" s="21"/>
      <c r="E53" s="21"/>
      <c r="F53" s="801"/>
    </row>
    <row r="54" spans="2:6">
      <c r="B54" s="57"/>
      <c r="C54" s="21"/>
      <c r="D54" s="21"/>
      <c r="E54" s="21"/>
      <c r="F54" s="801"/>
    </row>
    <row r="55" spans="2:6">
      <c r="B55" s="57"/>
      <c r="C55" s="21"/>
      <c r="D55" s="21"/>
      <c r="E55" s="21"/>
      <c r="F55" s="801"/>
    </row>
    <row r="56" spans="2:6">
      <c r="B56" s="57"/>
      <c r="C56" s="21"/>
      <c r="D56" s="21"/>
      <c r="E56" s="21"/>
      <c r="F56" s="801"/>
    </row>
    <row r="57" spans="2:6">
      <c r="B57" s="57"/>
      <c r="C57" s="21"/>
      <c r="D57" s="21"/>
      <c r="E57" s="21"/>
      <c r="F57" s="801"/>
    </row>
    <row r="58" spans="2:6">
      <c r="B58" s="57"/>
      <c r="C58" s="21"/>
      <c r="D58" s="21"/>
      <c r="E58" s="21"/>
      <c r="F58" s="801"/>
    </row>
    <row r="59" spans="2:6">
      <c r="B59" s="57"/>
      <c r="C59" s="21"/>
      <c r="D59" s="21"/>
      <c r="E59" s="21"/>
      <c r="F59" s="801"/>
    </row>
    <row r="60" spans="2:6">
      <c r="B60" s="57"/>
      <c r="C60" s="21"/>
      <c r="D60" s="21" t="s">
        <v>14</v>
      </c>
      <c r="E60" s="21"/>
      <c r="F60" s="801"/>
    </row>
    <row r="61" spans="2:6">
      <c r="B61" s="57"/>
      <c r="C61" s="21"/>
      <c r="D61" s="21" t="s">
        <v>15</v>
      </c>
      <c r="E61" s="21"/>
      <c r="F61" s="801"/>
    </row>
  </sheetData>
  <sheetProtection password="C0F1" sheet="1" formatCells="0" formatColumns="0" formatRows="0" insertColumns="0" insertRows="0"/>
  <customSheetViews>
    <customSheetView guid="{1F4AFEE5-5BDD-4100-B0E9-57B262CA123C}" scale="115" showPageBreaks="1" showGridLines="0" fitToPage="1" printArea="1" view="pageBreakPreview">
      <selection activeCell="D24" sqref="D24"/>
      <pageMargins left="0.45" right="0.45" top="0.5" bottom="0.25" header="0.3" footer="0.3"/>
      <printOptions horizontalCentered="1"/>
      <pageSetup scale="99" orientation="portrait" r:id="rId1"/>
      <headerFooter>
        <oddFooter>&amp;C&amp;A</oddFooter>
      </headerFooter>
    </customSheetView>
  </customSheetViews>
  <mergeCells count="27">
    <mergeCell ref="C2:E2"/>
    <mergeCell ref="A4:E4"/>
    <mergeCell ref="B8:D8"/>
    <mergeCell ref="B9:D9"/>
    <mergeCell ref="B10:D10"/>
    <mergeCell ref="B11:D11"/>
    <mergeCell ref="B12:D12"/>
    <mergeCell ref="B13:D13"/>
    <mergeCell ref="B17:D17"/>
    <mergeCell ref="B18:D18"/>
    <mergeCell ref="B19:D19"/>
    <mergeCell ref="B20:D20"/>
    <mergeCell ref="B21:D21"/>
    <mergeCell ref="B22:D22"/>
    <mergeCell ref="B26:D26"/>
    <mergeCell ref="B27:D27"/>
    <mergeCell ref="B28:D28"/>
    <mergeCell ref="B29:D29"/>
    <mergeCell ref="B39:D39"/>
    <mergeCell ref="B40:D40"/>
    <mergeCell ref="D42:E42"/>
    <mergeCell ref="B30:D30"/>
    <mergeCell ref="B31:D31"/>
    <mergeCell ref="B35:D35"/>
    <mergeCell ref="B36:D36"/>
    <mergeCell ref="B37:D37"/>
    <mergeCell ref="B38:D38"/>
  </mergeCells>
  <dataValidations count="1">
    <dataValidation type="list" allowBlank="1" showInputMessage="1" prompt="This field is to be used when filing under seal." sqref="D42:E42">
      <formula1>$D$59:$D$61</formula1>
    </dataValidation>
  </dataValidations>
  <printOptions horizontalCentered="1"/>
  <pageMargins left="0.45" right="0.45" top="0.5" bottom="0.25" header="0.3" footer="0.3"/>
  <pageSetup scale="96" orientation="portrait" r:id="rId2"/>
  <headerFooter>
    <oddFooter>&amp;C&amp;A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4"/>
  <sheetViews>
    <sheetView showGridLines="0" topLeftCell="A16" zoomScaleNormal="100" zoomScaleSheetLayoutView="100" workbookViewId="0">
      <selection activeCell="F42" sqref="F42"/>
    </sheetView>
  </sheetViews>
  <sheetFormatPr defaultRowHeight="12.75"/>
  <cols>
    <col min="1" max="1" width="2.7109375" style="117" bestFit="1" customWidth="1"/>
    <col min="2" max="2" width="14.85546875" style="57" customWidth="1"/>
    <col min="3" max="3" width="32.28515625" style="21" customWidth="1"/>
    <col min="4" max="4" width="6.5703125" style="21" bestFit="1" customWidth="1"/>
    <col min="5" max="5" width="7" style="61" bestFit="1" customWidth="1"/>
    <col min="6" max="6" width="15.7109375" style="21" bestFit="1" customWidth="1"/>
    <col min="7" max="7" width="13.5703125" style="21" customWidth="1"/>
    <col min="8" max="8" width="13.28515625" style="21" customWidth="1"/>
    <col min="9" max="9" width="15" style="21" customWidth="1"/>
    <col min="10" max="16384" width="9.140625" style="21"/>
  </cols>
  <sheetData>
    <row r="1" spans="1:9">
      <c r="A1" s="117">
        <v>1</v>
      </c>
      <c r="C1" s="57"/>
      <c r="D1" s="57"/>
      <c r="E1" s="57"/>
      <c r="F1" s="57"/>
      <c r="G1" s="57"/>
      <c r="H1" s="285" t="s">
        <v>149</v>
      </c>
      <c r="I1" s="303">
        <f>IF(Cover!D13&gt;0, Cover!D13, "")</f>
        <v>2011</v>
      </c>
    </row>
    <row r="2" spans="1:9">
      <c r="A2" s="117">
        <f>A1+1</f>
        <v>2</v>
      </c>
      <c r="B2" s="57" t="s">
        <v>150</v>
      </c>
      <c r="C2" s="1166" t="str">
        <f>IF(Cover!A1&gt;0, Cover!A1, "")</f>
        <v>Algonquin Water Resources of Missouri, LLC dba Liberty Utilities</v>
      </c>
      <c r="D2" s="1166"/>
      <c r="E2" s="1166"/>
      <c r="F2" s="1166"/>
      <c r="G2" s="1166"/>
      <c r="H2" s="1166"/>
      <c r="I2" s="1166"/>
    </row>
    <row r="3" spans="1:9" ht="8.1" customHeight="1">
      <c r="A3" s="281"/>
      <c r="B3" s="1333"/>
      <c r="C3" s="1333"/>
      <c r="D3" s="1333"/>
      <c r="E3" s="1333"/>
      <c r="F3" s="1333"/>
      <c r="G3" s="1333"/>
      <c r="H3" s="1333"/>
      <c r="I3" s="1333"/>
    </row>
    <row r="4" spans="1:9" ht="13.5" thickBot="1">
      <c r="B4" s="1171" t="s">
        <v>446</v>
      </c>
      <c r="C4" s="1171"/>
      <c r="D4" s="1171"/>
      <c r="E4" s="1171"/>
      <c r="F4" s="1171"/>
      <c r="G4" s="1171"/>
      <c r="H4" s="1171"/>
      <c r="I4" s="1171"/>
    </row>
    <row r="5" spans="1:9" ht="48" customHeight="1">
      <c r="B5" s="1419" t="s">
        <v>541</v>
      </c>
      <c r="C5" s="1507"/>
      <c r="D5" s="1379" t="s">
        <v>396</v>
      </c>
      <c r="E5" s="1511"/>
      <c r="F5" s="1509" t="s">
        <v>598</v>
      </c>
      <c r="G5" s="1509" t="s">
        <v>599</v>
      </c>
      <c r="H5" s="1509" t="s">
        <v>600</v>
      </c>
      <c r="I5" s="1380" t="s">
        <v>715</v>
      </c>
    </row>
    <row r="6" spans="1:9" ht="28.5" customHeight="1" thickBot="1">
      <c r="B6" s="1421"/>
      <c r="C6" s="1508"/>
      <c r="D6" s="624" t="s">
        <v>641</v>
      </c>
      <c r="E6" s="624" t="s">
        <v>642</v>
      </c>
      <c r="F6" s="1510"/>
      <c r="G6" s="1510"/>
      <c r="H6" s="1510"/>
      <c r="I6" s="1382"/>
    </row>
    <row r="7" spans="1:9" ht="15" customHeight="1">
      <c r="B7" s="1326" t="s">
        <v>347</v>
      </c>
      <c r="C7" s="1392"/>
      <c r="D7" s="121"/>
      <c r="E7" s="122"/>
      <c r="F7" s="339"/>
      <c r="G7" s="339"/>
      <c r="H7" s="339"/>
      <c r="I7" s="614"/>
    </row>
    <row r="8" spans="1:9" ht="15" customHeight="1">
      <c r="A8" s="117">
        <f>A2+1</f>
        <v>3</v>
      </c>
      <c r="B8" s="1395" t="s">
        <v>349</v>
      </c>
      <c r="C8" s="1396"/>
      <c r="D8" s="123">
        <v>301</v>
      </c>
      <c r="E8" s="123">
        <v>301</v>
      </c>
      <c r="F8" s="98">
        <v>26563.35</v>
      </c>
      <c r="G8" s="98">
        <f>21194.72+3000</f>
        <v>24194.720000000001</v>
      </c>
      <c r="H8" s="98"/>
      <c r="I8" s="614">
        <f>SUM(F8+G8-H8)</f>
        <v>50758.07</v>
      </c>
    </row>
    <row r="9" spans="1:9" ht="15" customHeight="1">
      <c r="A9" s="117">
        <f>A8+1</f>
        <v>4</v>
      </c>
      <c r="B9" s="1395" t="s">
        <v>350</v>
      </c>
      <c r="C9" s="1396"/>
      <c r="D9" s="123">
        <v>302</v>
      </c>
      <c r="E9" s="123">
        <v>302</v>
      </c>
      <c r="F9" s="98"/>
      <c r="G9" s="98"/>
      <c r="H9" s="98"/>
      <c r="I9" s="614">
        <f t="shared" ref="I9:I48" si="0">SUM(F9+G9-H9)</f>
        <v>0</v>
      </c>
    </row>
    <row r="10" spans="1:9" ht="15" customHeight="1">
      <c r="A10" s="117">
        <f>A9+1</f>
        <v>5</v>
      </c>
      <c r="B10" s="1395" t="s">
        <v>351</v>
      </c>
      <c r="C10" s="1396"/>
      <c r="D10" s="123">
        <v>303</v>
      </c>
      <c r="E10" s="123">
        <v>303</v>
      </c>
      <c r="F10" s="98"/>
      <c r="G10" s="98"/>
      <c r="H10" s="98"/>
      <c r="I10" s="614">
        <f t="shared" si="0"/>
        <v>0</v>
      </c>
    </row>
    <row r="11" spans="1:9" ht="15" customHeight="1">
      <c r="B11" s="1326" t="s">
        <v>447</v>
      </c>
      <c r="C11" s="1392"/>
      <c r="D11" s="121"/>
      <c r="E11" s="123"/>
      <c r="F11" s="339"/>
      <c r="G11" s="339"/>
      <c r="H11" s="339"/>
      <c r="I11" s="614"/>
    </row>
    <row r="12" spans="1:9" ht="15" customHeight="1">
      <c r="A12" s="117">
        <f>A10+1</f>
        <v>6</v>
      </c>
      <c r="B12" s="1395" t="s">
        <v>353</v>
      </c>
      <c r="C12" s="1396"/>
      <c r="D12" s="121" t="s">
        <v>448</v>
      </c>
      <c r="E12" s="123">
        <v>310</v>
      </c>
      <c r="F12" s="98"/>
      <c r="G12" s="98"/>
      <c r="H12" s="98"/>
      <c r="I12" s="614">
        <f t="shared" si="0"/>
        <v>0</v>
      </c>
    </row>
    <row r="13" spans="1:9" ht="15" customHeight="1">
      <c r="A13" s="117">
        <f>A12+1</f>
        <v>7</v>
      </c>
      <c r="B13" s="1395" t="s">
        <v>354</v>
      </c>
      <c r="C13" s="1396"/>
      <c r="D13" s="121" t="s">
        <v>448</v>
      </c>
      <c r="E13" s="123">
        <v>311</v>
      </c>
      <c r="F13" s="98"/>
      <c r="G13" s="98"/>
      <c r="H13" s="98"/>
      <c r="I13" s="614">
        <f t="shared" si="0"/>
        <v>0</v>
      </c>
    </row>
    <row r="14" spans="1:9" ht="15" customHeight="1">
      <c r="B14" s="1326" t="s">
        <v>449</v>
      </c>
      <c r="C14" s="1392"/>
      <c r="D14" s="121"/>
      <c r="E14" s="123"/>
      <c r="F14" s="339"/>
      <c r="G14" s="339"/>
      <c r="H14" s="339"/>
      <c r="I14" s="614"/>
    </row>
    <row r="15" spans="1:9" ht="15" customHeight="1">
      <c r="A15" s="117">
        <f>A13+1</f>
        <v>8</v>
      </c>
      <c r="B15" s="1395" t="s">
        <v>353</v>
      </c>
      <c r="C15" s="1396"/>
      <c r="D15" s="121">
        <v>350</v>
      </c>
      <c r="E15" s="123" t="s">
        <v>448</v>
      </c>
      <c r="F15" s="98"/>
      <c r="G15" s="98">
        <v>8800</v>
      </c>
      <c r="H15" s="98"/>
      <c r="I15" s="614">
        <f t="shared" si="0"/>
        <v>8800</v>
      </c>
    </row>
    <row r="16" spans="1:9" ht="15" customHeight="1">
      <c r="A16" s="117">
        <f t="shared" ref="A16:A21" si="1">A15+1</f>
        <v>9</v>
      </c>
      <c r="B16" s="1395" t="s">
        <v>354</v>
      </c>
      <c r="C16" s="1396"/>
      <c r="D16" s="121">
        <v>351</v>
      </c>
      <c r="E16" s="123" t="s">
        <v>448</v>
      </c>
      <c r="F16" s="98">
        <v>382356.67</v>
      </c>
      <c r="G16" s="98">
        <f>11558.3+422.92</f>
        <v>11981.22</v>
      </c>
      <c r="H16" s="98"/>
      <c r="I16" s="614">
        <f t="shared" si="0"/>
        <v>394337.88999999996</v>
      </c>
    </row>
    <row r="17" spans="1:9" ht="15" customHeight="1">
      <c r="A17" s="117">
        <f t="shared" si="1"/>
        <v>10</v>
      </c>
      <c r="B17" s="1395" t="s">
        <v>450</v>
      </c>
      <c r="C17" s="1396"/>
      <c r="D17" s="123">
        <v>352.1</v>
      </c>
      <c r="E17" s="123">
        <v>352.1</v>
      </c>
      <c r="F17" s="98">
        <v>8303.58</v>
      </c>
      <c r="G17" s="98"/>
      <c r="H17" s="98"/>
      <c r="I17" s="614">
        <f t="shared" si="0"/>
        <v>8303.58</v>
      </c>
    </row>
    <row r="18" spans="1:9" ht="15" customHeight="1">
      <c r="A18" s="117">
        <f t="shared" si="1"/>
        <v>11</v>
      </c>
      <c r="B18" s="1395" t="s">
        <v>451</v>
      </c>
      <c r="C18" s="1396"/>
      <c r="D18" s="123">
        <v>352.2</v>
      </c>
      <c r="E18" s="123">
        <v>352.2</v>
      </c>
      <c r="F18" s="98">
        <v>571128.42000000004</v>
      </c>
      <c r="G18" s="98">
        <f>30463.63+24004</f>
        <v>54467.630000000005</v>
      </c>
      <c r="H18" s="98"/>
      <c r="I18" s="614">
        <f t="shared" si="0"/>
        <v>625596.05000000005</v>
      </c>
    </row>
    <row r="19" spans="1:9" ht="15" customHeight="1">
      <c r="A19" s="117">
        <f t="shared" si="1"/>
        <v>12</v>
      </c>
      <c r="B19" s="1395" t="s">
        <v>773</v>
      </c>
      <c r="C19" s="1396"/>
      <c r="D19" s="123">
        <v>353</v>
      </c>
      <c r="E19" s="123">
        <v>353</v>
      </c>
      <c r="F19" s="98">
        <v>9891.7199999999993</v>
      </c>
      <c r="G19" s="98">
        <f>3400</f>
        <v>3400</v>
      </c>
      <c r="H19" s="98">
        <v>9891.7199999999993</v>
      </c>
      <c r="I19" s="614">
        <f t="shared" si="0"/>
        <v>3400</v>
      </c>
    </row>
    <row r="20" spans="1:9" ht="15" customHeight="1">
      <c r="A20" s="117">
        <f t="shared" si="1"/>
        <v>13</v>
      </c>
      <c r="B20" s="1395" t="s">
        <v>452</v>
      </c>
      <c r="C20" s="1396"/>
      <c r="D20" s="123">
        <v>354</v>
      </c>
      <c r="E20" s="123">
        <v>354</v>
      </c>
      <c r="F20" s="98">
        <v>2909.09</v>
      </c>
      <c r="G20" s="98">
        <v>6982.63</v>
      </c>
      <c r="H20" s="98"/>
      <c r="I20" s="614">
        <f t="shared" si="0"/>
        <v>9891.7200000000012</v>
      </c>
    </row>
    <row r="21" spans="1:9" ht="15" customHeight="1">
      <c r="A21" s="117">
        <f t="shared" si="1"/>
        <v>14</v>
      </c>
      <c r="B21" s="1395" t="s">
        <v>453</v>
      </c>
      <c r="C21" s="1396"/>
      <c r="D21" s="123">
        <v>355</v>
      </c>
      <c r="E21" s="123">
        <v>355</v>
      </c>
      <c r="F21" s="98">
        <v>-652.45000000000005</v>
      </c>
      <c r="G21" s="98">
        <v>3561.54</v>
      </c>
      <c r="H21" s="98"/>
      <c r="I21" s="614">
        <f t="shared" si="0"/>
        <v>2909.09</v>
      </c>
    </row>
    <row r="22" spans="1:9" ht="15" customHeight="1">
      <c r="B22" s="1326" t="s">
        <v>360</v>
      </c>
      <c r="C22" s="1392"/>
      <c r="D22" s="121"/>
      <c r="E22" s="123"/>
      <c r="F22" s="339"/>
      <c r="G22" s="339"/>
      <c r="H22" s="339"/>
      <c r="I22" s="614"/>
    </row>
    <row r="23" spans="1:9" ht="15" customHeight="1">
      <c r="A23" s="117">
        <f>A21+1</f>
        <v>15</v>
      </c>
      <c r="B23" s="1395" t="s">
        <v>353</v>
      </c>
      <c r="C23" s="1396"/>
      <c r="D23" s="121">
        <v>360</v>
      </c>
      <c r="E23" s="123" t="s">
        <v>448</v>
      </c>
      <c r="F23" s="98"/>
      <c r="G23" s="98"/>
      <c r="H23" s="98"/>
      <c r="I23" s="614">
        <f t="shared" si="0"/>
        <v>0</v>
      </c>
    </row>
    <row r="24" spans="1:9" ht="15" customHeight="1">
      <c r="A24" s="117">
        <f>A23+1</f>
        <v>16</v>
      </c>
      <c r="B24" s="1395" t="s">
        <v>354</v>
      </c>
      <c r="C24" s="1396"/>
      <c r="D24" s="121">
        <v>361</v>
      </c>
      <c r="E24" s="123" t="s">
        <v>448</v>
      </c>
      <c r="F24" s="98"/>
      <c r="G24" s="98"/>
      <c r="H24" s="98"/>
      <c r="I24" s="614">
        <f t="shared" si="0"/>
        <v>0</v>
      </c>
    </row>
    <row r="25" spans="1:9" ht="15" customHeight="1">
      <c r="A25" s="117">
        <f>A24+1</f>
        <v>17</v>
      </c>
      <c r="B25" s="1395" t="s">
        <v>454</v>
      </c>
      <c r="C25" s="1396"/>
      <c r="D25" s="121">
        <v>362</v>
      </c>
      <c r="E25" s="123">
        <v>362</v>
      </c>
      <c r="F25" s="98">
        <v>90677.1</v>
      </c>
      <c r="G25" s="98"/>
      <c r="H25" s="98"/>
      <c r="I25" s="614">
        <f t="shared" si="0"/>
        <v>90677.1</v>
      </c>
    </row>
    <row r="26" spans="1:9" ht="15" customHeight="1">
      <c r="A26" s="117">
        <f>A25+1</f>
        <v>18</v>
      </c>
      <c r="B26" s="1395" t="s">
        <v>455</v>
      </c>
      <c r="C26" s="1396"/>
      <c r="D26" s="121">
        <v>363</v>
      </c>
      <c r="E26" s="123">
        <v>363</v>
      </c>
      <c r="F26" s="98">
        <v>58127.46</v>
      </c>
      <c r="G26" s="98">
        <f>531.34+84708</f>
        <v>85239.34</v>
      </c>
      <c r="H26" s="98"/>
      <c r="I26" s="614">
        <f t="shared" si="0"/>
        <v>143366.79999999999</v>
      </c>
    </row>
    <row r="27" spans="1:9" ht="15" customHeight="1">
      <c r="B27" s="1326" t="s">
        <v>456</v>
      </c>
      <c r="C27" s="1392"/>
      <c r="D27" s="121"/>
      <c r="E27" s="123"/>
      <c r="F27" s="339"/>
      <c r="G27" s="339"/>
      <c r="H27" s="339"/>
      <c r="I27" s="614"/>
    </row>
    <row r="28" spans="1:9" ht="15" customHeight="1">
      <c r="A28" s="117">
        <f>A26+1</f>
        <v>19</v>
      </c>
      <c r="B28" s="1395" t="s">
        <v>353</v>
      </c>
      <c r="C28" s="1396"/>
      <c r="D28" s="121">
        <v>370</v>
      </c>
      <c r="E28" s="123" t="s">
        <v>448</v>
      </c>
      <c r="F28" s="98"/>
      <c r="G28" s="98"/>
      <c r="H28" s="98"/>
      <c r="I28" s="614">
        <f t="shared" si="0"/>
        <v>0</v>
      </c>
    </row>
    <row r="29" spans="1:9" ht="15" customHeight="1">
      <c r="A29" s="117">
        <f>A28+1</f>
        <v>20</v>
      </c>
      <c r="B29" s="1395" t="s">
        <v>354</v>
      </c>
      <c r="C29" s="1396"/>
      <c r="D29" s="121">
        <v>371</v>
      </c>
      <c r="E29" s="123" t="s">
        <v>448</v>
      </c>
      <c r="F29" s="98"/>
      <c r="G29" s="98"/>
      <c r="H29" s="98"/>
      <c r="I29" s="614">
        <f t="shared" si="0"/>
        <v>0</v>
      </c>
    </row>
    <row r="30" spans="1:9" ht="15" customHeight="1">
      <c r="A30" s="117">
        <f t="shared" ref="A30:A35" si="2">A29+1</f>
        <v>21</v>
      </c>
      <c r="B30" s="1395" t="s">
        <v>457</v>
      </c>
      <c r="C30" s="1396"/>
      <c r="D30" s="121" t="s">
        <v>448</v>
      </c>
      <c r="E30" s="123">
        <v>372</v>
      </c>
      <c r="F30" s="98">
        <v>854231.29</v>
      </c>
      <c r="G30" s="98">
        <f>23899.84+69635</f>
        <v>93534.84</v>
      </c>
      <c r="H30" s="98"/>
      <c r="I30" s="614">
        <f t="shared" si="0"/>
        <v>947766.13</v>
      </c>
    </row>
    <row r="31" spans="1:9" ht="15" customHeight="1">
      <c r="A31" s="117">
        <f t="shared" si="2"/>
        <v>22</v>
      </c>
      <c r="B31" s="1395" t="s">
        <v>458</v>
      </c>
      <c r="C31" s="1396"/>
      <c r="D31" s="121">
        <v>372</v>
      </c>
      <c r="E31" s="123">
        <v>373</v>
      </c>
      <c r="F31" s="98">
        <v>10340</v>
      </c>
      <c r="G31" s="98">
        <v>8104</v>
      </c>
      <c r="H31" s="98"/>
      <c r="I31" s="614">
        <f t="shared" si="0"/>
        <v>18444</v>
      </c>
    </row>
    <row r="32" spans="1:9" ht="15" customHeight="1">
      <c r="A32" s="117">
        <f t="shared" si="2"/>
        <v>23</v>
      </c>
      <c r="B32" s="319" t="s">
        <v>459</v>
      </c>
      <c r="C32" s="309"/>
      <c r="D32" s="121">
        <v>372.1</v>
      </c>
      <c r="E32" s="123">
        <v>373.1</v>
      </c>
      <c r="F32" s="98"/>
      <c r="G32" s="98"/>
      <c r="H32" s="98"/>
      <c r="I32" s="614">
        <f t="shared" si="0"/>
        <v>0</v>
      </c>
    </row>
    <row r="33" spans="1:9" ht="15" customHeight="1">
      <c r="A33" s="117">
        <f t="shared" si="2"/>
        <v>24</v>
      </c>
      <c r="B33" s="1395" t="s">
        <v>460</v>
      </c>
      <c r="C33" s="1396"/>
      <c r="D33" s="121">
        <v>373</v>
      </c>
      <c r="E33" s="123">
        <v>374</v>
      </c>
      <c r="F33" s="98"/>
      <c r="G33" s="98">
        <v>3063</v>
      </c>
      <c r="H33" s="98"/>
      <c r="I33" s="614">
        <f t="shared" si="0"/>
        <v>3063</v>
      </c>
    </row>
    <row r="34" spans="1:9" ht="15" customHeight="1">
      <c r="A34" s="117">
        <f t="shared" si="2"/>
        <v>25</v>
      </c>
      <c r="B34" s="1395" t="s">
        <v>461</v>
      </c>
      <c r="C34" s="1396"/>
      <c r="D34" s="121">
        <v>374</v>
      </c>
      <c r="E34" s="123">
        <v>375</v>
      </c>
      <c r="F34" s="98"/>
      <c r="G34" s="98"/>
      <c r="H34" s="98"/>
      <c r="I34" s="614">
        <f t="shared" si="0"/>
        <v>0</v>
      </c>
    </row>
    <row r="35" spans="1:9" ht="25.5" customHeight="1">
      <c r="A35" s="284">
        <f t="shared" si="2"/>
        <v>26</v>
      </c>
      <c r="B35" s="1399" t="s">
        <v>774</v>
      </c>
      <c r="C35" s="1504"/>
      <c r="D35" s="538">
        <v>375</v>
      </c>
      <c r="E35" s="625">
        <v>376</v>
      </c>
      <c r="F35" s="234"/>
      <c r="G35" s="234"/>
      <c r="H35" s="234"/>
      <c r="I35" s="876">
        <f t="shared" si="0"/>
        <v>0</v>
      </c>
    </row>
    <row r="36" spans="1:9" ht="15" customHeight="1">
      <c r="B36" s="1326" t="s">
        <v>462</v>
      </c>
      <c r="C36" s="1392"/>
      <c r="D36" s="121"/>
      <c r="E36" s="123"/>
      <c r="F36" s="339"/>
      <c r="G36" s="339"/>
      <c r="H36" s="339"/>
      <c r="I36" s="614"/>
    </row>
    <row r="37" spans="1:9" ht="15" customHeight="1">
      <c r="A37" s="117">
        <f>A35+1</f>
        <v>27</v>
      </c>
      <c r="B37" s="1395" t="s">
        <v>353</v>
      </c>
      <c r="C37" s="1396"/>
      <c r="D37" s="121">
        <v>389</v>
      </c>
      <c r="E37" s="123" t="s">
        <v>448</v>
      </c>
      <c r="F37" s="98"/>
      <c r="G37" s="98"/>
      <c r="H37" s="98"/>
      <c r="I37" s="614">
        <f t="shared" si="0"/>
        <v>0</v>
      </c>
    </row>
    <row r="38" spans="1:9" ht="15" customHeight="1">
      <c r="A38" s="117">
        <f>A37+1</f>
        <v>28</v>
      </c>
      <c r="B38" s="1395" t="s">
        <v>354</v>
      </c>
      <c r="C38" s="1396"/>
      <c r="D38" s="121">
        <v>390</v>
      </c>
      <c r="E38" s="123" t="s">
        <v>448</v>
      </c>
      <c r="F38" s="98"/>
      <c r="G38" s="98"/>
      <c r="H38" s="98"/>
      <c r="I38" s="614">
        <f t="shared" si="0"/>
        <v>0</v>
      </c>
    </row>
    <row r="39" spans="1:9" ht="15" customHeight="1">
      <c r="A39" s="117">
        <f t="shared" ref="A39:A47" si="3">A38+1</f>
        <v>29</v>
      </c>
      <c r="B39" s="1395" t="s">
        <v>463</v>
      </c>
      <c r="C39" s="1396"/>
      <c r="D39" s="121">
        <v>391</v>
      </c>
      <c r="E39" s="123">
        <v>391</v>
      </c>
      <c r="F39" s="98">
        <v>5920.65</v>
      </c>
      <c r="G39" s="98">
        <v>1585</v>
      </c>
      <c r="H39" s="98"/>
      <c r="I39" s="614">
        <f t="shared" si="0"/>
        <v>7505.65</v>
      </c>
    </row>
    <row r="40" spans="1:9" ht="15" customHeight="1">
      <c r="A40" s="117">
        <f t="shared" si="3"/>
        <v>30</v>
      </c>
      <c r="B40" s="1394" t="s">
        <v>464</v>
      </c>
      <c r="C40" s="1198"/>
      <c r="D40" s="121">
        <v>391.1</v>
      </c>
      <c r="E40" s="123">
        <v>391.1</v>
      </c>
      <c r="F40" s="98"/>
      <c r="G40" s="98"/>
      <c r="H40" s="98"/>
      <c r="I40" s="614">
        <f t="shared" si="0"/>
        <v>0</v>
      </c>
    </row>
    <row r="41" spans="1:9" ht="15" customHeight="1">
      <c r="A41" s="117">
        <f t="shared" si="3"/>
        <v>31</v>
      </c>
      <c r="B41" s="1395" t="s">
        <v>465</v>
      </c>
      <c r="C41" s="1396"/>
      <c r="D41" s="121">
        <v>392</v>
      </c>
      <c r="E41" s="123">
        <v>392</v>
      </c>
      <c r="F41" s="98"/>
      <c r="G41" s="98">
        <v>8569</v>
      </c>
      <c r="H41" s="98"/>
      <c r="I41" s="614">
        <f t="shared" si="0"/>
        <v>8569</v>
      </c>
    </row>
    <row r="42" spans="1:9" ht="15" customHeight="1">
      <c r="A42" s="117">
        <f t="shared" si="3"/>
        <v>32</v>
      </c>
      <c r="B42" s="1395" t="s">
        <v>775</v>
      </c>
      <c r="C42" s="1396"/>
      <c r="D42" s="121" t="s">
        <v>448</v>
      </c>
      <c r="E42" s="123">
        <v>393</v>
      </c>
      <c r="F42" s="98"/>
      <c r="G42" s="98">
        <v>2811</v>
      </c>
      <c r="H42" s="98"/>
      <c r="I42" s="614">
        <f t="shared" si="0"/>
        <v>2811</v>
      </c>
    </row>
    <row r="43" spans="1:9" ht="15" customHeight="1">
      <c r="A43" s="117">
        <f t="shared" si="3"/>
        <v>33</v>
      </c>
      <c r="B43" s="1395" t="s">
        <v>466</v>
      </c>
      <c r="C43" s="1396"/>
      <c r="D43" s="121">
        <v>393</v>
      </c>
      <c r="E43" s="123" t="s">
        <v>467</v>
      </c>
      <c r="F43" s="98"/>
      <c r="G43" s="98"/>
      <c r="H43" s="98"/>
      <c r="I43" s="614">
        <f t="shared" si="0"/>
        <v>0</v>
      </c>
    </row>
    <row r="44" spans="1:9" ht="15" customHeight="1">
      <c r="A44" s="117">
        <f t="shared" si="3"/>
        <v>34</v>
      </c>
      <c r="B44" s="1395" t="s">
        <v>468</v>
      </c>
      <c r="C44" s="1396"/>
      <c r="D44" s="121">
        <v>394</v>
      </c>
      <c r="E44" s="123" t="s">
        <v>467</v>
      </c>
      <c r="F44" s="98">
        <v>3035.66</v>
      </c>
      <c r="G44" s="98"/>
      <c r="H44" s="98"/>
      <c r="I44" s="614">
        <f t="shared" si="0"/>
        <v>3035.66</v>
      </c>
    </row>
    <row r="45" spans="1:9" ht="15" customHeight="1">
      <c r="A45" s="117">
        <f t="shared" si="3"/>
        <v>35</v>
      </c>
      <c r="B45" s="1395" t="s">
        <v>469</v>
      </c>
      <c r="C45" s="1396"/>
      <c r="D45" s="121">
        <v>395</v>
      </c>
      <c r="E45" s="123" t="s">
        <v>467</v>
      </c>
      <c r="F45" s="98"/>
      <c r="G45" s="98"/>
      <c r="H45" s="98"/>
      <c r="I45" s="614">
        <f t="shared" si="0"/>
        <v>0</v>
      </c>
    </row>
    <row r="46" spans="1:9" ht="15" customHeight="1">
      <c r="A46" s="117">
        <f t="shared" si="3"/>
        <v>36</v>
      </c>
      <c r="B46" s="1395" t="s">
        <v>470</v>
      </c>
      <c r="C46" s="1396"/>
      <c r="D46" s="121">
        <v>396</v>
      </c>
      <c r="E46" s="123" t="s">
        <v>467</v>
      </c>
      <c r="F46" s="98"/>
      <c r="G46" s="98"/>
      <c r="H46" s="98"/>
      <c r="I46" s="614">
        <f t="shared" si="0"/>
        <v>0</v>
      </c>
    </row>
    <row r="47" spans="1:9" ht="15" customHeight="1">
      <c r="A47" s="117">
        <f t="shared" si="3"/>
        <v>37</v>
      </c>
      <c r="B47" s="1395" t="s">
        <v>471</v>
      </c>
      <c r="C47" s="1396"/>
      <c r="D47" s="121">
        <v>397</v>
      </c>
      <c r="E47" s="123" t="s">
        <v>467</v>
      </c>
      <c r="F47" s="98">
        <v>7843.24</v>
      </c>
      <c r="G47" s="98">
        <v>101.78</v>
      </c>
      <c r="H47" s="98"/>
      <c r="I47" s="614">
        <f t="shared" si="0"/>
        <v>7945.0199999999995</v>
      </c>
    </row>
    <row r="48" spans="1:9" ht="13.5" thickBot="1">
      <c r="A48" s="117">
        <f>A47+1</f>
        <v>38</v>
      </c>
      <c r="B48" s="1502" t="s">
        <v>472</v>
      </c>
      <c r="C48" s="1503"/>
      <c r="D48" s="309"/>
      <c r="E48" s="363"/>
      <c r="F48" s="626">
        <f>SUM(F8:F47)</f>
        <v>2030675.7799999998</v>
      </c>
      <c r="G48" s="626">
        <f>SUM(G8:G47)</f>
        <v>316395.70000000007</v>
      </c>
      <c r="H48" s="626">
        <f>SUM(H8:H47)</f>
        <v>9891.7199999999993</v>
      </c>
      <c r="I48" s="492">
        <f t="shared" si="0"/>
        <v>2337179.7599999998</v>
      </c>
    </row>
    <row r="49" spans="1:9" ht="10.5" customHeight="1" thickTop="1" thickBot="1">
      <c r="B49" s="1391"/>
      <c r="C49" s="1501"/>
      <c r="D49" s="491"/>
      <c r="E49" s="460"/>
      <c r="F49" s="544"/>
      <c r="G49" s="544"/>
      <c r="H49" s="544"/>
      <c r="I49" s="546" t="s">
        <v>602</v>
      </c>
    </row>
    <row r="50" spans="1:9" ht="27.75" customHeight="1">
      <c r="B50" s="1505" t="s">
        <v>473</v>
      </c>
      <c r="C50" s="1506"/>
      <c r="D50" s="1506"/>
      <c r="E50" s="1506"/>
      <c r="F50" s="1506"/>
      <c r="G50" s="1506"/>
      <c r="H50" s="1506"/>
      <c r="I50" s="1506"/>
    </row>
    <row r="51" spans="1:9" ht="8.1" customHeight="1" thickBot="1">
      <c r="B51" s="1170"/>
      <c r="C51" s="1170"/>
      <c r="D51" s="1170"/>
      <c r="E51" s="1170"/>
      <c r="F51" s="1170"/>
      <c r="G51" s="1170"/>
      <c r="H51" s="1170"/>
      <c r="I51" s="1170"/>
    </row>
    <row r="52" spans="1:9" ht="30.75" customHeight="1" thickBot="1">
      <c r="A52" s="284">
        <v>39</v>
      </c>
      <c r="B52" s="1496" t="s">
        <v>474</v>
      </c>
      <c r="C52" s="1497"/>
      <c r="D52" s="1497"/>
      <c r="E52" s="1497"/>
      <c r="F52" s="1497"/>
      <c r="G52" s="1497"/>
      <c r="H52" s="1497"/>
      <c r="I52" s="1498"/>
    </row>
    <row r="53" spans="1:9" ht="5.0999999999999996" customHeight="1">
      <c r="C53" s="412"/>
      <c r="D53" s="412"/>
      <c r="E53" s="412"/>
      <c r="F53" s="412"/>
      <c r="G53" s="412"/>
      <c r="H53" s="627"/>
      <c r="I53" s="466"/>
    </row>
    <row r="54" spans="1:9" s="17" customFormat="1" ht="15.75">
      <c r="A54" s="274"/>
      <c r="B54" s="275" t="s">
        <v>712</v>
      </c>
      <c r="E54" s="58"/>
      <c r="H54" s="1499"/>
      <c r="I54" s="1500"/>
    </row>
    <row r="55" spans="1:9" s="17" customFormat="1" ht="12" customHeight="1">
      <c r="A55" s="276"/>
      <c r="B55" s="277" t="s">
        <v>713</v>
      </c>
      <c r="E55" s="58"/>
      <c r="I55" s="77" t="s">
        <v>13</v>
      </c>
    </row>
    <row r="56" spans="1:9" s="17" customFormat="1" ht="15">
      <c r="A56" s="92"/>
      <c r="B56" s="83"/>
      <c r="E56" s="58">
        <v>941846.66</v>
      </c>
      <c r="F56" s="17">
        <v>136674</v>
      </c>
      <c r="H56" s="244"/>
    </row>
    <row r="57" spans="1:9" s="17" customFormat="1" ht="15">
      <c r="A57" s="92"/>
      <c r="B57" s="83"/>
      <c r="E57" s="58"/>
      <c r="F57" s="17">
        <v>50684.67</v>
      </c>
      <c r="H57" s="244"/>
    </row>
    <row r="58" spans="1:9" s="17" customFormat="1" ht="15">
      <c r="B58" s="83"/>
      <c r="E58" s="58"/>
      <c r="F58" s="17">
        <f>F56+F57</f>
        <v>187358.66999999998</v>
      </c>
      <c r="G58" s="857">
        <f>F58-G48</f>
        <v>-129037.03000000009</v>
      </c>
      <c r="H58" s="244"/>
    </row>
    <row r="59" spans="1:9" ht="15">
      <c r="H59" s="316"/>
    </row>
    <row r="60" spans="1:9" ht="15">
      <c r="H60" s="316"/>
    </row>
    <row r="61" spans="1:9" ht="15">
      <c r="H61" s="316"/>
    </row>
    <row r="62" spans="1:9" ht="15">
      <c r="H62" s="316"/>
    </row>
    <row r="63" spans="1:9" ht="15">
      <c r="H63" s="316"/>
    </row>
    <row r="64" spans="1:9" ht="15">
      <c r="H64" s="316"/>
    </row>
    <row r="65" spans="8:8" ht="15">
      <c r="H65" s="316"/>
    </row>
    <row r="66" spans="8:8" ht="15">
      <c r="H66" s="316"/>
    </row>
    <row r="67" spans="8:8" ht="15">
      <c r="H67" s="316"/>
    </row>
    <row r="68" spans="8:8" ht="15">
      <c r="H68" s="316"/>
    </row>
    <row r="69" spans="8:8" ht="15">
      <c r="H69" s="316"/>
    </row>
    <row r="70" spans="8:8" ht="15">
      <c r="H70" s="316"/>
    </row>
    <row r="71" spans="8:8" ht="15">
      <c r="H71" s="316"/>
    </row>
    <row r="73" spans="8:8">
      <c r="H73" s="21" t="s">
        <v>14</v>
      </c>
    </row>
    <row r="74" spans="8:8">
      <c r="H74" s="21" t="s">
        <v>15</v>
      </c>
    </row>
  </sheetData>
  <sheetProtection password="C0F1" sheet="1" formatCells="0" formatColumns="0" formatRows="0" insertColumns="0" insertRows="0"/>
  <customSheetViews>
    <customSheetView guid="{1F4AFEE5-5BDD-4100-B0E9-57B262CA123C}" scale="145" showPageBreaks="1" showGridLines="0" fitToPage="1" printArea="1" view="pageBreakPreview">
      <selection activeCell="B50" sqref="B50:I50"/>
      <pageMargins left="0.45" right="0.45" top="0.5" bottom="0.25" header="0.3" footer="0.3"/>
      <printOptions horizontalCentered="1"/>
      <pageSetup scale="82" orientation="portrait" r:id="rId1"/>
      <headerFooter>
        <oddFooter>&amp;C&amp;A</oddFooter>
      </headerFooter>
    </customSheetView>
  </customSheetViews>
  <mergeCells count="55">
    <mergeCell ref="B5:C6"/>
    <mergeCell ref="G5:G6"/>
    <mergeCell ref="H5:H6"/>
    <mergeCell ref="C2:I2"/>
    <mergeCell ref="B3:I3"/>
    <mergeCell ref="B4:I4"/>
    <mergeCell ref="D5:E5"/>
    <mergeCell ref="I5:I6"/>
    <mergeCell ref="F5:F6"/>
    <mergeCell ref="B11:C11"/>
    <mergeCell ref="B12:C12"/>
    <mergeCell ref="B9:C9"/>
    <mergeCell ref="B10:C10"/>
    <mergeCell ref="B7:C7"/>
    <mergeCell ref="B8:C8"/>
    <mergeCell ref="B17:C17"/>
    <mergeCell ref="B18:C18"/>
    <mergeCell ref="B15:C15"/>
    <mergeCell ref="B16:C16"/>
    <mergeCell ref="B13:C13"/>
    <mergeCell ref="B14:C14"/>
    <mergeCell ref="B23:C23"/>
    <mergeCell ref="B24:C24"/>
    <mergeCell ref="B21:C21"/>
    <mergeCell ref="B22:C22"/>
    <mergeCell ref="B19:C19"/>
    <mergeCell ref="B20:C20"/>
    <mergeCell ref="B31:C31"/>
    <mergeCell ref="B27:C27"/>
    <mergeCell ref="B28:C28"/>
    <mergeCell ref="B25:C25"/>
    <mergeCell ref="B26:C26"/>
    <mergeCell ref="B29:C29"/>
    <mergeCell ref="B30:C30"/>
    <mergeCell ref="B35:C35"/>
    <mergeCell ref="B36:C36"/>
    <mergeCell ref="B33:C33"/>
    <mergeCell ref="B34:C34"/>
    <mergeCell ref="B51:I51"/>
    <mergeCell ref="B37:C37"/>
    <mergeCell ref="B38:C38"/>
    <mergeCell ref="B43:C43"/>
    <mergeCell ref="B44:C44"/>
    <mergeCell ref="B45:C45"/>
    <mergeCell ref="B50:I50"/>
    <mergeCell ref="B41:C41"/>
    <mergeCell ref="B42:C42"/>
    <mergeCell ref="B39:C39"/>
    <mergeCell ref="B40:C40"/>
    <mergeCell ref="B52:I52"/>
    <mergeCell ref="H54:I54"/>
    <mergeCell ref="B49:C49"/>
    <mergeCell ref="B46:C46"/>
    <mergeCell ref="B47:C47"/>
    <mergeCell ref="B48:C48"/>
  </mergeCells>
  <dataValidations count="2">
    <dataValidation allowBlank="1" showInputMessage="1" prompt="This field is to be used when filing under seal." sqref="H72:H74"/>
    <dataValidation type="list" allowBlank="1" showInputMessage="1" showErrorMessage="1" sqref="H54:I54">
      <formula1>$H$72:$H$74</formula1>
    </dataValidation>
  </dataValidations>
  <printOptions horizontalCentered="1"/>
  <pageMargins left="0.45" right="0.45" top="0.5" bottom="0.25" header="0.3" footer="0.3"/>
  <pageSetup scale="80" orientation="portrait" r:id="rId2"/>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69"/>
  <sheetViews>
    <sheetView zoomScale="55" zoomScaleNormal="55" workbookViewId="0">
      <selection activeCell="A2" sqref="A2:F3"/>
    </sheetView>
  </sheetViews>
  <sheetFormatPr defaultRowHeight="15"/>
  <cols>
    <col min="1" max="1" width="148" bestFit="1" customWidth="1"/>
    <col min="2" max="2" width="51.85546875" bestFit="1" customWidth="1"/>
    <col min="3" max="3" width="20.7109375" bestFit="1" customWidth="1"/>
    <col min="4" max="4" width="25.85546875" bestFit="1" customWidth="1"/>
    <col min="5" max="5" width="20.7109375" bestFit="1" customWidth="1"/>
    <col min="6" max="6" width="19.42578125" bestFit="1" customWidth="1"/>
    <col min="7" max="7" width="13.7109375" bestFit="1" customWidth="1"/>
  </cols>
  <sheetData>
    <row r="5" spans="1:7">
      <c r="A5" s="1139" t="s">
        <v>1063</v>
      </c>
      <c r="B5" s="1139"/>
      <c r="C5" s="1139"/>
      <c r="D5" s="1139"/>
      <c r="E5" s="1139"/>
      <c r="F5" s="885"/>
      <c r="G5" s="885"/>
    </row>
    <row r="7" spans="1:7" ht="17.25">
      <c r="A7" s="887"/>
      <c r="B7" s="887"/>
      <c r="C7" s="892" t="s">
        <v>1064</v>
      </c>
      <c r="D7" s="892" t="s">
        <v>1065</v>
      </c>
      <c r="E7" s="887" t="s">
        <v>1064</v>
      </c>
      <c r="F7" s="887" t="s">
        <v>1066</v>
      </c>
      <c r="G7" s="887" t="s">
        <v>1067</v>
      </c>
    </row>
    <row r="8" spans="1:7" ht="17.25">
      <c r="A8" s="887" t="s">
        <v>1068</v>
      </c>
      <c r="B8" s="887" t="s">
        <v>1069</v>
      </c>
      <c r="C8" s="892" t="s">
        <v>1070</v>
      </c>
      <c r="D8" s="892" t="s">
        <v>1071</v>
      </c>
      <c r="E8" s="887" t="s">
        <v>1072</v>
      </c>
      <c r="F8" s="898">
        <v>2011</v>
      </c>
      <c r="G8" s="885"/>
    </row>
    <row r="9" spans="1:7">
      <c r="A9" s="885"/>
      <c r="B9" s="896" t="s">
        <v>347</v>
      </c>
      <c r="C9" s="885"/>
      <c r="D9" s="885"/>
      <c r="E9" s="889"/>
      <c r="F9" s="885"/>
      <c r="G9" s="885"/>
    </row>
    <row r="10" spans="1:7">
      <c r="A10" s="886">
        <v>301</v>
      </c>
      <c r="B10" s="885" t="s">
        <v>349</v>
      </c>
      <c r="C10" s="890">
        <v>35409</v>
      </c>
      <c r="D10" s="885"/>
      <c r="E10" s="894">
        <v>35409</v>
      </c>
      <c r="F10" s="897">
        <v>35409</v>
      </c>
      <c r="G10" s="890">
        <v>0</v>
      </c>
    </row>
    <row r="11" spans="1:7">
      <c r="A11" s="886">
        <v>302</v>
      </c>
      <c r="B11" s="885" t="s">
        <v>350</v>
      </c>
      <c r="C11" s="890">
        <v>4109</v>
      </c>
      <c r="D11" s="885"/>
      <c r="E11" s="894">
        <v>4109</v>
      </c>
      <c r="F11" s="897">
        <v>4109</v>
      </c>
      <c r="G11" s="890">
        <v>0</v>
      </c>
    </row>
    <row r="12" spans="1:7">
      <c r="A12" s="886">
        <v>303</v>
      </c>
      <c r="B12" s="885" t="s">
        <v>351</v>
      </c>
      <c r="C12" s="890">
        <v>11160</v>
      </c>
      <c r="D12" s="885"/>
      <c r="E12" s="894">
        <v>11160</v>
      </c>
      <c r="F12" s="897">
        <v>11160</v>
      </c>
      <c r="G12" s="890">
        <v>0</v>
      </c>
    </row>
    <row r="13" spans="1:7">
      <c r="A13" s="885"/>
      <c r="B13" s="896" t="s">
        <v>352</v>
      </c>
      <c r="C13" s="885"/>
      <c r="D13" s="885"/>
      <c r="E13" s="894">
        <v>0</v>
      </c>
      <c r="F13" s="897"/>
      <c r="G13" s="890">
        <v>0</v>
      </c>
    </row>
    <row r="14" spans="1:7">
      <c r="A14" s="886">
        <v>310</v>
      </c>
      <c r="B14" s="885" t="s">
        <v>353</v>
      </c>
      <c r="C14" s="890">
        <v>2025</v>
      </c>
      <c r="D14" s="885"/>
      <c r="E14" s="894">
        <v>2025</v>
      </c>
      <c r="F14" s="897">
        <v>2025</v>
      </c>
      <c r="G14" s="890">
        <v>0</v>
      </c>
    </row>
    <row r="15" spans="1:7">
      <c r="A15" s="886">
        <v>311</v>
      </c>
      <c r="B15" s="885" t="s">
        <v>354</v>
      </c>
      <c r="C15" s="890">
        <v>0</v>
      </c>
      <c r="D15" s="885"/>
      <c r="E15" s="894">
        <v>0</v>
      </c>
      <c r="F15" s="897"/>
      <c r="G15" s="890">
        <v>0</v>
      </c>
    </row>
    <row r="16" spans="1:7">
      <c r="A16" s="886">
        <v>312</v>
      </c>
      <c r="B16" s="885" t="s">
        <v>355</v>
      </c>
      <c r="C16" s="890">
        <v>0</v>
      </c>
      <c r="D16" s="885"/>
      <c r="E16" s="894">
        <v>0</v>
      </c>
      <c r="F16" s="897"/>
      <c r="G16" s="890">
        <v>0</v>
      </c>
    </row>
    <row r="17" spans="1:7">
      <c r="A17" s="886">
        <v>313</v>
      </c>
      <c r="B17" s="885" t="s">
        <v>356</v>
      </c>
      <c r="C17" s="890">
        <v>0</v>
      </c>
      <c r="D17" s="885"/>
      <c r="E17" s="894">
        <v>0</v>
      </c>
      <c r="F17" s="897"/>
      <c r="G17" s="890">
        <v>0</v>
      </c>
    </row>
    <row r="18" spans="1:7">
      <c r="A18" s="886">
        <v>314</v>
      </c>
      <c r="B18" s="885" t="s">
        <v>357</v>
      </c>
      <c r="C18" s="890">
        <v>12979</v>
      </c>
      <c r="D18" s="885"/>
      <c r="E18" s="894">
        <v>12979</v>
      </c>
      <c r="F18" s="897">
        <v>12979</v>
      </c>
      <c r="G18" s="890">
        <v>0</v>
      </c>
    </row>
    <row r="19" spans="1:7">
      <c r="A19" s="886">
        <v>315</v>
      </c>
      <c r="B19" s="885" t="s">
        <v>358</v>
      </c>
      <c r="C19" s="890">
        <v>0</v>
      </c>
      <c r="D19" s="885"/>
      <c r="E19" s="894">
        <v>0</v>
      </c>
      <c r="F19" s="897"/>
      <c r="G19" s="890">
        <v>0</v>
      </c>
    </row>
    <row r="20" spans="1:7">
      <c r="A20" s="886">
        <v>316</v>
      </c>
      <c r="B20" s="885" t="s">
        <v>359</v>
      </c>
      <c r="C20" s="890">
        <v>0</v>
      </c>
      <c r="D20" s="885"/>
      <c r="E20" s="894">
        <v>0</v>
      </c>
      <c r="F20" s="897"/>
      <c r="G20" s="890">
        <v>0</v>
      </c>
    </row>
    <row r="21" spans="1:7">
      <c r="A21" s="886">
        <v>317</v>
      </c>
      <c r="B21" s="885" t="s">
        <v>1073</v>
      </c>
      <c r="C21" s="890">
        <v>0</v>
      </c>
      <c r="D21" s="885"/>
      <c r="E21" s="894">
        <v>0</v>
      </c>
      <c r="F21" s="897"/>
      <c r="G21" s="890">
        <v>0</v>
      </c>
    </row>
    <row r="22" spans="1:7">
      <c r="A22" s="885"/>
      <c r="B22" s="896" t="s">
        <v>360</v>
      </c>
      <c r="C22" s="885"/>
      <c r="D22" s="885"/>
      <c r="E22" s="894">
        <v>0</v>
      </c>
      <c r="F22" s="897"/>
      <c r="G22" s="890">
        <v>0</v>
      </c>
    </row>
    <row r="23" spans="1:7">
      <c r="A23" s="886">
        <v>320</v>
      </c>
      <c r="B23" s="885" t="s">
        <v>353</v>
      </c>
      <c r="C23" s="890">
        <v>0</v>
      </c>
      <c r="D23" s="885"/>
      <c r="E23" s="894">
        <v>0</v>
      </c>
      <c r="F23" s="897"/>
      <c r="G23" s="890">
        <v>0</v>
      </c>
    </row>
    <row r="24" spans="1:7">
      <c r="A24" s="886">
        <v>321</v>
      </c>
      <c r="B24" s="885" t="s">
        <v>354</v>
      </c>
      <c r="C24" s="890">
        <v>43958</v>
      </c>
      <c r="D24" s="885"/>
      <c r="E24" s="894">
        <v>43958</v>
      </c>
      <c r="F24" s="897">
        <v>43958</v>
      </c>
      <c r="G24" s="890">
        <v>0</v>
      </c>
    </row>
    <row r="25" spans="1:7">
      <c r="A25" s="886">
        <v>322</v>
      </c>
      <c r="B25" s="885" t="s">
        <v>361</v>
      </c>
      <c r="C25" s="890">
        <v>0</v>
      </c>
      <c r="D25" s="885"/>
      <c r="E25" s="894">
        <v>0</v>
      </c>
      <c r="F25" s="897"/>
      <c r="G25" s="890">
        <v>0</v>
      </c>
    </row>
    <row r="26" spans="1:7">
      <c r="A26" s="886">
        <v>323</v>
      </c>
      <c r="B26" s="885" t="s">
        <v>1074</v>
      </c>
      <c r="C26" s="890">
        <v>22847</v>
      </c>
      <c r="D26" s="885"/>
      <c r="E26" s="894">
        <v>22847</v>
      </c>
      <c r="F26" s="897">
        <v>22847</v>
      </c>
      <c r="G26" s="890">
        <v>0</v>
      </c>
    </row>
    <row r="27" spans="1:7">
      <c r="A27" s="886">
        <v>325.10000000000002</v>
      </c>
      <c r="B27" s="885" t="s">
        <v>362</v>
      </c>
      <c r="C27" s="890">
        <v>120558</v>
      </c>
      <c r="D27" s="885"/>
      <c r="E27" s="894">
        <v>120558</v>
      </c>
      <c r="F27" s="897">
        <v>120558</v>
      </c>
      <c r="G27" s="890">
        <v>0</v>
      </c>
    </row>
    <row r="28" spans="1:7">
      <c r="A28" s="886">
        <v>325.2</v>
      </c>
      <c r="B28" s="885" t="s">
        <v>363</v>
      </c>
      <c r="C28" s="890">
        <v>0</v>
      </c>
      <c r="D28" s="885"/>
      <c r="E28" s="894">
        <v>0</v>
      </c>
      <c r="F28" s="897"/>
      <c r="G28" s="890">
        <v>0</v>
      </c>
    </row>
    <row r="29" spans="1:7">
      <c r="A29" s="886">
        <v>326</v>
      </c>
      <c r="B29" s="885" t="s">
        <v>364</v>
      </c>
      <c r="C29" s="890">
        <v>0</v>
      </c>
      <c r="D29" s="885"/>
      <c r="E29" s="894">
        <v>0</v>
      </c>
      <c r="F29" s="897"/>
      <c r="G29" s="890">
        <v>0</v>
      </c>
    </row>
    <row r="30" spans="1:7">
      <c r="A30" s="886">
        <v>327</v>
      </c>
      <c r="B30" s="885" t="s">
        <v>365</v>
      </c>
      <c r="C30" s="890">
        <v>0</v>
      </c>
      <c r="D30" s="885"/>
      <c r="E30" s="894">
        <v>0</v>
      </c>
      <c r="F30" s="897"/>
      <c r="G30" s="890">
        <v>0</v>
      </c>
    </row>
    <row r="31" spans="1:7">
      <c r="A31" s="886">
        <v>328</v>
      </c>
      <c r="B31" s="885" t="s">
        <v>1075</v>
      </c>
      <c r="C31" s="890">
        <v>0</v>
      </c>
      <c r="D31" s="885"/>
      <c r="E31" s="894">
        <v>0</v>
      </c>
      <c r="F31" s="897"/>
      <c r="G31" s="890">
        <v>0</v>
      </c>
    </row>
    <row r="32" spans="1:7">
      <c r="A32" s="885"/>
      <c r="B32" s="896" t="s">
        <v>366</v>
      </c>
      <c r="C32" s="885"/>
      <c r="D32" s="885"/>
      <c r="E32" s="894">
        <v>0</v>
      </c>
      <c r="F32" s="897"/>
      <c r="G32" s="890">
        <v>0</v>
      </c>
    </row>
    <row r="33" spans="1:7">
      <c r="A33" s="886">
        <v>330</v>
      </c>
      <c r="B33" s="885" t="s">
        <v>353</v>
      </c>
      <c r="C33" s="890">
        <v>0</v>
      </c>
      <c r="D33" s="885"/>
      <c r="E33" s="894">
        <v>0</v>
      </c>
      <c r="F33" s="897"/>
      <c r="G33" s="890">
        <v>0</v>
      </c>
    </row>
    <row r="34" spans="1:7">
      <c r="A34" s="886">
        <v>331</v>
      </c>
      <c r="B34" s="885" t="s">
        <v>354</v>
      </c>
      <c r="C34" s="890">
        <v>0</v>
      </c>
      <c r="D34" s="885"/>
      <c r="E34" s="894">
        <v>0</v>
      </c>
      <c r="F34" s="897"/>
      <c r="G34" s="890">
        <v>0</v>
      </c>
    </row>
    <row r="35" spans="1:7">
      <c r="A35" s="886">
        <v>332</v>
      </c>
      <c r="B35" s="885" t="s">
        <v>367</v>
      </c>
      <c r="C35" s="890">
        <v>1926</v>
      </c>
      <c r="D35" s="885"/>
      <c r="E35" s="894">
        <v>1926</v>
      </c>
      <c r="F35" s="897">
        <v>1926</v>
      </c>
      <c r="G35" s="890">
        <v>0</v>
      </c>
    </row>
    <row r="36" spans="1:7">
      <c r="A36" s="885"/>
      <c r="B36" s="896" t="s">
        <v>368</v>
      </c>
      <c r="C36" s="885"/>
      <c r="D36" s="885"/>
      <c r="E36" s="894">
        <v>0</v>
      </c>
      <c r="F36" s="897"/>
      <c r="G36" s="890">
        <v>0</v>
      </c>
    </row>
    <row r="37" spans="1:7">
      <c r="A37" s="886">
        <v>340</v>
      </c>
      <c r="B37" s="885" t="s">
        <v>353</v>
      </c>
      <c r="C37" s="890">
        <v>0</v>
      </c>
      <c r="D37" s="885"/>
      <c r="E37" s="894">
        <v>0</v>
      </c>
      <c r="F37" s="897"/>
      <c r="G37" s="890">
        <v>0</v>
      </c>
    </row>
    <row r="38" spans="1:7">
      <c r="A38" s="886">
        <v>341</v>
      </c>
      <c r="B38" s="885" t="s">
        <v>354</v>
      </c>
      <c r="C38" s="890">
        <v>0</v>
      </c>
      <c r="D38" s="885"/>
      <c r="E38" s="894">
        <v>0</v>
      </c>
      <c r="F38" s="897"/>
      <c r="G38" s="890">
        <v>0</v>
      </c>
    </row>
    <row r="39" spans="1:7">
      <c r="A39" s="886">
        <v>342</v>
      </c>
      <c r="B39" s="885" t="s">
        <v>369</v>
      </c>
      <c r="C39" s="890">
        <v>32618</v>
      </c>
      <c r="D39" s="885"/>
      <c r="E39" s="894">
        <v>32618</v>
      </c>
      <c r="F39" s="897">
        <v>32618</v>
      </c>
      <c r="G39" s="890">
        <v>0</v>
      </c>
    </row>
    <row r="40" spans="1:7">
      <c r="A40" s="886">
        <v>343</v>
      </c>
      <c r="B40" s="885" t="s">
        <v>370</v>
      </c>
      <c r="C40" s="890">
        <v>167173</v>
      </c>
      <c r="D40" s="885"/>
      <c r="E40" s="894">
        <v>167173</v>
      </c>
      <c r="F40" s="897">
        <v>167173</v>
      </c>
      <c r="G40" s="890">
        <v>0</v>
      </c>
    </row>
    <row r="41" spans="1:7">
      <c r="A41" s="886">
        <v>344</v>
      </c>
      <c r="B41" s="885" t="s">
        <v>371</v>
      </c>
      <c r="C41" s="890">
        <v>0</v>
      </c>
      <c r="D41" s="885"/>
      <c r="E41" s="894">
        <v>0</v>
      </c>
      <c r="F41" s="897"/>
      <c r="G41" s="890">
        <v>0</v>
      </c>
    </row>
    <row r="42" spans="1:7">
      <c r="A42" s="886">
        <v>345</v>
      </c>
      <c r="B42" s="885" t="s">
        <v>372</v>
      </c>
      <c r="C42" s="890">
        <v>9114</v>
      </c>
      <c r="D42" s="890">
        <v>910</v>
      </c>
      <c r="E42" s="894">
        <v>10024</v>
      </c>
      <c r="F42" s="897">
        <v>11082.22</v>
      </c>
      <c r="G42" s="890">
        <v>-1058.2199999999993</v>
      </c>
    </row>
    <row r="43" spans="1:7">
      <c r="A43" s="886">
        <v>346</v>
      </c>
      <c r="B43" s="885" t="s">
        <v>373</v>
      </c>
      <c r="C43" s="890">
        <v>112005.21</v>
      </c>
      <c r="D43" s="890">
        <v>1415</v>
      </c>
      <c r="E43" s="894">
        <v>113420.21</v>
      </c>
      <c r="F43" s="897">
        <v>114801.28</v>
      </c>
      <c r="G43" s="890">
        <v>-1381.0699999999924</v>
      </c>
    </row>
    <row r="44" spans="1:7">
      <c r="A44" s="886">
        <v>347</v>
      </c>
      <c r="B44" s="885" t="s">
        <v>374</v>
      </c>
      <c r="C44" s="890">
        <v>26466</v>
      </c>
      <c r="D44" s="890">
        <v>5208</v>
      </c>
      <c r="E44" s="894">
        <v>31674</v>
      </c>
      <c r="F44" s="897">
        <v>31674</v>
      </c>
      <c r="G44" s="890">
        <v>0</v>
      </c>
    </row>
    <row r="45" spans="1:7">
      <c r="A45" s="886">
        <v>348</v>
      </c>
      <c r="B45" s="885" t="s">
        <v>375</v>
      </c>
      <c r="C45" s="890">
        <v>14760</v>
      </c>
      <c r="D45" s="890">
        <v>2140</v>
      </c>
      <c r="E45" s="894">
        <v>16900</v>
      </c>
      <c r="F45" s="897">
        <v>16900</v>
      </c>
      <c r="G45" s="890">
        <v>0</v>
      </c>
    </row>
    <row r="46" spans="1:7">
      <c r="A46" s="886">
        <v>349</v>
      </c>
      <c r="B46" s="885" t="s">
        <v>376</v>
      </c>
      <c r="C46" s="890">
        <v>0</v>
      </c>
      <c r="D46" s="885"/>
      <c r="E46" s="894">
        <v>0</v>
      </c>
      <c r="F46" s="897"/>
      <c r="G46" s="890">
        <v>0</v>
      </c>
    </row>
    <row r="47" spans="1:7">
      <c r="A47" s="885"/>
      <c r="B47" s="896" t="s">
        <v>377</v>
      </c>
      <c r="C47" s="885"/>
      <c r="D47" s="885"/>
      <c r="E47" s="894">
        <v>0</v>
      </c>
      <c r="F47" s="897"/>
      <c r="G47" s="890">
        <v>0</v>
      </c>
    </row>
    <row r="48" spans="1:7">
      <c r="A48" s="886">
        <v>370</v>
      </c>
      <c r="B48" s="885" t="s">
        <v>1076</v>
      </c>
      <c r="C48" s="890">
        <v>0</v>
      </c>
      <c r="D48" s="885"/>
      <c r="E48" s="894">
        <v>0</v>
      </c>
      <c r="F48" s="897"/>
      <c r="G48" s="890">
        <v>0</v>
      </c>
    </row>
    <row r="49" spans="1:7">
      <c r="A49" s="886">
        <v>371</v>
      </c>
      <c r="B49" s="885" t="s">
        <v>381</v>
      </c>
      <c r="C49" s="890">
        <v>0</v>
      </c>
      <c r="D49" s="885"/>
      <c r="E49" s="894">
        <v>0</v>
      </c>
      <c r="F49" s="897"/>
      <c r="G49" s="890">
        <v>0</v>
      </c>
    </row>
    <row r="50" spans="1:7">
      <c r="A50" s="886">
        <v>372</v>
      </c>
      <c r="B50" s="885" t="s">
        <v>382</v>
      </c>
      <c r="C50" s="890">
        <v>0</v>
      </c>
      <c r="D50" s="885"/>
      <c r="E50" s="894">
        <v>0</v>
      </c>
      <c r="F50" s="897"/>
      <c r="G50" s="890">
        <v>0</v>
      </c>
    </row>
    <row r="51" spans="1:7">
      <c r="A51" s="886">
        <v>372.1</v>
      </c>
      <c r="B51" s="885" t="s">
        <v>383</v>
      </c>
      <c r="C51" s="890">
        <v>3607</v>
      </c>
      <c r="D51" s="885"/>
      <c r="E51" s="894">
        <v>3607</v>
      </c>
      <c r="F51" s="897">
        <v>3607</v>
      </c>
      <c r="G51" s="890">
        <v>0</v>
      </c>
    </row>
    <row r="52" spans="1:7">
      <c r="A52" s="886">
        <v>373</v>
      </c>
      <c r="B52" s="885" t="s">
        <v>384</v>
      </c>
      <c r="C52" s="890">
        <v>8568</v>
      </c>
      <c r="D52" s="885"/>
      <c r="E52" s="894">
        <v>8568</v>
      </c>
      <c r="F52" s="897">
        <v>8568</v>
      </c>
      <c r="G52" s="890">
        <v>0</v>
      </c>
    </row>
    <row r="53" spans="1:7">
      <c r="A53" s="886">
        <v>379</v>
      </c>
      <c r="B53" s="885" t="s">
        <v>385</v>
      </c>
      <c r="C53" s="890">
        <v>5296</v>
      </c>
      <c r="D53" s="885"/>
      <c r="E53" s="894">
        <v>5296</v>
      </c>
      <c r="F53" s="897">
        <v>5296</v>
      </c>
      <c r="G53" s="890">
        <v>0</v>
      </c>
    </row>
    <row r="54" spans="1:7">
      <c r="A54" s="886">
        <v>393</v>
      </c>
      <c r="B54" s="885" t="s">
        <v>386</v>
      </c>
      <c r="C54" s="890">
        <v>0</v>
      </c>
      <c r="D54" s="885"/>
      <c r="E54" s="894">
        <v>0</v>
      </c>
      <c r="F54" s="897"/>
      <c r="G54" s="890">
        <v>0</v>
      </c>
    </row>
    <row r="55" spans="1:7">
      <c r="A55" s="886">
        <v>394</v>
      </c>
      <c r="B55" s="885" t="s">
        <v>388</v>
      </c>
      <c r="C55" s="890">
        <v>0</v>
      </c>
      <c r="D55" s="885"/>
      <c r="E55" s="894">
        <v>0</v>
      </c>
      <c r="F55" s="897"/>
      <c r="G55" s="890">
        <v>0</v>
      </c>
    </row>
    <row r="56" spans="1:7">
      <c r="A56" s="886">
        <v>395</v>
      </c>
      <c r="B56" s="885" t="s">
        <v>389</v>
      </c>
      <c r="C56" s="890">
        <v>0</v>
      </c>
      <c r="D56" s="885"/>
      <c r="E56" s="894">
        <v>0</v>
      </c>
      <c r="F56" s="897"/>
      <c r="G56" s="890">
        <v>0</v>
      </c>
    </row>
    <row r="57" spans="1:7">
      <c r="A57" s="886">
        <v>396</v>
      </c>
      <c r="B57" s="885" t="s">
        <v>390</v>
      </c>
      <c r="C57" s="890">
        <v>0</v>
      </c>
      <c r="D57" s="885"/>
      <c r="E57" s="894">
        <v>0</v>
      </c>
      <c r="F57" s="897"/>
      <c r="G57" s="890">
        <v>0</v>
      </c>
    </row>
    <row r="58" spans="1:7">
      <c r="A58" s="886">
        <v>397</v>
      </c>
      <c r="B58" s="885" t="s">
        <v>391</v>
      </c>
      <c r="C58" s="890">
        <v>85</v>
      </c>
      <c r="D58" s="885"/>
      <c r="E58" s="894">
        <v>85</v>
      </c>
      <c r="F58" s="897">
        <v>85</v>
      </c>
      <c r="G58" s="890">
        <v>0</v>
      </c>
    </row>
    <row r="59" spans="1:7">
      <c r="A59" s="886">
        <v>398</v>
      </c>
      <c r="B59" s="885" t="s">
        <v>392</v>
      </c>
      <c r="C59" s="890">
        <v>0</v>
      </c>
      <c r="D59" s="885"/>
      <c r="E59" s="894">
        <v>0</v>
      </c>
      <c r="F59" s="897"/>
      <c r="G59" s="890">
        <v>0</v>
      </c>
    </row>
    <row r="60" spans="1:7">
      <c r="A60" s="886">
        <v>399</v>
      </c>
      <c r="B60" s="885" t="s">
        <v>393</v>
      </c>
      <c r="C60" s="890">
        <v>0</v>
      </c>
      <c r="D60" s="885"/>
      <c r="E60" s="894">
        <v>0</v>
      </c>
      <c r="F60" s="897"/>
      <c r="G60" s="890">
        <v>0</v>
      </c>
    </row>
    <row r="61" spans="1:7" ht="15.75" thickBot="1">
      <c r="A61" s="885"/>
      <c r="B61" s="888" t="s">
        <v>1077</v>
      </c>
      <c r="C61" s="891">
        <v>634663.21</v>
      </c>
      <c r="D61" s="891">
        <v>9673</v>
      </c>
      <c r="E61" s="895">
        <v>644336.21</v>
      </c>
      <c r="F61" s="895">
        <v>646775.5</v>
      </c>
      <c r="G61" s="895">
        <v>-2439.2899999999918</v>
      </c>
    </row>
    <row r="62" spans="1:7" ht="15.75" thickTop="1">
      <c r="A62" s="885"/>
      <c r="B62" s="885"/>
      <c r="C62" s="885"/>
      <c r="D62" s="885"/>
      <c r="E62" s="885"/>
      <c r="F62" s="885"/>
      <c r="G62" s="885"/>
    </row>
    <row r="68" spans="1:1" ht="17.25">
      <c r="A68" s="893" t="s">
        <v>1078</v>
      </c>
    </row>
    <row r="69" spans="1:1" ht="17.25">
      <c r="A69" s="893" t="s">
        <v>1079</v>
      </c>
    </row>
  </sheetData>
  <mergeCells count="1">
    <mergeCell ref="A5:E5"/>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
  <sheetViews>
    <sheetView showGridLines="0" zoomScaleNormal="100" zoomScaleSheetLayoutView="100" workbookViewId="0">
      <selection activeCell="B27" sqref="B27:D27"/>
    </sheetView>
  </sheetViews>
  <sheetFormatPr defaultRowHeight="15"/>
  <cols>
    <col min="1" max="1" width="3.140625" style="329" customWidth="1"/>
    <col min="2" max="2" width="16.5703125" style="329" customWidth="1"/>
    <col min="3" max="3" width="42.140625" style="329" customWidth="1"/>
    <col min="4" max="4" width="18.7109375" style="329" customWidth="1"/>
    <col min="5" max="5" width="16.28515625" style="329" bestFit="1" customWidth="1"/>
    <col min="6" max="6" width="3.28515625" style="333" customWidth="1"/>
    <col min="7" max="16384" width="9.140625" style="329"/>
  </cols>
  <sheetData>
    <row r="1" spans="1:6">
      <c r="A1" s="328">
        <v>1</v>
      </c>
      <c r="B1" s="21"/>
      <c r="C1" s="21"/>
      <c r="D1" s="285" t="s">
        <v>149</v>
      </c>
      <c r="E1" s="303">
        <f>IF(Cover!D13&gt;0, Cover!D13,"")</f>
        <v>2011</v>
      </c>
    </row>
    <row r="2" spans="1:6">
      <c r="A2" s="328">
        <v>2</v>
      </c>
      <c r="B2" s="57" t="s">
        <v>150</v>
      </c>
      <c r="C2" s="1203" t="str">
        <f>IF(Cover!A1&gt;0, Cover!A1, "")</f>
        <v>Algonquin Water Resources of Missouri, LLC dba Liberty Utilities</v>
      </c>
      <c r="D2" s="1203"/>
      <c r="E2" s="1203"/>
    </row>
    <row r="3" spans="1:6" ht="12.75" customHeight="1">
      <c r="A3" s="328"/>
      <c r="B3" s="57"/>
      <c r="C3" s="57"/>
      <c r="D3" s="61"/>
      <c r="E3" s="61"/>
    </row>
    <row r="4" spans="1:6">
      <c r="A4" s="1171" t="s">
        <v>816</v>
      </c>
      <c r="B4" s="1171"/>
      <c r="C4" s="1171"/>
      <c r="D4" s="1171"/>
      <c r="E4" s="1171"/>
    </row>
    <row r="5" spans="1:6">
      <c r="A5" s="304"/>
      <c r="B5" s="304"/>
      <c r="C5" s="304"/>
      <c r="D5" s="304"/>
      <c r="E5" s="304"/>
    </row>
    <row r="6" spans="1:6">
      <c r="A6" s="549" t="s">
        <v>700</v>
      </c>
      <c r="B6" s="331" t="s">
        <v>731</v>
      </c>
      <c r="C6" s="332" t="s">
        <v>795</v>
      </c>
      <c r="D6" s="800">
        <f>'Page S-4'!I19</f>
        <v>3400</v>
      </c>
      <c r="E6" s="324"/>
    </row>
    <row r="7" spans="1:6">
      <c r="A7" s="333" t="s">
        <v>170</v>
      </c>
      <c r="B7" s="334" t="s">
        <v>655</v>
      </c>
      <c r="C7" s="334"/>
      <c r="D7" s="334"/>
      <c r="E7" s="334" t="s">
        <v>654</v>
      </c>
      <c r="F7" s="333" t="s">
        <v>170</v>
      </c>
    </row>
    <row r="8" spans="1:6">
      <c r="A8" s="353"/>
      <c r="B8" s="1213" t="s">
        <v>1162</v>
      </c>
      <c r="C8" s="1214"/>
      <c r="D8" s="1215"/>
      <c r="E8" s="798">
        <v>3400</v>
      </c>
      <c r="F8" s="353"/>
    </row>
    <row r="9" spans="1:6">
      <c r="A9" s="94"/>
      <c r="B9" s="1213"/>
      <c r="C9" s="1214"/>
      <c r="D9" s="1215"/>
      <c r="E9" s="798"/>
      <c r="F9" s="94"/>
    </row>
    <row r="10" spans="1:6">
      <c r="A10" s="94"/>
      <c r="B10" s="1213"/>
      <c r="C10" s="1214"/>
      <c r="D10" s="1215"/>
      <c r="E10" s="798"/>
      <c r="F10" s="94"/>
    </row>
    <row r="11" spans="1:6">
      <c r="A11" s="94"/>
      <c r="B11" s="1213"/>
      <c r="C11" s="1214"/>
      <c r="D11" s="1215"/>
      <c r="E11" s="798"/>
      <c r="F11" s="94"/>
    </row>
    <row r="12" spans="1:6">
      <c r="A12" s="94"/>
      <c r="B12" s="1213"/>
      <c r="C12" s="1214"/>
      <c r="D12" s="1215"/>
      <c r="E12" s="798"/>
      <c r="F12" s="94"/>
    </row>
    <row r="13" spans="1:6">
      <c r="A13" s="354"/>
      <c r="B13" s="1207" t="s">
        <v>732</v>
      </c>
      <c r="C13" s="1208"/>
      <c r="D13" s="1209"/>
      <c r="E13" s="799">
        <f>SUM(E8:E12)</f>
        <v>3400</v>
      </c>
      <c r="F13" s="354"/>
    </row>
    <row r="14" spans="1:6" ht="30" customHeight="1">
      <c r="A14" s="333"/>
      <c r="B14" s="62"/>
      <c r="C14" s="62"/>
      <c r="D14" s="335"/>
      <c r="E14" s="337"/>
    </row>
    <row r="15" spans="1:6">
      <c r="A15" s="621" t="s">
        <v>701</v>
      </c>
      <c r="B15" s="331" t="s">
        <v>733</v>
      </c>
      <c r="C15" s="503" t="s">
        <v>796</v>
      </c>
      <c r="D15" s="800">
        <f>'Page S-4'!I35</f>
        <v>0</v>
      </c>
      <c r="E15" s="324"/>
    </row>
    <row r="16" spans="1:6">
      <c r="A16" s="333" t="s">
        <v>170</v>
      </c>
      <c r="B16" s="334" t="s">
        <v>655</v>
      </c>
      <c r="C16" s="334"/>
      <c r="D16" s="334"/>
      <c r="E16" s="334" t="s">
        <v>654</v>
      </c>
      <c r="F16" s="333" t="s">
        <v>170</v>
      </c>
    </row>
    <row r="17" spans="1:6">
      <c r="A17" s="353"/>
      <c r="B17" s="1213"/>
      <c r="C17" s="1214"/>
      <c r="D17" s="1215"/>
      <c r="E17" s="798"/>
      <c r="F17" s="353"/>
    </row>
    <row r="18" spans="1:6">
      <c r="A18" s="94"/>
      <c r="B18" s="1213"/>
      <c r="C18" s="1214"/>
      <c r="D18" s="1215"/>
      <c r="E18" s="798"/>
      <c r="F18" s="94"/>
    </row>
    <row r="19" spans="1:6">
      <c r="A19" s="94"/>
      <c r="B19" s="1213"/>
      <c r="C19" s="1214"/>
      <c r="D19" s="1215"/>
      <c r="E19" s="798"/>
      <c r="F19" s="94"/>
    </row>
    <row r="20" spans="1:6">
      <c r="A20" s="94"/>
      <c r="B20" s="1213"/>
      <c r="C20" s="1214"/>
      <c r="D20" s="1215"/>
      <c r="E20" s="798"/>
      <c r="F20" s="94"/>
    </row>
    <row r="21" spans="1:6">
      <c r="A21" s="94"/>
      <c r="B21" s="1213"/>
      <c r="C21" s="1214"/>
      <c r="D21" s="1215"/>
      <c r="E21" s="798"/>
      <c r="F21" s="94"/>
    </row>
    <row r="22" spans="1:6">
      <c r="A22" s="354"/>
      <c r="B22" s="1207" t="s">
        <v>734</v>
      </c>
      <c r="C22" s="1208"/>
      <c r="D22" s="1209"/>
      <c r="E22" s="799">
        <f>SUM(E17:E21)</f>
        <v>0</v>
      </c>
      <c r="F22" s="354"/>
    </row>
    <row r="23" spans="1:6" ht="30" customHeight="1"/>
    <row r="24" spans="1:6">
      <c r="A24" s="549" t="s">
        <v>702</v>
      </c>
      <c r="B24" s="331" t="s">
        <v>735</v>
      </c>
      <c r="C24" s="503" t="s">
        <v>797</v>
      </c>
      <c r="D24" s="800">
        <f>'Page S-4'!I42</f>
        <v>2811</v>
      </c>
      <c r="E24" s="324"/>
    </row>
    <row r="25" spans="1:6">
      <c r="A25" s="333" t="s">
        <v>170</v>
      </c>
      <c r="B25" s="334" t="s">
        <v>655</v>
      </c>
      <c r="C25" s="334"/>
      <c r="D25" s="334"/>
      <c r="E25" s="334" t="s">
        <v>654</v>
      </c>
      <c r="F25" s="333" t="s">
        <v>170</v>
      </c>
    </row>
    <row r="26" spans="1:6">
      <c r="A26" s="353"/>
      <c r="B26" s="1213" t="s">
        <v>386</v>
      </c>
      <c r="C26" s="1214"/>
      <c r="D26" s="1215"/>
      <c r="E26" s="798">
        <v>2811</v>
      </c>
      <c r="F26" s="353"/>
    </row>
    <row r="27" spans="1:6">
      <c r="A27" s="94"/>
      <c r="B27" s="1213"/>
      <c r="C27" s="1214"/>
      <c r="D27" s="1215"/>
      <c r="E27" s="798"/>
      <c r="F27" s="94"/>
    </row>
    <row r="28" spans="1:6">
      <c r="A28" s="94"/>
      <c r="B28" s="1213"/>
      <c r="C28" s="1214"/>
      <c r="D28" s="1215"/>
      <c r="E28" s="798"/>
      <c r="F28" s="94"/>
    </row>
    <row r="29" spans="1:6">
      <c r="A29" s="94"/>
      <c r="B29" s="1213"/>
      <c r="C29" s="1214"/>
      <c r="D29" s="1215"/>
      <c r="E29" s="798"/>
      <c r="F29" s="94"/>
    </row>
    <row r="30" spans="1:6">
      <c r="A30" s="94"/>
      <c r="B30" s="1213"/>
      <c r="C30" s="1214"/>
      <c r="D30" s="1215"/>
      <c r="E30" s="798"/>
      <c r="F30" s="94"/>
    </row>
    <row r="31" spans="1:6">
      <c r="A31" s="354"/>
      <c r="B31" s="1207" t="s">
        <v>736</v>
      </c>
      <c r="C31" s="1208"/>
      <c r="D31" s="1209"/>
      <c r="E31" s="799">
        <f>SUM(E26:E30)</f>
        <v>2811</v>
      </c>
      <c r="F31" s="354"/>
    </row>
    <row r="32" spans="1:6" s="261" customFormat="1" ht="30" customHeight="1">
      <c r="A32" s="622"/>
      <c r="B32" s="622"/>
      <c r="C32" s="622"/>
      <c r="D32" s="622"/>
      <c r="E32" s="622"/>
      <c r="F32" s="384"/>
    </row>
    <row r="33" spans="1:6" s="261" customFormat="1">
      <c r="A33" s="623"/>
      <c r="B33" s="377"/>
      <c r="C33" s="378"/>
      <c r="D33" s="379"/>
      <c r="E33" s="242"/>
      <c r="F33" s="384"/>
    </row>
    <row r="34" spans="1:6" s="261" customFormat="1">
      <c r="A34" s="372"/>
      <c r="B34" s="226"/>
      <c r="C34" s="226"/>
      <c r="D34" s="226"/>
      <c r="E34" s="226"/>
      <c r="F34" s="384"/>
    </row>
    <row r="35" spans="1:6" s="261" customFormat="1">
      <c r="A35" s="372"/>
      <c r="B35" s="1219"/>
      <c r="C35" s="1219"/>
      <c r="D35" s="1219"/>
      <c r="E35" s="380"/>
      <c r="F35" s="384"/>
    </row>
    <row r="36" spans="1:6" s="261" customFormat="1">
      <c r="A36" s="372"/>
      <c r="B36" s="1218"/>
      <c r="C36" s="1218"/>
      <c r="D36" s="1218"/>
      <c r="E36" s="380"/>
      <c r="F36" s="384"/>
    </row>
    <row r="37" spans="1:6" s="261" customFormat="1">
      <c r="A37" s="372"/>
      <c r="B37" s="1218"/>
      <c r="C37" s="1218"/>
      <c r="D37" s="1218"/>
      <c r="E37" s="380"/>
      <c r="F37" s="384"/>
    </row>
    <row r="38" spans="1:6" s="261" customFormat="1">
      <c r="A38" s="372"/>
      <c r="B38" s="1218"/>
      <c r="C38" s="1218"/>
      <c r="D38" s="1218"/>
      <c r="E38" s="380"/>
      <c r="F38" s="384"/>
    </row>
    <row r="39" spans="1:6" s="261" customFormat="1">
      <c r="A39" s="372"/>
      <c r="B39" s="1218"/>
      <c r="C39" s="1218"/>
      <c r="D39" s="1218"/>
      <c r="E39" s="380"/>
      <c r="F39" s="384"/>
    </row>
    <row r="40" spans="1:6" s="261" customFormat="1">
      <c r="A40" s="372"/>
      <c r="B40" s="1218"/>
      <c r="C40" s="1218"/>
      <c r="D40" s="1218"/>
      <c r="E40" s="374"/>
      <c r="F40" s="372"/>
    </row>
    <row r="41" spans="1:6" s="261" customFormat="1" ht="72" customHeight="1">
      <c r="A41" s="384"/>
      <c r="B41" s="273"/>
      <c r="C41" s="273"/>
      <c r="D41" s="273"/>
      <c r="E41" s="386"/>
      <c r="F41" s="384"/>
    </row>
    <row r="42" spans="1:6" ht="18">
      <c r="A42" s="297"/>
      <c r="B42" s="298" t="s">
        <v>712</v>
      </c>
      <c r="C42" s="301"/>
      <c r="D42" s="1104"/>
      <c r="E42" s="1105"/>
    </row>
    <row r="43" spans="1:6">
      <c r="A43" s="299"/>
      <c r="B43" s="300" t="s">
        <v>713</v>
      </c>
      <c r="C43" s="300"/>
      <c r="D43" s="316"/>
      <c r="E43" s="302" t="s">
        <v>13</v>
      </c>
    </row>
    <row r="44" spans="1:6">
      <c r="B44" s="57"/>
      <c r="C44" s="21"/>
      <c r="D44" s="21"/>
      <c r="E44" s="21"/>
      <c r="F44" s="801"/>
    </row>
    <row r="45" spans="1:6">
      <c r="B45" s="57"/>
      <c r="C45" s="21"/>
      <c r="D45" s="21"/>
      <c r="E45" s="21"/>
      <c r="F45" s="801"/>
    </row>
    <row r="46" spans="1:6">
      <c r="B46" s="57"/>
      <c r="C46" s="21"/>
      <c r="D46" s="21"/>
      <c r="E46" s="21"/>
      <c r="F46" s="801"/>
    </row>
    <row r="47" spans="1:6">
      <c r="B47" s="57"/>
      <c r="C47" s="21"/>
      <c r="D47" s="21"/>
      <c r="E47" s="21"/>
      <c r="F47" s="801"/>
    </row>
    <row r="48" spans="1:6">
      <c r="B48" s="57"/>
      <c r="C48" s="21"/>
      <c r="D48" s="21"/>
      <c r="E48" s="21"/>
      <c r="F48" s="801"/>
    </row>
    <row r="49" spans="2:6">
      <c r="B49" s="57"/>
      <c r="C49" s="21"/>
      <c r="D49" s="21"/>
      <c r="E49" s="21"/>
      <c r="F49" s="801"/>
    </row>
    <row r="50" spans="2:6">
      <c r="B50" s="57"/>
      <c r="C50" s="21"/>
      <c r="D50" s="21"/>
      <c r="E50" s="21"/>
      <c r="F50" s="801"/>
    </row>
    <row r="51" spans="2:6">
      <c r="B51" s="57"/>
      <c r="C51" s="21"/>
      <c r="D51" s="21"/>
      <c r="E51" s="21"/>
      <c r="F51" s="801"/>
    </row>
    <row r="52" spans="2:6">
      <c r="B52" s="57"/>
      <c r="C52" s="21"/>
      <c r="D52" s="21"/>
      <c r="E52" s="21"/>
      <c r="F52" s="801"/>
    </row>
    <row r="53" spans="2:6">
      <c r="B53" s="57"/>
      <c r="C53" s="21"/>
      <c r="D53" s="21"/>
      <c r="E53" s="21"/>
      <c r="F53" s="801"/>
    </row>
    <row r="54" spans="2:6">
      <c r="B54" s="57"/>
      <c r="C54" s="21"/>
      <c r="D54" s="21"/>
      <c r="E54" s="21"/>
      <c r="F54" s="801"/>
    </row>
    <row r="55" spans="2:6">
      <c r="B55" s="57"/>
      <c r="C55" s="21"/>
      <c r="D55" s="21"/>
      <c r="E55" s="21"/>
      <c r="F55" s="801"/>
    </row>
    <row r="56" spans="2:6">
      <c r="B56" s="57"/>
      <c r="C56" s="21"/>
      <c r="D56" s="21"/>
      <c r="E56" s="21"/>
      <c r="F56" s="801"/>
    </row>
    <row r="57" spans="2:6">
      <c r="B57" s="57"/>
      <c r="C57" s="21"/>
      <c r="D57" s="21"/>
      <c r="E57" s="21"/>
      <c r="F57" s="801"/>
    </row>
    <row r="58" spans="2:6">
      <c r="B58" s="57"/>
      <c r="C58" s="21"/>
      <c r="D58" s="21"/>
      <c r="E58" s="21"/>
      <c r="F58" s="801"/>
    </row>
    <row r="59" spans="2:6">
      <c r="B59" s="57"/>
      <c r="C59" s="21"/>
      <c r="D59" s="21"/>
      <c r="E59" s="21"/>
      <c r="F59" s="801"/>
    </row>
    <row r="60" spans="2:6">
      <c r="B60" s="57"/>
      <c r="C60" s="21"/>
      <c r="D60" s="21" t="s">
        <v>14</v>
      </c>
      <c r="E60" s="21"/>
      <c r="F60" s="801"/>
    </row>
    <row r="61" spans="2:6">
      <c r="B61" s="57"/>
      <c r="C61" s="21"/>
      <c r="D61" s="21" t="s">
        <v>15</v>
      </c>
      <c r="E61" s="21"/>
      <c r="F61" s="801"/>
    </row>
  </sheetData>
  <sheetProtection password="C0F1" sheet="1" formatCells="0" formatColumns="0" formatRows="0" insertColumns="0" insertRows="0"/>
  <customSheetViews>
    <customSheetView guid="{1F4AFEE5-5BDD-4100-B0E9-57B262CA123C}" showPageBreaks="1" showGridLines="0" fitToPage="1" printArea="1" view="pageBreakPreview">
      <selection activeCell="D24" sqref="D24"/>
      <pageMargins left="0.45" right="0.45" top="0.5" bottom="0.25" header="0.3" footer="0.3"/>
      <printOptions horizontalCentered="1"/>
      <pageSetup scale="99" orientation="portrait" r:id="rId1"/>
      <headerFooter>
        <oddFooter>&amp;C&amp;A</oddFooter>
      </headerFooter>
    </customSheetView>
  </customSheetViews>
  <mergeCells count="27">
    <mergeCell ref="B39:D39"/>
    <mergeCell ref="B40:D40"/>
    <mergeCell ref="D42:E42"/>
    <mergeCell ref="B30:D30"/>
    <mergeCell ref="B31:D31"/>
    <mergeCell ref="B35:D35"/>
    <mergeCell ref="B36:D36"/>
    <mergeCell ref="B37:D37"/>
    <mergeCell ref="B38:D38"/>
    <mergeCell ref="B29:D29"/>
    <mergeCell ref="B12:D12"/>
    <mergeCell ref="B13:D13"/>
    <mergeCell ref="B17:D17"/>
    <mergeCell ref="B18:D18"/>
    <mergeCell ref="B19:D19"/>
    <mergeCell ref="B20:D20"/>
    <mergeCell ref="B21:D21"/>
    <mergeCell ref="B22:D22"/>
    <mergeCell ref="B26:D26"/>
    <mergeCell ref="B27:D27"/>
    <mergeCell ref="B28:D28"/>
    <mergeCell ref="B11:D11"/>
    <mergeCell ref="C2:E2"/>
    <mergeCell ref="A4:E4"/>
    <mergeCell ref="B8:D8"/>
    <mergeCell ref="B9:D9"/>
    <mergeCell ref="B10:D10"/>
  </mergeCells>
  <dataValidations count="1">
    <dataValidation type="list" allowBlank="1" showInputMessage="1" showErrorMessage="1" prompt="This field is to be used when filing under seal." sqref="D42:E42">
      <formula1>$D$59:$D$61</formula1>
    </dataValidation>
  </dataValidations>
  <printOptions horizontalCentered="1"/>
  <pageMargins left="0.45" right="0.45" top="0.5" bottom="0.25" header="0.3" footer="0.3"/>
  <pageSetup scale="96" orientation="portrait" r:id="rId2"/>
  <headerFooter>
    <oddFooter>&amp;C&amp;A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showGridLines="0" zoomScale="70" zoomScaleNormal="70" zoomScaleSheetLayoutView="100" workbookViewId="0">
      <selection activeCell="F42" sqref="F42"/>
    </sheetView>
  </sheetViews>
  <sheetFormatPr defaultRowHeight="15"/>
  <cols>
    <col min="1" max="1" width="3.140625" style="117" customWidth="1"/>
    <col min="2" max="3" width="6.7109375" style="117" customWidth="1"/>
    <col min="4" max="10" width="12.7109375" style="446" customWidth="1"/>
    <col min="11" max="11" width="26.5703125" style="118" bestFit="1" customWidth="1"/>
    <col min="12" max="16384" width="9.140625" style="118"/>
  </cols>
  <sheetData>
    <row r="1" spans="1:11" ht="12.75" customHeight="1">
      <c r="A1" s="117">
        <v>1</v>
      </c>
      <c r="E1" s="57"/>
      <c r="F1" s="57"/>
      <c r="G1" s="57"/>
      <c r="H1" s="57"/>
      <c r="I1" s="57"/>
      <c r="J1" s="285" t="s">
        <v>149</v>
      </c>
      <c r="K1" s="303">
        <f>IF(Cover!D13&gt;0, Cover!D13, "")</f>
        <v>2011</v>
      </c>
    </row>
    <row r="2" spans="1:11" ht="12.75" customHeight="1">
      <c r="A2" s="117">
        <f>A1+1</f>
        <v>2</v>
      </c>
      <c r="D2" s="285" t="s">
        <v>150</v>
      </c>
      <c r="E2" s="1166" t="str">
        <f>IF(Cover!A1&gt;0, Cover!A1, "")</f>
        <v>Algonquin Water Resources of Missouri, LLC dba Liberty Utilities</v>
      </c>
      <c r="F2" s="1166"/>
      <c r="G2" s="1166"/>
      <c r="H2" s="1166"/>
      <c r="I2" s="1166"/>
      <c r="J2" s="1166"/>
      <c r="K2" s="1166"/>
    </row>
    <row r="3" spans="1:11" ht="8.25" customHeight="1">
      <c r="D3" s="1263"/>
      <c r="E3" s="1263"/>
      <c r="F3" s="1263"/>
      <c r="G3" s="1263"/>
      <c r="H3" s="1263"/>
      <c r="I3" s="1263"/>
      <c r="J3" s="1263"/>
      <c r="K3" s="1263"/>
    </row>
    <row r="4" spans="1:11" ht="14.25" customHeight="1" thickBot="1">
      <c r="B4" s="1171" t="s">
        <v>475</v>
      </c>
      <c r="C4" s="1171"/>
      <c r="D4" s="1171"/>
      <c r="E4" s="1171"/>
      <c r="F4" s="1171"/>
      <c r="G4" s="1171"/>
      <c r="H4" s="1171"/>
      <c r="I4" s="1171"/>
      <c r="J4" s="1171"/>
      <c r="K4" s="1171"/>
    </row>
    <row r="5" spans="1:11">
      <c r="B5" s="1515" t="s">
        <v>396</v>
      </c>
      <c r="C5" s="1516"/>
      <c r="D5" s="1512" t="s">
        <v>476</v>
      </c>
      <c r="E5" s="1512" t="s">
        <v>477</v>
      </c>
      <c r="F5" s="1512" t="s">
        <v>478</v>
      </c>
      <c r="G5" s="1519" t="s">
        <v>397</v>
      </c>
      <c r="H5" s="1519"/>
      <c r="I5" s="1519"/>
      <c r="J5" s="1516" t="s">
        <v>479</v>
      </c>
      <c r="K5" s="1521" t="s">
        <v>480</v>
      </c>
    </row>
    <row r="6" spans="1:11" ht="55.5" customHeight="1">
      <c r="B6" s="1517"/>
      <c r="C6" s="1518"/>
      <c r="D6" s="1513"/>
      <c r="E6" s="1513"/>
      <c r="F6" s="1513"/>
      <c r="G6" s="1513" t="s">
        <v>481</v>
      </c>
      <c r="H6" s="1513" t="s">
        <v>482</v>
      </c>
      <c r="I6" s="1513" t="s">
        <v>483</v>
      </c>
      <c r="J6" s="1518"/>
      <c r="K6" s="1522"/>
    </row>
    <row r="7" spans="1:11" ht="30" customHeight="1" thickBot="1">
      <c r="B7" s="740" t="s">
        <v>641</v>
      </c>
      <c r="C7" s="741" t="s">
        <v>643</v>
      </c>
      <c r="D7" s="1514"/>
      <c r="E7" s="1514"/>
      <c r="F7" s="1514"/>
      <c r="G7" s="1514"/>
      <c r="H7" s="1514"/>
      <c r="I7" s="1514"/>
      <c r="J7" s="1520"/>
      <c r="K7" s="1523"/>
    </row>
    <row r="8" spans="1:11" ht="8.1" customHeight="1">
      <c r="A8" s="211"/>
      <c r="B8" s="231"/>
      <c r="C8" s="124"/>
      <c r="D8" s="628"/>
      <c r="E8" s="629"/>
      <c r="F8" s="629"/>
      <c r="G8" s="629"/>
      <c r="H8" s="629"/>
      <c r="I8" s="629"/>
      <c r="J8" s="629"/>
      <c r="K8" s="630"/>
    </row>
    <row r="9" spans="1:11" ht="18.95" customHeight="1">
      <c r="A9" s="211">
        <v>3</v>
      </c>
      <c r="B9" s="209">
        <f>'Page S-4'!D8</f>
        <v>301</v>
      </c>
      <c r="C9" s="61">
        <f>'Page S-4'!E8</f>
        <v>301</v>
      </c>
      <c r="D9" s="212"/>
      <c r="E9" s="213"/>
      <c r="F9" s="214"/>
      <c r="G9" s="633">
        <f>'Page S-4'!H8</f>
        <v>0</v>
      </c>
      <c r="H9" s="215"/>
      <c r="I9" s="215"/>
      <c r="J9" s="215">
        <v>3025</v>
      </c>
      <c r="K9" s="554">
        <f>SUM(E9+F9-(G9+H9-I9)+J9)</f>
        <v>3025</v>
      </c>
    </row>
    <row r="10" spans="1:11" ht="18.95" customHeight="1">
      <c r="A10" s="211">
        <f>A9+1</f>
        <v>4</v>
      </c>
      <c r="B10" s="209">
        <f>'Page S-4'!D9</f>
        <v>302</v>
      </c>
      <c r="C10" s="61">
        <f>'Page S-4'!E9</f>
        <v>302</v>
      </c>
      <c r="D10" s="212"/>
      <c r="E10" s="216"/>
      <c r="F10" s="214"/>
      <c r="G10" s="633">
        <f>'Page S-4'!H9</f>
        <v>0</v>
      </c>
      <c r="H10" s="215"/>
      <c r="I10" s="215"/>
      <c r="J10" s="215"/>
      <c r="K10" s="554">
        <f t="shared" ref="K10:K48" si="0">SUM(E10+F10-(G10+H10-I10)+J10)</f>
        <v>0</v>
      </c>
    </row>
    <row r="11" spans="1:11" ht="18.95" customHeight="1">
      <c r="A11" s="211">
        <f>A10+1</f>
        <v>5</v>
      </c>
      <c r="B11" s="209">
        <f>'Page S-4'!D10</f>
        <v>303</v>
      </c>
      <c r="C11" s="61">
        <f>'Page S-4'!E10</f>
        <v>303</v>
      </c>
      <c r="D11" s="212"/>
      <c r="E11" s="216"/>
      <c r="F11" s="214"/>
      <c r="G11" s="633">
        <f>'Page S-4'!H10</f>
        <v>0</v>
      </c>
      <c r="H11" s="215"/>
      <c r="I11" s="215"/>
      <c r="J11" s="215"/>
      <c r="K11" s="554">
        <f t="shared" si="0"/>
        <v>0</v>
      </c>
    </row>
    <row r="12" spans="1:11" ht="8.1" customHeight="1">
      <c r="A12" s="211"/>
      <c r="B12" s="209"/>
      <c r="C12" s="61"/>
      <c r="D12" s="631"/>
      <c r="E12" s="634"/>
      <c r="F12" s="632"/>
      <c r="G12" s="636"/>
      <c r="H12" s="634"/>
      <c r="I12" s="634"/>
      <c r="J12" s="634"/>
      <c r="K12" s="554"/>
    </row>
    <row r="13" spans="1:11" ht="18.95" customHeight="1">
      <c r="A13" s="211">
        <f>A11+1</f>
        <v>6</v>
      </c>
      <c r="B13" s="209" t="str">
        <f>'Page S-4'!D12</f>
        <v>none</v>
      </c>
      <c r="C13" s="61">
        <f>'Page S-4'!E12</f>
        <v>310</v>
      </c>
      <c r="D13" s="212"/>
      <c r="E13" s="216"/>
      <c r="F13" s="214"/>
      <c r="G13" s="633">
        <f>'Page S-4'!H12</f>
        <v>0</v>
      </c>
      <c r="H13" s="215"/>
      <c r="I13" s="215"/>
      <c r="J13" s="215"/>
      <c r="K13" s="554">
        <f t="shared" si="0"/>
        <v>0</v>
      </c>
    </row>
    <row r="14" spans="1:11" ht="18.95" customHeight="1">
      <c r="A14" s="211">
        <f>A13+1</f>
        <v>7</v>
      </c>
      <c r="B14" s="209" t="str">
        <f>'Page S-4'!D13</f>
        <v>none</v>
      </c>
      <c r="C14" s="61">
        <f>'Page S-4'!E13</f>
        <v>311</v>
      </c>
      <c r="D14" s="212"/>
      <c r="E14" s="216"/>
      <c r="F14" s="214"/>
      <c r="G14" s="633">
        <f>'Page S-4'!H13</f>
        <v>0</v>
      </c>
      <c r="H14" s="215"/>
      <c r="I14" s="215"/>
      <c r="J14" s="215"/>
      <c r="K14" s="554">
        <f t="shared" si="0"/>
        <v>0</v>
      </c>
    </row>
    <row r="15" spans="1:11" ht="12.75" customHeight="1">
      <c r="A15" s="211"/>
      <c r="B15" s="209"/>
      <c r="C15" s="61"/>
      <c r="D15" s="631"/>
      <c r="E15" s="634"/>
      <c r="F15" s="632"/>
      <c r="G15" s="636"/>
      <c r="H15" s="634"/>
      <c r="I15" s="634"/>
      <c r="J15" s="634"/>
      <c r="K15" s="554"/>
    </row>
    <row r="16" spans="1:11" ht="18.95" customHeight="1">
      <c r="A16" s="211">
        <f>A14+1</f>
        <v>8</v>
      </c>
      <c r="B16" s="209">
        <f>'Page S-4'!D15</f>
        <v>350</v>
      </c>
      <c r="C16" s="61" t="str">
        <f>'Page S-4'!E15</f>
        <v>none</v>
      </c>
      <c r="D16" s="212"/>
      <c r="E16" s="216"/>
      <c r="F16" s="214"/>
      <c r="G16" s="633">
        <f>'Page S-4'!H15</f>
        <v>0</v>
      </c>
      <c r="H16" s="215"/>
      <c r="I16" s="215"/>
      <c r="J16" s="215"/>
      <c r="K16" s="554">
        <f t="shared" si="0"/>
        <v>0</v>
      </c>
    </row>
    <row r="17" spans="1:11" ht="18.95" customHeight="1">
      <c r="A17" s="211">
        <f t="shared" ref="A17:A22" si="1">A16+1</f>
        <v>9</v>
      </c>
      <c r="B17" s="209">
        <f>'Page S-4'!D16</f>
        <v>351</v>
      </c>
      <c r="C17" s="61" t="str">
        <f>'Page S-4'!E16</f>
        <v>none</v>
      </c>
      <c r="D17" s="212">
        <v>2.5000000000000001E-2</v>
      </c>
      <c r="E17" s="216">
        <f>+'Page S-5a'!O14</f>
        <v>9558.9167500000003</v>
      </c>
      <c r="F17" s="214">
        <v>59566.66</v>
      </c>
      <c r="G17" s="633">
        <f>'Page S-4'!H16</f>
        <v>0</v>
      </c>
      <c r="H17" s="215"/>
      <c r="I17" s="215"/>
      <c r="J17" s="215"/>
      <c r="K17" s="554">
        <f t="shared" si="0"/>
        <v>69125.576750000007</v>
      </c>
    </row>
    <row r="18" spans="1:11" ht="18.95" customHeight="1">
      <c r="A18" s="211">
        <f t="shared" si="1"/>
        <v>10</v>
      </c>
      <c r="B18" s="209">
        <f>'Page S-4'!D17</f>
        <v>352.1</v>
      </c>
      <c r="C18" s="61">
        <f>'Page S-4'!E17</f>
        <v>352.1</v>
      </c>
      <c r="D18" s="212">
        <v>0.02</v>
      </c>
      <c r="E18" s="216">
        <f>+'Page S-5a'!O15</f>
        <v>166.07159999999999</v>
      </c>
      <c r="F18" s="214">
        <v>675.68</v>
      </c>
      <c r="G18" s="633">
        <f>'Page S-4'!H17</f>
        <v>0</v>
      </c>
      <c r="H18" s="215"/>
      <c r="I18" s="215"/>
      <c r="J18" s="215"/>
      <c r="K18" s="554">
        <f t="shared" si="0"/>
        <v>841.75159999999994</v>
      </c>
    </row>
    <row r="19" spans="1:11" ht="18.95" customHeight="1">
      <c r="A19" s="211">
        <f t="shared" si="1"/>
        <v>11</v>
      </c>
      <c r="B19" s="209">
        <f>'Page S-4'!D18</f>
        <v>352.2</v>
      </c>
      <c r="C19" s="61">
        <f>'Page S-4'!E18</f>
        <v>352.2</v>
      </c>
      <c r="D19" s="212">
        <v>0.02</v>
      </c>
      <c r="E19" s="216">
        <f>+'Page S-5a'!O16</f>
        <v>11702.615066666669</v>
      </c>
      <c r="F19" s="214">
        <v>110808.38</v>
      </c>
      <c r="G19" s="633">
        <f>'Page S-4'!H18</f>
        <v>0</v>
      </c>
      <c r="H19" s="215"/>
      <c r="I19" s="215"/>
      <c r="J19" s="215">
        <v>2259</v>
      </c>
      <c r="K19" s="554">
        <f t="shared" si="0"/>
        <v>124769.99506666667</v>
      </c>
    </row>
    <row r="20" spans="1:11" ht="18.95" customHeight="1">
      <c r="A20" s="211">
        <f t="shared" si="1"/>
        <v>12</v>
      </c>
      <c r="B20" s="209">
        <f>'Page S-4'!D19</f>
        <v>353</v>
      </c>
      <c r="C20" s="61">
        <f>'Page S-4'!E19</f>
        <v>353</v>
      </c>
      <c r="D20" s="212">
        <v>0.02</v>
      </c>
      <c r="E20" s="216">
        <f>+'Page S-5a'!O17</f>
        <v>197.83439999999999</v>
      </c>
      <c r="F20" s="214">
        <v>2187.59</v>
      </c>
      <c r="G20" s="633">
        <f>'Page S-4'!H19</f>
        <v>9891.7199999999993</v>
      </c>
      <c r="H20" s="215"/>
      <c r="I20" s="215"/>
      <c r="J20" s="215"/>
      <c r="K20" s="554">
        <f t="shared" si="0"/>
        <v>-7506.2955999999995</v>
      </c>
    </row>
    <row r="21" spans="1:11" ht="18.95" customHeight="1">
      <c r="A21" s="211">
        <f t="shared" si="1"/>
        <v>13</v>
      </c>
      <c r="B21" s="209">
        <f>'Page S-4'!D20</f>
        <v>354</v>
      </c>
      <c r="C21" s="61">
        <f>'Page S-4'!E20</f>
        <v>354</v>
      </c>
      <c r="D21" s="212">
        <v>3.3000000000000002E-2</v>
      </c>
      <c r="E21" s="215">
        <f>+'Page S-5a'!O18</f>
        <v>95.999970000000005</v>
      </c>
      <c r="F21" s="214">
        <v>424.04</v>
      </c>
      <c r="G21" s="633">
        <f>'Page S-4'!H20</f>
        <v>0</v>
      </c>
      <c r="H21" s="215"/>
      <c r="I21" s="215"/>
      <c r="J21" s="215"/>
      <c r="K21" s="554">
        <f t="shared" si="0"/>
        <v>520.03997000000004</v>
      </c>
    </row>
    <row r="22" spans="1:11" ht="18.95" customHeight="1">
      <c r="A22" s="211">
        <f t="shared" si="1"/>
        <v>14</v>
      </c>
      <c r="B22" s="209">
        <f>'Page S-4'!D21</f>
        <v>355</v>
      </c>
      <c r="C22" s="61">
        <f>'Page S-4'!E21</f>
        <v>355</v>
      </c>
      <c r="D22" s="212"/>
      <c r="E22" s="215"/>
      <c r="F22" s="214"/>
      <c r="G22" s="633">
        <f>'Page S-4'!H21</f>
        <v>0</v>
      </c>
      <c r="H22" s="215"/>
      <c r="I22" s="215"/>
      <c r="J22" s="215"/>
      <c r="K22" s="554">
        <f t="shared" si="0"/>
        <v>0</v>
      </c>
    </row>
    <row r="23" spans="1:11" ht="8.1" customHeight="1">
      <c r="A23" s="211"/>
      <c r="B23" s="209"/>
      <c r="C23" s="61"/>
      <c r="D23" s="631"/>
      <c r="E23" s="634"/>
      <c r="F23" s="632"/>
      <c r="G23" s="636"/>
      <c r="H23" s="634"/>
      <c r="I23" s="634"/>
      <c r="J23" s="634"/>
      <c r="K23" s="554"/>
    </row>
    <row r="24" spans="1:11" ht="18.95" customHeight="1">
      <c r="A24" s="211">
        <f>A22+1</f>
        <v>15</v>
      </c>
      <c r="B24" s="209">
        <f>'Page S-4'!D23</f>
        <v>360</v>
      </c>
      <c r="C24" s="61" t="str">
        <f>'Page S-4'!E23</f>
        <v>none</v>
      </c>
      <c r="D24" s="212"/>
      <c r="E24" s="215"/>
      <c r="F24" s="214"/>
      <c r="G24" s="633">
        <f>'Page S-4'!H23</f>
        <v>0</v>
      </c>
      <c r="H24" s="215"/>
      <c r="I24" s="215"/>
      <c r="J24" s="215"/>
      <c r="K24" s="554">
        <f t="shared" si="0"/>
        <v>0</v>
      </c>
    </row>
    <row r="25" spans="1:11" ht="18.95" customHeight="1">
      <c r="A25" s="211">
        <f>A24+1</f>
        <v>16</v>
      </c>
      <c r="B25" s="209">
        <f>'Page S-4'!D24</f>
        <v>361</v>
      </c>
      <c r="C25" s="61" t="str">
        <f>'Page S-4'!E24</f>
        <v>none</v>
      </c>
      <c r="D25" s="212"/>
      <c r="E25" s="215"/>
      <c r="F25" s="214"/>
      <c r="G25" s="633">
        <f>'Page S-4'!H24</f>
        <v>0</v>
      </c>
      <c r="H25" s="215"/>
      <c r="I25" s="215"/>
      <c r="J25" s="215"/>
      <c r="K25" s="554">
        <f t="shared" si="0"/>
        <v>0</v>
      </c>
    </row>
    <row r="26" spans="1:11" ht="18.95" customHeight="1">
      <c r="A26" s="211">
        <f>A25+1</f>
        <v>17</v>
      </c>
      <c r="B26" s="209">
        <f>'Page S-4'!D25</f>
        <v>362</v>
      </c>
      <c r="C26" s="61">
        <f>'Page S-4'!E25</f>
        <v>362</v>
      </c>
      <c r="D26" s="212">
        <v>0.04</v>
      </c>
      <c r="E26" s="216">
        <f>+'Page S-5a'!O23</f>
        <v>3627.0840000000003</v>
      </c>
      <c r="F26" s="214">
        <v>39765.800000000003</v>
      </c>
      <c r="G26" s="633">
        <f>'Page S-4'!H25</f>
        <v>0</v>
      </c>
      <c r="H26" s="215"/>
      <c r="I26" s="215"/>
      <c r="J26" s="215"/>
      <c r="K26" s="554">
        <f t="shared" si="0"/>
        <v>43392.884000000005</v>
      </c>
    </row>
    <row r="27" spans="1:11" ht="18.95" customHeight="1">
      <c r="A27" s="211">
        <f>A26+1</f>
        <v>18</v>
      </c>
      <c r="B27" s="209">
        <f>'Page S-4'!D26</f>
        <v>363</v>
      </c>
      <c r="C27" s="61">
        <f>'Page S-4'!E26</f>
        <v>363</v>
      </c>
      <c r="D27" s="212">
        <v>0.1</v>
      </c>
      <c r="E27" s="216">
        <f>+'Page S-5a'!O24</f>
        <v>7295.1360000000004</v>
      </c>
      <c r="F27" s="214">
        <v>11945.43</v>
      </c>
      <c r="G27" s="633">
        <f>'Page S-4'!H26</f>
        <v>0</v>
      </c>
      <c r="H27" s="215"/>
      <c r="I27" s="215"/>
      <c r="J27" s="215">
        <v>89419</v>
      </c>
      <c r="K27" s="554">
        <f t="shared" si="0"/>
        <v>108659.56599999999</v>
      </c>
    </row>
    <row r="28" spans="1:11" ht="8.1" customHeight="1">
      <c r="A28" s="211"/>
      <c r="B28" s="209"/>
      <c r="C28" s="61"/>
      <c r="D28" s="631"/>
      <c r="E28" s="635"/>
      <c r="F28" s="632"/>
      <c r="G28" s="636"/>
      <c r="H28" s="634"/>
      <c r="I28" s="634"/>
      <c r="J28" s="634"/>
      <c r="K28" s="554">
        <f t="shared" si="0"/>
        <v>0</v>
      </c>
    </row>
    <row r="29" spans="1:11" ht="18.95" customHeight="1">
      <c r="A29" s="211">
        <f>A27+1</f>
        <v>19</v>
      </c>
      <c r="B29" s="209">
        <f>'Page S-4'!D28</f>
        <v>370</v>
      </c>
      <c r="C29" s="61" t="str">
        <f>'Page S-4'!E28</f>
        <v>none</v>
      </c>
      <c r="D29" s="212"/>
      <c r="E29" s="216"/>
      <c r="F29" s="214"/>
      <c r="G29" s="633">
        <f>'Page S-4'!H28</f>
        <v>0</v>
      </c>
      <c r="H29" s="215"/>
      <c r="I29" s="215"/>
      <c r="J29" s="215"/>
      <c r="K29" s="554">
        <f t="shared" si="0"/>
        <v>0</v>
      </c>
    </row>
    <row r="30" spans="1:11" ht="18.95" customHeight="1">
      <c r="A30" s="211">
        <f>A29+1</f>
        <v>20</v>
      </c>
      <c r="B30" s="209">
        <f>'Page S-4'!D29</f>
        <v>371</v>
      </c>
      <c r="C30" s="61" t="str">
        <f>'Page S-4'!E29</f>
        <v>none</v>
      </c>
      <c r="D30" s="212"/>
      <c r="E30" s="215"/>
      <c r="F30" s="214"/>
      <c r="G30" s="633">
        <f>'Page S-4'!H29</f>
        <v>0</v>
      </c>
      <c r="H30" s="215"/>
      <c r="I30" s="215"/>
      <c r="J30" s="215"/>
      <c r="K30" s="554">
        <f t="shared" si="0"/>
        <v>0</v>
      </c>
    </row>
    <row r="31" spans="1:11" ht="18.95" customHeight="1">
      <c r="A31" s="211">
        <f t="shared" ref="A31:A36" si="2">A30+1</f>
        <v>21</v>
      </c>
      <c r="B31" s="209" t="str">
        <f>'Page S-4'!D30</f>
        <v>none</v>
      </c>
      <c r="C31" s="61">
        <f>'Page S-4'!E30</f>
        <v>372</v>
      </c>
      <c r="D31" s="212">
        <v>0.05</v>
      </c>
      <c r="E31" s="216">
        <f>+'Page S-5a'!O28</f>
        <v>4410.2166666666672</v>
      </c>
      <c r="F31" s="214">
        <v>633193.21</v>
      </c>
      <c r="G31" s="633">
        <f>'Page S-4'!H30</f>
        <v>0</v>
      </c>
      <c r="H31" s="215"/>
      <c r="I31" s="215"/>
      <c r="J31" s="215"/>
      <c r="K31" s="554">
        <f t="shared" si="0"/>
        <v>637603.42666666664</v>
      </c>
    </row>
    <row r="32" spans="1:11" ht="18.95" customHeight="1">
      <c r="A32" s="211">
        <f t="shared" si="2"/>
        <v>22</v>
      </c>
      <c r="B32" s="209">
        <f>'Page S-4'!D31</f>
        <v>372</v>
      </c>
      <c r="C32" s="61">
        <f>'Page S-4'!E31</f>
        <v>373</v>
      </c>
      <c r="D32" s="212">
        <v>0.05</v>
      </c>
      <c r="E32" s="216">
        <f>+'Page S-5a'!O29</f>
        <v>729.73</v>
      </c>
      <c r="F32" s="214">
        <v>1832.12</v>
      </c>
      <c r="G32" s="633">
        <f>'Page S-4'!H31</f>
        <v>0</v>
      </c>
      <c r="H32" s="215"/>
      <c r="I32" s="215"/>
      <c r="J32" s="215">
        <v>29816</v>
      </c>
      <c r="K32" s="554">
        <f t="shared" si="0"/>
        <v>32377.85</v>
      </c>
    </row>
    <row r="33" spans="1:11" ht="18.95" customHeight="1">
      <c r="A33" s="211">
        <f t="shared" si="2"/>
        <v>23</v>
      </c>
      <c r="B33" s="209">
        <f>'Page S-4'!D32</f>
        <v>372.1</v>
      </c>
      <c r="C33" s="61">
        <f>'Page S-4'!E32</f>
        <v>373.1</v>
      </c>
      <c r="D33" s="212"/>
      <c r="E33" s="216"/>
      <c r="F33" s="214"/>
      <c r="G33" s="633">
        <f>'Page S-4'!H32</f>
        <v>0</v>
      </c>
      <c r="H33" s="215"/>
      <c r="I33" s="215"/>
      <c r="J33" s="215"/>
      <c r="K33" s="554">
        <f t="shared" si="0"/>
        <v>0</v>
      </c>
    </row>
    <row r="34" spans="1:11" ht="18.95" customHeight="1">
      <c r="A34" s="211">
        <f t="shared" si="2"/>
        <v>24</v>
      </c>
      <c r="B34" s="209">
        <f>'Page S-4'!D33</f>
        <v>373</v>
      </c>
      <c r="C34" s="61">
        <f>'Page S-4'!E33</f>
        <v>374</v>
      </c>
      <c r="D34" s="212">
        <v>0.02</v>
      </c>
      <c r="E34" s="216">
        <f>+'Page S-5a'!O31</f>
        <v>0</v>
      </c>
      <c r="F34" s="214"/>
      <c r="G34" s="633">
        <f>'Page S-4'!H33</f>
        <v>0</v>
      </c>
      <c r="H34" s="215"/>
      <c r="I34" s="215"/>
      <c r="J34" s="215">
        <v>-3407</v>
      </c>
      <c r="K34" s="554">
        <f t="shared" si="0"/>
        <v>-3407</v>
      </c>
    </row>
    <row r="35" spans="1:11" ht="18.95" customHeight="1">
      <c r="A35" s="211">
        <f t="shared" si="2"/>
        <v>25</v>
      </c>
      <c r="B35" s="209">
        <f>'Page S-4'!D34</f>
        <v>374</v>
      </c>
      <c r="C35" s="61">
        <f>'Page S-4'!E34</f>
        <v>375</v>
      </c>
      <c r="D35" s="212"/>
      <c r="E35" s="216"/>
      <c r="F35" s="214"/>
      <c r="G35" s="633">
        <f>'Page S-4'!H34</f>
        <v>0</v>
      </c>
      <c r="H35" s="215"/>
      <c r="I35" s="215"/>
      <c r="J35" s="215"/>
      <c r="K35" s="554">
        <f t="shared" si="0"/>
        <v>0</v>
      </c>
    </row>
    <row r="36" spans="1:11" ht="18.95" customHeight="1">
      <c r="A36" s="211">
        <f t="shared" si="2"/>
        <v>26</v>
      </c>
      <c r="B36" s="209">
        <f>'Page S-4'!D35</f>
        <v>375</v>
      </c>
      <c r="C36" s="61">
        <f>'Page S-4'!E35</f>
        <v>376</v>
      </c>
      <c r="D36" s="212"/>
      <c r="E36" s="216"/>
      <c r="F36" s="214"/>
      <c r="G36" s="633">
        <f>'Page S-4'!H35</f>
        <v>0</v>
      </c>
      <c r="H36" s="215"/>
      <c r="I36" s="215"/>
      <c r="J36" s="215"/>
      <c r="K36" s="554">
        <f t="shared" si="0"/>
        <v>0</v>
      </c>
    </row>
    <row r="37" spans="1:11" ht="8.1" customHeight="1">
      <c r="A37" s="211"/>
      <c r="B37" s="209"/>
      <c r="C37" s="61"/>
      <c r="D37" s="631"/>
      <c r="E37" s="635"/>
      <c r="F37" s="632"/>
      <c r="G37" s="636"/>
      <c r="H37" s="634"/>
      <c r="I37" s="634"/>
      <c r="J37" s="634"/>
      <c r="K37" s="554"/>
    </row>
    <row r="38" spans="1:11" ht="18.95" customHeight="1">
      <c r="A38" s="211">
        <f>A36+1</f>
        <v>27</v>
      </c>
      <c r="B38" s="209">
        <f>'Page S-4'!D37</f>
        <v>389</v>
      </c>
      <c r="C38" s="61" t="str">
        <f>'Page S-4'!E37</f>
        <v>none</v>
      </c>
      <c r="D38" s="212"/>
      <c r="E38" s="215"/>
      <c r="F38" s="214"/>
      <c r="G38" s="633">
        <f>'Page S-4'!H37</f>
        <v>0</v>
      </c>
      <c r="H38" s="215"/>
      <c r="I38" s="215"/>
      <c r="J38" s="215"/>
      <c r="K38" s="554">
        <f t="shared" si="0"/>
        <v>0</v>
      </c>
    </row>
    <row r="39" spans="1:11" ht="18.95" customHeight="1">
      <c r="A39" s="211">
        <f>A38+1</f>
        <v>28</v>
      </c>
      <c r="B39" s="209">
        <f>'Page S-4'!D38</f>
        <v>390</v>
      </c>
      <c r="C39" s="61" t="str">
        <f>'Page S-4'!E38</f>
        <v>none</v>
      </c>
      <c r="D39" s="212"/>
      <c r="E39" s="215"/>
      <c r="F39" s="214"/>
      <c r="G39" s="633">
        <f>'Page S-4'!H38</f>
        <v>0</v>
      </c>
      <c r="H39" s="215"/>
      <c r="I39" s="215"/>
      <c r="J39" s="215"/>
      <c r="K39" s="554">
        <f t="shared" si="0"/>
        <v>0</v>
      </c>
    </row>
    <row r="40" spans="1:11" ht="18.95" customHeight="1">
      <c r="A40" s="211">
        <f t="shared" ref="A40:A48" si="3">A39+1</f>
        <v>29</v>
      </c>
      <c r="B40" s="209">
        <f>'Page S-4'!D39</f>
        <v>391</v>
      </c>
      <c r="C40" s="61">
        <f>'Page S-4'!E39</f>
        <v>391</v>
      </c>
      <c r="D40" s="212">
        <v>0.05</v>
      </c>
      <c r="E40" s="216">
        <f>+'Page S-5a'!O37</f>
        <v>296.03249999999997</v>
      </c>
      <c r="F40" s="214">
        <v>3060.75</v>
      </c>
      <c r="G40" s="633">
        <f>'Page S-4'!H39</f>
        <v>0</v>
      </c>
      <c r="H40" s="215"/>
      <c r="I40" s="215"/>
      <c r="J40" s="215">
        <v>1876</v>
      </c>
      <c r="K40" s="554">
        <f t="shared" si="0"/>
        <v>5232.7824999999993</v>
      </c>
    </row>
    <row r="41" spans="1:11" ht="18.95" customHeight="1">
      <c r="A41" s="211">
        <f t="shared" si="3"/>
        <v>30</v>
      </c>
      <c r="B41" s="209">
        <f>'Page S-4'!D40</f>
        <v>391.1</v>
      </c>
      <c r="C41" s="61">
        <f>'Page S-4'!E40</f>
        <v>391.1</v>
      </c>
      <c r="D41" s="212"/>
      <c r="E41" s="216"/>
      <c r="F41" s="214"/>
      <c r="G41" s="633">
        <f>'Page S-4'!H40</f>
        <v>0</v>
      </c>
      <c r="H41" s="215"/>
      <c r="I41" s="215"/>
      <c r="J41" s="215"/>
      <c r="K41" s="554">
        <f t="shared" si="0"/>
        <v>0</v>
      </c>
    </row>
    <row r="42" spans="1:11" ht="18.95" customHeight="1">
      <c r="A42" s="211">
        <f t="shared" si="3"/>
        <v>31</v>
      </c>
      <c r="B42" s="209">
        <f>'Page S-4'!D41</f>
        <v>392</v>
      </c>
      <c r="C42" s="61">
        <f>'Page S-4'!E41</f>
        <v>392</v>
      </c>
      <c r="D42" s="212">
        <v>7.0000000000000007E-2</v>
      </c>
      <c r="E42" s="216">
        <f>+'Page S-5a'!O39</f>
        <v>349.90083333333337</v>
      </c>
      <c r="F42" s="214"/>
      <c r="G42" s="633">
        <f>'Page S-4'!H41</f>
        <v>0</v>
      </c>
      <c r="H42" s="215"/>
      <c r="I42" s="215"/>
      <c r="J42" s="215">
        <v>8170</v>
      </c>
      <c r="K42" s="554">
        <f t="shared" si="0"/>
        <v>8519.9008333333331</v>
      </c>
    </row>
    <row r="43" spans="1:11" ht="18.95" customHeight="1">
      <c r="A43" s="211">
        <f t="shared" si="3"/>
        <v>32</v>
      </c>
      <c r="B43" s="209" t="str">
        <f>'Page S-4'!D42</f>
        <v>none</v>
      </c>
      <c r="C43" s="61">
        <f>'Page S-4'!E42</f>
        <v>393</v>
      </c>
      <c r="D43" s="212">
        <v>0.05</v>
      </c>
      <c r="E43" s="216">
        <f>+'Page S-5a'!O40</f>
        <v>81.987499999999997</v>
      </c>
      <c r="F43" s="214"/>
      <c r="G43" s="633">
        <f>'Page S-4'!H42</f>
        <v>0</v>
      </c>
      <c r="H43" s="215"/>
      <c r="I43" s="215"/>
      <c r="J43" s="215"/>
      <c r="K43" s="554">
        <f t="shared" si="0"/>
        <v>81.987499999999997</v>
      </c>
    </row>
    <row r="44" spans="1:11" ht="18.95" customHeight="1">
      <c r="A44" s="211">
        <f t="shared" si="3"/>
        <v>33</v>
      </c>
      <c r="B44" s="209">
        <f>'Page S-4'!D43</f>
        <v>393</v>
      </c>
      <c r="C44" s="61" t="str">
        <f>'Page S-4'!E43</f>
        <v>None</v>
      </c>
      <c r="D44" s="212">
        <v>0.05</v>
      </c>
      <c r="E44" s="216"/>
      <c r="F44" s="214"/>
      <c r="G44" s="633">
        <f>'Page S-4'!H43</f>
        <v>0</v>
      </c>
      <c r="H44" s="215"/>
      <c r="I44" s="215"/>
      <c r="J44" s="215">
        <v>2453</v>
      </c>
      <c r="K44" s="554">
        <f t="shared" si="0"/>
        <v>2453</v>
      </c>
    </row>
    <row r="45" spans="1:11" ht="18.95" customHeight="1">
      <c r="A45" s="211">
        <f t="shared" si="3"/>
        <v>34</v>
      </c>
      <c r="B45" s="209">
        <f>'Page S-4'!D44</f>
        <v>394</v>
      </c>
      <c r="C45" s="61" t="str">
        <f>'Page S-4'!E44</f>
        <v>None</v>
      </c>
      <c r="D45" s="212">
        <v>0.05</v>
      </c>
      <c r="E45" s="216">
        <f>+'Page S-5a'!O42</f>
        <v>0</v>
      </c>
      <c r="F45" s="214">
        <v>587.47</v>
      </c>
      <c r="G45" s="633">
        <f>'Page S-4'!H44</f>
        <v>0</v>
      </c>
      <c r="H45" s="215"/>
      <c r="I45" s="215"/>
      <c r="J45" s="215"/>
      <c r="K45" s="554">
        <f t="shared" si="0"/>
        <v>587.47</v>
      </c>
    </row>
    <row r="46" spans="1:11" ht="18.95" customHeight="1">
      <c r="A46" s="211">
        <f t="shared" si="3"/>
        <v>35</v>
      </c>
      <c r="B46" s="209">
        <f>'Page S-4'!D45</f>
        <v>395</v>
      </c>
      <c r="C46" s="61" t="str">
        <f>'Page S-4'!E45</f>
        <v>None</v>
      </c>
      <c r="D46" s="212"/>
      <c r="E46" s="216"/>
      <c r="F46" s="214"/>
      <c r="G46" s="633">
        <f>'Page S-4'!H45</f>
        <v>0</v>
      </c>
      <c r="H46" s="215"/>
      <c r="I46" s="215"/>
      <c r="J46" s="215"/>
      <c r="K46" s="554">
        <f t="shared" si="0"/>
        <v>0</v>
      </c>
    </row>
    <row r="47" spans="1:11" ht="18.95" customHeight="1">
      <c r="A47" s="211">
        <f t="shared" si="3"/>
        <v>36</v>
      </c>
      <c r="B47" s="209">
        <f>'Page S-4'!D46</f>
        <v>396</v>
      </c>
      <c r="C47" s="61" t="str">
        <f>'Page S-4'!E46</f>
        <v>None</v>
      </c>
      <c r="D47" s="212"/>
      <c r="E47" s="216"/>
      <c r="F47" s="214"/>
      <c r="G47" s="633">
        <f>'Page S-4'!H46</f>
        <v>0</v>
      </c>
      <c r="H47" s="215"/>
      <c r="I47" s="215"/>
      <c r="J47" s="215"/>
      <c r="K47" s="554">
        <f t="shared" si="0"/>
        <v>0</v>
      </c>
    </row>
    <row r="48" spans="1:11" ht="18.95" customHeight="1">
      <c r="A48" s="211">
        <f t="shared" si="3"/>
        <v>37</v>
      </c>
      <c r="B48" s="209">
        <f>'Page S-4'!D47</f>
        <v>397</v>
      </c>
      <c r="C48" s="61" t="str">
        <f>'Page S-4'!E47</f>
        <v>None</v>
      </c>
      <c r="D48" s="212">
        <v>6.7000000000000004E-2</v>
      </c>
      <c r="E48" s="216">
        <f>+'Page S-5a'!O45</f>
        <v>525.49707999999998</v>
      </c>
      <c r="F48" s="214">
        <v>868.95</v>
      </c>
      <c r="G48" s="633">
        <f>'Page S-4'!H47</f>
        <v>0</v>
      </c>
      <c r="H48" s="215"/>
      <c r="I48" s="215"/>
      <c r="J48" s="215"/>
      <c r="K48" s="554">
        <f t="shared" si="0"/>
        <v>1394.4470799999999</v>
      </c>
    </row>
    <row r="49" spans="1:13" ht="18.95" customHeight="1">
      <c r="A49" s="211">
        <f>A48+1</f>
        <v>38</v>
      </c>
      <c r="B49" s="209"/>
      <c r="C49" s="61"/>
      <c r="D49" s="637" t="s">
        <v>233</v>
      </c>
      <c r="E49" s="638">
        <f t="shared" ref="E49:K49" si="4">SUM(E9:E48)</f>
        <v>39037.022366666679</v>
      </c>
      <c r="F49" s="638">
        <f t="shared" si="4"/>
        <v>864916.08</v>
      </c>
      <c r="G49" s="639">
        <f t="shared" si="4"/>
        <v>9891.7199999999993</v>
      </c>
      <c r="H49" s="638">
        <f t="shared" si="4"/>
        <v>0</v>
      </c>
      <c r="I49" s="638">
        <f t="shared" si="4"/>
        <v>0</v>
      </c>
      <c r="J49" s="638">
        <f t="shared" si="4"/>
        <v>133611</v>
      </c>
      <c r="K49" s="742">
        <f t="shared" si="4"/>
        <v>1027672.3823666666</v>
      </c>
    </row>
    <row r="50" spans="1:13" ht="12" customHeight="1" thickBot="1">
      <c r="A50" s="211"/>
      <c r="B50" s="559"/>
      <c r="C50" s="640"/>
      <c r="D50" s="641"/>
      <c r="E50" s="642" t="s">
        <v>644</v>
      </c>
      <c r="F50" s="643"/>
      <c r="G50" s="643"/>
      <c r="H50" s="643"/>
      <c r="I50" s="644"/>
      <c r="J50" s="645"/>
      <c r="K50" s="646" t="s">
        <v>272</v>
      </c>
    </row>
    <row r="51" spans="1:13" ht="5.25" customHeight="1">
      <c r="B51" s="61"/>
      <c r="C51" s="61"/>
      <c r="E51" s="647"/>
      <c r="K51" s="446"/>
    </row>
    <row r="52" spans="1:13" s="93" customFormat="1" ht="15.75">
      <c r="A52" s="297"/>
      <c r="B52" s="298" t="s">
        <v>712</v>
      </c>
      <c r="C52" s="92"/>
      <c r="D52" s="125"/>
      <c r="E52" s="125"/>
      <c r="F52" s="125"/>
      <c r="G52" s="125"/>
      <c r="H52" s="125"/>
      <c r="I52" s="126"/>
      <c r="J52" s="1499"/>
      <c r="K52" s="1500"/>
      <c r="L52" s="83"/>
    </row>
    <row r="53" spans="1:13" s="93" customFormat="1" ht="14.25" customHeight="1">
      <c r="A53" s="299"/>
      <c r="B53" s="300" t="s">
        <v>713</v>
      </c>
      <c r="C53" s="92"/>
      <c r="D53" s="127"/>
      <c r="E53" s="127"/>
      <c r="F53" s="127"/>
      <c r="G53" s="127"/>
      <c r="H53" s="127"/>
      <c r="I53" s="127"/>
      <c r="J53" s="208"/>
      <c r="K53" s="210" t="s">
        <v>13</v>
      </c>
    </row>
    <row r="54" spans="1:13" s="93" customFormat="1">
      <c r="A54" s="92"/>
      <c r="B54" s="92"/>
      <c r="C54" s="92"/>
      <c r="D54" s="127"/>
      <c r="E54" s="114"/>
      <c r="F54" s="114"/>
      <c r="G54" s="114"/>
      <c r="H54" s="114"/>
      <c r="I54" s="107"/>
      <c r="M54" s="237"/>
    </row>
    <row r="55" spans="1:13" s="93" customFormat="1">
      <c r="A55" s="92"/>
      <c r="B55" s="92"/>
      <c r="C55" s="92"/>
      <c r="D55" s="120"/>
      <c r="E55" s="120"/>
      <c r="F55" s="120"/>
      <c r="G55" s="120"/>
      <c r="H55" s="120"/>
      <c r="I55" s="120"/>
    </row>
    <row r="56" spans="1:13" s="93" customFormat="1">
      <c r="A56" s="92"/>
      <c r="B56" s="92"/>
      <c r="C56" s="92"/>
      <c r="D56" s="120"/>
      <c r="E56" s="120"/>
      <c r="F56" s="120"/>
      <c r="G56" s="120"/>
      <c r="H56" s="120"/>
      <c r="I56" s="120"/>
    </row>
    <row r="57" spans="1:13">
      <c r="J57" s="118"/>
    </row>
    <row r="58" spans="1:13">
      <c r="J58" s="118"/>
    </row>
    <row r="59" spans="1:13">
      <c r="J59" s="118"/>
    </row>
    <row r="60" spans="1:13">
      <c r="J60" s="118"/>
    </row>
    <row r="61" spans="1:13">
      <c r="J61" s="118"/>
    </row>
    <row r="62" spans="1:13">
      <c r="J62" s="118"/>
    </row>
    <row r="63" spans="1:13">
      <c r="J63" s="118"/>
    </row>
    <row r="64" spans="1:13">
      <c r="J64" s="118"/>
    </row>
    <row r="65" spans="1:10">
      <c r="J65" s="118"/>
    </row>
    <row r="66" spans="1:10">
      <c r="J66" s="118"/>
    </row>
    <row r="67" spans="1:10">
      <c r="A67" s="118"/>
      <c r="J67" s="118"/>
    </row>
    <row r="68" spans="1:10">
      <c r="J68" s="118"/>
    </row>
    <row r="69" spans="1:10">
      <c r="B69" s="21"/>
      <c r="C69" s="21"/>
      <c r="J69" s="118"/>
    </row>
    <row r="70" spans="1:10">
      <c r="J70" s="21"/>
    </row>
    <row r="71" spans="1:10">
      <c r="J71" s="21" t="s">
        <v>14</v>
      </c>
    </row>
    <row r="72" spans="1:10">
      <c r="J72" s="21" t="s">
        <v>15</v>
      </c>
    </row>
  </sheetData>
  <sheetProtection password="C0F1" sheet="1" formatCells="0" formatColumns="0" formatRows="0" insertColumns="0" insertRows="0"/>
  <customSheetViews>
    <customSheetView guid="{1F4AFEE5-5BDD-4100-B0E9-57B262CA123C}" scale="115" showPageBreaks="1" showGridLines="0" printArea="1" view="pageBreakPreview" topLeftCell="A39">
      <selection activeCell="D53" sqref="D53"/>
      <pageMargins left="0.45" right="0.45" top="0.5" bottom="0.25" header="0.3" footer="0.3"/>
      <printOptions horizontalCentered="1"/>
      <pageSetup scale="80" orientation="portrait" r:id="rId1"/>
      <headerFooter>
        <oddFooter>&amp;C&amp;A</oddFooter>
      </headerFooter>
    </customSheetView>
  </customSheetViews>
  <mergeCells count="14">
    <mergeCell ref="E2:K2"/>
    <mergeCell ref="D3:K3"/>
    <mergeCell ref="B4:K4"/>
    <mergeCell ref="G5:I5"/>
    <mergeCell ref="I6:I7"/>
    <mergeCell ref="J5:J7"/>
    <mergeCell ref="K5:K7"/>
    <mergeCell ref="J52:K52"/>
    <mergeCell ref="D5:D7"/>
    <mergeCell ref="E5:E7"/>
    <mergeCell ref="B5:C6"/>
    <mergeCell ref="F5:F7"/>
    <mergeCell ref="G6:G7"/>
    <mergeCell ref="H6:H7"/>
  </mergeCells>
  <dataValidations disablePrompts="1" xWindow="889" yWindow="393" count="2">
    <dataValidation type="list" allowBlank="1" showInputMessage="1" prompt="This field is to be used when filing under seal. " sqref="J52:K52">
      <formula1>$J$70:$J$72</formula1>
    </dataValidation>
    <dataValidation allowBlank="1" showInputMessage="1" prompt="This field is to be used when filing under seal." sqref="J70:J72"/>
  </dataValidations>
  <printOptions horizontalCentered="1"/>
  <pageMargins left="0.45" right="0.45" top="0.5" bottom="0.25" header="0.3" footer="0.3"/>
  <pageSetup scale="80" orientation="portrait" r:id="rId2"/>
  <headerFooter>
    <oddFooter>&amp;C&amp;A</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6"/>
  <sheetViews>
    <sheetView zoomScale="55" zoomScaleNormal="55" workbookViewId="0">
      <pane xSplit="4" ySplit="3" topLeftCell="E4" activePane="bottomRight" state="frozen"/>
      <selection pane="topRight" activeCell="E1" sqref="E1"/>
      <selection pane="bottomLeft" activeCell="A4" sqref="A4"/>
      <selection pane="bottomRight" activeCell="E4" sqref="E4"/>
    </sheetView>
  </sheetViews>
  <sheetFormatPr defaultRowHeight="15"/>
  <cols>
    <col min="1" max="1" width="28.85546875" style="1042" bestFit="1" customWidth="1"/>
    <col min="2" max="2" width="28.5703125" style="1042" customWidth="1"/>
    <col min="3" max="4" width="6.7109375" style="1042" bestFit="1" customWidth="1"/>
    <col min="5" max="5" width="19.140625" style="1042" bestFit="1" customWidth="1"/>
    <col min="6" max="6" width="20.5703125" style="1042" bestFit="1" customWidth="1"/>
    <col min="7" max="7" width="16.85546875" style="1042" bestFit="1" customWidth="1"/>
    <col min="8" max="8" width="15.85546875" style="1042" bestFit="1" customWidth="1"/>
    <col min="9" max="9" width="16.42578125" style="1042" bestFit="1" customWidth="1"/>
    <col min="10" max="11" width="13.42578125" style="1042" bestFit="1" customWidth="1"/>
    <col min="12" max="12" width="13.5703125" style="1042" bestFit="1" customWidth="1"/>
    <col min="13" max="13" width="16.28515625" style="1042" bestFit="1" customWidth="1"/>
    <col min="14" max="14" width="13.5703125" style="1042" bestFit="1" customWidth="1"/>
    <col min="15" max="15" width="20.7109375" style="1042" bestFit="1" customWidth="1"/>
    <col min="16" max="16" width="20" style="1042" bestFit="1" customWidth="1"/>
    <col min="17" max="18" width="17.7109375" style="1042" bestFit="1" customWidth="1"/>
    <col min="19" max="16384" width="9.140625" style="1042"/>
  </cols>
  <sheetData>
    <row r="1" spans="1:18" ht="57" customHeight="1"/>
    <row r="2" spans="1:18" ht="15.75" thickBot="1">
      <c r="E2" s="1427" t="s">
        <v>1215</v>
      </c>
      <c r="F2" s="1428"/>
      <c r="G2" s="1428"/>
      <c r="H2" s="1428"/>
      <c r="I2" s="1429"/>
      <c r="J2" s="1427" t="s">
        <v>1216</v>
      </c>
      <c r="K2" s="1428"/>
      <c r="L2" s="1428"/>
      <c r="M2" s="1428"/>
      <c r="N2" s="1428"/>
      <c r="O2" s="1428"/>
      <c r="P2" s="1428"/>
      <c r="Q2" s="1428"/>
      <c r="R2" s="1429"/>
    </row>
    <row r="3" spans="1:18" ht="77.25" customHeight="1">
      <c r="A3" s="1430" t="s">
        <v>541</v>
      </c>
      <c r="B3" s="1431"/>
      <c r="C3" s="1432" t="s">
        <v>396</v>
      </c>
      <c r="D3" s="1433"/>
      <c r="E3" s="1069" t="s">
        <v>1197</v>
      </c>
      <c r="F3" s="1070" t="s">
        <v>1198</v>
      </c>
      <c r="G3" s="1070" t="s">
        <v>1217</v>
      </c>
      <c r="H3" s="1070" t="s">
        <v>1218</v>
      </c>
      <c r="I3" s="1071" t="s">
        <v>1219</v>
      </c>
      <c r="J3" s="1069" t="s">
        <v>1220</v>
      </c>
      <c r="K3" s="1069" t="s">
        <v>1221</v>
      </c>
      <c r="L3" s="1070" t="s">
        <v>1222</v>
      </c>
      <c r="M3" s="1070" t="s">
        <v>1223</v>
      </c>
      <c r="N3" s="1070" t="s">
        <v>1224</v>
      </c>
      <c r="O3" s="1070" t="s">
        <v>1225</v>
      </c>
      <c r="P3" s="1069" t="s">
        <v>1226</v>
      </c>
      <c r="Q3" s="1070" t="s">
        <v>1227</v>
      </c>
      <c r="R3" s="1071" t="s">
        <v>1228</v>
      </c>
    </row>
    <row r="4" spans="1:18" ht="26.25" customHeight="1">
      <c r="C4" s="1090" t="s">
        <v>641</v>
      </c>
      <c r="D4" s="1091" t="s">
        <v>642</v>
      </c>
      <c r="E4" s="944"/>
      <c r="F4" s="944"/>
      <c r="G4" s="944"/>
      <c r="H4" s="944"/>
      <c r="I4" s="1072"/>
      <c r="J4" s="944"/>
      <c r="K4" s="1073"/>
      <c r="L4" s="944"/>
      <c r="M4" s="944"/>
      <c r="N4" s="944"/>
      <c r="O4" s="944"/>
      <c r="P4" s="944"/>
      <c r="Q4" s="944"/>
      <c r="R4" s="1072"/>
    </row>
    <row r="5" spans="1:18">
      <c r="A5" s="1326" t="s">
        <v>347</v>
      </c>
      <c r="B5" s="1392"/>
      <c r="C5" s="1092"/>
      <c r="D5" s="1093"/>
      <c r="E5" s="944"/>
      <c r="F5" s="944"/>
      <c r="G5" s="944"/>
      <c r="H5" s="944"/>
      <c r="I5" s="1074"/>
      <c r="J5" s="1073"/>
      <c r="K5" s="1075"/>
      <c r="L5" s="944"/>
      <c r="M5" s="944"/>
      <c r="N5" s="944"/>
      <c r="O5" s="944"/>
      <c r="P5" s="944"/>
      <c r="Q5" s="944"/>
      <c r="R5" s="1074"/>
    </row>
    <row r="6" spans="1:18">
      <c r="A6" s="1395" t="s">
        <v>349</v>
      </c>
      <c r="B6" s="1396"/>
      <c r="C6" s="1081">
        <v>301</v>
      </c>
      <c r="D6" s="1083">
        <v>301</v>
      </c>
      <c r="E6" s="944">
        <v>26563.35</v>
      </c>
      <c r="F6" s="944">
        <v>3000</v>
      </c>
      <c r="G6" s="944"/>
      <c r="H6" s="944"/>
      <c r="I6" s="1074">
        <f>SUM(E6:G6)-H6</f>
        <v>29563.35</v>
      </c>
      <c r="J6" s="1073"/>
      <c r="K6" s="1075"/>
      <c r="L6" s="944"/>
      <c r="M6" s="944"/>
      <c r="N6" s="944"/>
      <c r="O6" s="944">
        <f t="shared" ref="O6:O8" si="0">SUM(L6:N6)</f>
        <v>0</v>
      </c>
      <c r="P6" s="944"/>
      <c r="Q6" s="944">
        <v>3025</v>
      </c>
      <c r="R6" s="1074">
        <f t="shared" ref="R6:R8" si="1">SUM(O6:Q6)</f>
        <v>3025</v>
      </c>
    </row>
    <row r="7" spans="1:18">
      <c r="A7" s="1395" t="s">
        <v>350</v>
      </c>
      <c r="B7" s="1396"/>
      <c r="C7" s="1081">
        <v>302</v>
      </c>
      <c r="D7" s="1083">
        <v>302</v>
      </c>
      <c r="E7" s="944"/>
      <c r="F7" s="944"/>
      <c r="G7" s="944"/>
      <c r="H7" s="944"/>
      <c r="I7" s="1074">
        <f t="shared" ref="I7:I8" si="2">SUM(E7:G7)-H7</f>
        <v>0</v>
      </c>
      <c r="J7" s="1073"/>
      <c r="K7" s="1075"/>
      <c r="L7" s="944"/>
      <c r="M7" s="944"/>
      <c r="N7" s="944"/>
      <c r="O7" s="944">
        <f t="shared" si="0"/>
        <v>0</v>
      </c>
      <c r="P7" s="944"/>
      <c r="Q7" s="944"/>
      <c r="R7" s="1074">
        <f t="shared" si="1"/>
        <v>0</v>
      </c>
    </row>
    <row r="8" spans="1:18">
      <c r="A8" s="1395" t="s">
        <v>351</v>
      </c>
      <c r="B8" s="1396"/>
      <c r="C8" s="1081">
        <v>303</v>
      </c>
      <c r="D8" s="1083">
        <v>303</v>
      </c>
      <c r="E8" s="944"/>
      <c r="F8" s="944"/>
      <c r="G8" s="944"/>
      <c r="H8" s="944"/>
      <c r="I8" s="1074">
        <f t="shared" si="2"/>
        <v>0</v>
      </c>
      <c r="J8" s="1073"/>
      <c r="K8" s="1075"/>
      <c r="L8" s="944"/>
      <c r="M8" s="944"/>
      <c r="N8" s="944"/>
      <c r="O8" s="944">
        <f t="shared" si="0"/>
        <v>0</v>
      </c>
      <c r="P8" s="944"/>
      <c r="Q8" s="944"/>
      <c r="R8" s="1074">
        <f t="shared" si="1"/>
        <v>0</v>
      </c>
    </row>
    <row r="9" spans="1:18">
      <c r="A9" s="1326" t="s">
        <v>447</v>
      </c>
      <c r="B9" s="1392"/>
      <c r="C9" s="1092"/>
      <c r="D9" s="1083"/>
      <c r="E9" s="944"/>
      <c r="F9" s="944"/>
      <c r="G9" s="944"/>
      <c r="H9" s="944"/>
      <c r="I9" s="1074"/>
      <c r="J9" s="1073"/>
      <c r="K9" s="1075"/>
      <c r="L9" s="944"/>
      <c r="M9" s="944"/>
      <c r="N9" s="944"/>
      <c r="O9" s="944"/>
      <c r="P9" s="944"/>
      <c r="Q9" s="944"/>
      <c r="R9" s="1074"/>
    </row>
    <row r="10" spans="1:18">
      <c r="A10" s="1395" t="s">
        <v>353</v>
      </c>
      <c r="B10" s="1396"/>
      <c r="C10" s="1092" t="s">
        <v>448</v>
      </c>
      <c r="D10" s="1083">
        <v>310</v>
      </c>
      <c r="E10" s="944"/>
      <c r="F10" s="944"/>
      <c r="G10" s="944"/>
      <c r="H10" s="944"/>
      <c r="I10" s="1074">
        <f t="shared" ref="I10:I11" si="3">SUM(E10:G10)-H10</f>
        <v>0</v>
      </c>
      <c r="J10" s="1073"/>
      <c r="K10" s="1075"/>
      <c r="L10" s="944"/>
      <c r="M10" s="944"/>
      <c r="N10" s="944"/>
      <c r="O10" s="944">
        <f t="shared" ref="O10:O11" si="4">SUM(L10:N10)</f>
        <v>0</v>
      </c>
      <c r="P10" s="944"/>
      <c r="Q10" s="944"/>
      <c r="R10" s="1074">
        <f t="shared" ref="R10:R11" si="5">SUM(O10:Q10)</f>
        <v>0</v>
      </c>
    </row>
    <row r="11" spans="1:18">
      <c r="A11" s="1395" t="s">
        <v>354</v>
      </c>
      <c r="B11" s="1396"/>
      <c r="C11" s="1092" t="s">
        <v>448</v>
      </c>
      <c r="D11" s="1083">
        <v>311</v>
      </c>
      <c r="E11" s="944"/>
      <c r="F11" s="944"/>
      <c r="G11" s="944"/>
      <c r="H11" s="944"/>
      <c r="I11" s="1074">
        <f t="shared" si="3"/>
        <v>0</v>
      </c>
      <c r="J11" s="1073"/>
      <c r="K11" s="1075"/>
      <c r="L11" s="944"/>
      <c r="M11" s="944"/>
      <c r="N11" s="944"/>
      <c r="O11" s="944">
        <f t="shared" si="4"/>
        <v>0</v>
      </c>
      <c r="P11" s="944"/>
      <c r="Q11" s="944"/>
      <c r="R11" s="1074">
        <f t="shared" si="5"/>
        <v>0</v>
      </c>
    </row>
    <row r="12" spans="1:18">
      <c r="A12" s="1326" t="s">
        <v>449</v>
      </c>
      <c r="B12" s="1392"/>
      <c r="C12" s="1092"/>
      <c r="D12" s="1083"/>
      <c r="E12" s="944"/>
      <c r="F12" s="944"/>
      <c r="G12" s="944"/>
      <c r="H12" s="944"/>
      <c r="I12" s="1074"/>
      <c r="J12" s="1073"/>
      <c r="K12" s="1075"/>
      <c r="L12" s="944"/>
      <c r="M12" s="944"/>
      <c r="N12" s="944"/>
      <c r="O12" s="944"/>
      <c r="P12" s="944"/>
      <c r="Q12" s="944"/>
      <c r="R12" s="1074"/>
    </row>
    <row r="13" spans="1:18">
      <c r="A13" s="1395" t="s">
        <v>353</v>
      </c>
      <c r="B13" s="1396"/>
      <c r="C13" s="1092">
        <v>350</v>
      </c>
      <c r="D13" s="1083" t="s">
        <v>448</v>
      </c>
      <c r="E13" s="944"/>
      <c r="F13" s="944">
        <v>8800</v>
      </c>
      <c r="G13" s="944"/>
      <c r="H13" s="944"/>
      <c r="I13" s="1074">
        <f t="shared" ref="I13:I19" si="6">SUM(E13:G13)-H13</f>
        <v>8800</v>
      </c>
      <c r="J13" s="1073"/>
      <c r="K13" s="1075"/>
      <c r="L13" s="944"/>
      <c r="M13" s="944"/>
      <c r="N13" s="944"/>
      <c r="O13" s="944">
        <f>SUM(L13:N13)</f>
        <v>0</v>
      </c>
      <c r="P13" s="944"/>
      <c r="Q13" s="944"/>
      <c r="R13" s="1074">
        <f>SUM(O13:Q13)</f>
        <v>0</v>
      </c>
    </row>
    <row r="14" spans="1:18">
      <c r="A14" s="1395" t="s">
        <v>354</v>
      </c>
      <c r="B14" s="1396"/>
      <c r="C14" s="1092">
        <v>351</v>
      </c>
      <c r="D14" s="1083" t="s">
        <v>448</v>
      </c>
      <c r="E14" s="944">
        <v>382356.67</v>
      </c>
      <c r="F14" s="944"/>
      <c r="G14" s="944"/>
      <c r="H14" s="944"/>
      <c r="I14" s="1074">
        <f t="shared" si="6"/>
        <v>382356.67</v>
      </c>
      <c r="J14" s="1078">
        <v>2.5000000000000001E-2</v>
      </c>
      <c r="K14" s="1075"/>
      <c r="L14" s="944">
        <f>E14*J14</f>
        <v>9558.9167500000003</v>
      </c>
      <c r="M14" s="944"/>
      <c r="N14" s="944"/>
      <c r="O14" s="944">
        <f>SUM(L14:N14)</f>
        <v>9558.9167500000003</v>
      </c>
      <c r="P14" s="944">
        <v>59566.66</v>
      </c>
      <c r="Q14" s="944"/>
      <c r="R14" s="1074">
        <f>SUM(O14:Q14)</f>
        <v>69125.576750000007</v>
      </c>
    </row>
    <row r="15" spans="1:18">
      <c r="A15" s="1395" t="s">
        <v>450</v>
      </c>
      <c r="B15" s="1396"/>
      <c r="C15" s="1081">
        <v>352.1</v>
      </c>
      <c r="D15" s="1083">
        <v>352.1</v>
      </c>
      <c r="E15" s="944">
        <v>8303.58</v>
      </c>
      <c r="F15" s="944"/>
      <c r="G15" s="944"/>
      <c r="H15" s="944"/>
      <c r="I15" s="1074">
        <f t="shared" si="6"/>
        <v>8303.58</v>
      </c>
      <c r="J15" s="1078">
        <v>0.02</v>
      </c>
      <c r="K15" s="1075"/>
      <c r="L15" s="944">
        <f t="shared" ref="L15:L18" si="7">E15*J15</f>
        <v>166.07159999999999</v>
      </c>
      <c r="M15" s="944"/>
      <c r="N15" s="944"/>
      <c r="O15" s="944">
        <f t="shared" ref="O15:O18" si="8">SUM(L15:N15)</f>
        <v>166.07159999999999</v>
      </c>
      <c r="P15" s="944">
        <v>675.68</v>
      </c>
      <c r="Q15" s="944"/>
      <c r="R15" s="1074">
        <f t="shared" ref="R15:R18" si="9">SUM(O15:Q15)</f>
        <v>841.75159999999994</v>
      </c>
    </row>
    <row r="16" spans="1:18">
      <c r="A16" s="1395" t="s">
        <v>451</v>
      </c>
      <c r="B16" s="1396"/>
      <c r="C16" s="1081">
        <v>352.2</v>
      </c>
      <c r="D16" s="1083">
        <v>352.2</v>
      </c>
      <c r="E16" s="944">
        <v>571128.42000000004</v>
      </c>
      <c r="F16" s="944">
        <v>24004</v>
      </c>
      <c r="G16" s="944"/>
      <c r="H16" s="944"/>
      <c r="I16" s="1074">
        <f t="shared" si="6"/>
        <v>595132.42000000004</v>
      </c>
      <c r="J16" s="1078">
        <v>0.02</v>
      </c>
      <c r="K16" s="1075">
        <v>0.02</v>
      </c>
      <c r="L16" s="944">
        <f t="shared" si="7"/>
        <v>11422.568400000002</v>
      </c>
      <c r="M16" s="944">
        <f>F16*K16/12*7</f>
        <v>280.04666666666668</v>
      </c>
      <c r="N16" s="944"/>
      <c r="O16" s="944">
        <f t="shared" si="8"/>
        <v>11702.615066666669</v>
      </c>
      <c r="P16" s="944">
        <v>110808.38</v>
      </c>
      <c r="Q16" s="944">
        <v>2459</v>
      </c>
      <c r="R16" s="1074">
        <f t="shared" si="9"/>
        <v>124969.99506666667</v>
      </c>
    </row>
    <row r="17" spans="1:18">
      <c r="A17" s="1395" t="s">
        <v>773</v>
      </c>
      <c r="B17" s="1396"/>
      <c r="C17" s="1081">
        <v>353</v>
      </c>
      <c r="D17" s="1083">
        <v>353</v>
      </c>
      <c r="E17" s="944">
        <v>9891.7199999999993</v>
      </c>
      <c r="F17" s="944">
        <v>3400</v>
      </c>
      <c r="G17" s="944"/>
      <c r="H17" s="944"/>
      <c r="I17" s="1074">
        <f t="shared" si="6"/>
        <v>13291.72</v>
      </c>
      <c r="J17" s="1078">
        <v>0.02</v>
      </c>
      <c r="K17" s="1075"/>
      <c r="L17" s="944">
        <f t="shared" si="7"/>
        <v>197.83439999999999</v>
      </c>
      <c r="M17" s="944"/>
      <c r="N17" s="944"/>
      <c r="O17" s="944">
        <f t="shared" si="8"/>
        <v>197.83439999999999</v>
      </c>
      <c r="P17" s="944">
        <v>2187.59</v>
      </c>
      <c r="Q17" s="944">
        <v>28</v>
      </c>
      <c r="R17" s="1074">
        <f t="shared" si="9"/>
        <v>2413.4244000000003</v>
      </c>
    </row>
    <row r="18" spans="1:18">
      <c r="A18" s="1395" t="s">
        <v>452</v>
      </c>
      <c r="B18" s="1396"/>
      <c r="C18" s="1081">
        <v>354</v>
      </c>
      <c r="D18" s="1083">
        <v>354</v>
      </c>
      <c r="E18" s="944">
        <v>2909.09</v>
      </c>
      <c r="F18" s="944"/>
      <c r="G18" s="944"/>
      <c r="H18" s="944"/>
      <c r="I18" s="1074">
        <f t="shared" si="6"/>
        <v>2909.09</v>
      </c>
      <c r="J18" s="1078">
        <v>3.3000000000000002E-2</v>
      </c>
      <c r="K18" s="1075"/>
      <c r="L18" s="944">
        <f t="shared" si="7"/>
        <v>95.999970000000005</v>
      </c>
      <c r="M18" s="944"/>
      <c r="N18" s="944"/>
      <c r="O18" s="944">
        <f t="shared" si="8"/>
        <v>95.999970000000005</v>
      </c>
      <c r="P18" s="944">
        <v>424.04</v>
      </c>
      <c r="Q18" s="944"/>
      <c r="R18" s="1074">
        <f t="shared" si="9"/>
        <v>520.03997000000004</v>
      </c>
    </row>
    <row r="19" spans="1:18">
      <c r="A19" s="1395" t="s">
        <v>453</v>
      </c>
      <c r="B19" s="1396"/>
      <c r="C19" s="1081">
        <v>355</v>
      </c>
      <c r="D19" s="1083">
        <v>355</v>
      </c>
      <c r="E19" s="944">
        <v>-652.45000000000005</v>
      </c>
      <c r="F19" s="944"/>
      <c r="G19" s="944"/>
      <c r="H19" s="944"/>
      <c r="I19" s="1074">
        <f t="shared" si="6"/>
        <v>-652.45000000000005</v>
      </c>
      <c r="J19" s="1073"/>
      <c r="K19" s="1075"/>
      <c r="L19" s="944"/>
      <c r="M19" s="944"/>
      <c r="N19" s="944"/>
      <c r="O19" s="944">
        <f>SUM(L19:N19)</f>
        <v>0</v>
      </c>
      <c r="P19" s="944"/>
      <c r="Q19" s="944"/>
      <c r="R19" s="1074">
        <f>SUM(O19:Q19)</f>
        <v>0</v>
      </c>
    </row>
    <row r="20" spans="1:18">
      <c r="A20" s="1326" t="s">
        <v>360</v>
      </c>
      <c r="B20" s="1392"/>
      <c r="C20" s="1092"/>
      <c r="D20" s="1083"/>
      <c r="E20" s="944"/>
      <c r="F20" s="944"/>
      <c r="G20" s="944"/>
      <c r="H20" s="944"/>
      <c r="I20" s="1074"/>
      <c r="J20" s="1073"/>
      <c r="K20" s="1075"/>
      <c r="L20" s="944"/>
      <c r="M20" s="944"/>
      <c r="N20" s="944"/>
      <c r="O20" s="944"/>
      <c r="P20" s="944"/>
      <c r="Q20" s="944"/>
      <c r="R20" s="1074"/>
    </row>
    <row r="21" spans="1:18">
      <c r="A21" s="1395" t="s">
        <v>353</v>
      </c>
      <c r="B21" s="1396"/>
      <c r="C21" s="1092">
        <v>360</v>
      </c>
      <c r="D21" s="1083" t="s">
        <v>448</v>
      </c>
      <c r="E21" s="944"/>
      <c r="F21" s="944"/>
      <c r="G21" s="944"/>
      <c r="H21" s="944"/>
      <c r="I21" s="1074">
        <f t="shared" ref="I21:I24" si="10">SUM(E21:G21)-H21</f>
        <v>0</v>
      </c>
      <c r="J21" s="1073"/>
      <c r="K21" s="1075"/>
      <c r="L21" s="944"/>
      <c r="M21" s="944"/>
      <c r="N21" s="944"/>
      <c r="O21" s="944">
        <f t="shared" ref="O21:O22" si="11">SUM(L21:N21)</f>
        <v>0</v>
      </c>
      <c r="P21" s="944"/>
      <c r="Q21" s="944"/>
      <c r="R21" s="1074">
        <f t="shared" ref="R21:R24" si="12">SUM(O21:Q21)</f>
        <v>0</v>
      </c>
    </row>
    <row r="22" spans="1:18">
      <c r="A22" s="1395" t="s">
        <v>354</v>
      </c>
      <c r="B22" s="1396"/>
      <c r="C22" s="1092">
        <v>361</v>
      </c>
      <c r="D22" s="1083" t="s">
        <v>448</v>
      </c>
      <c r="E22" s="944"/>
      <c r="F22" s="944"/>
      <c r="G22" s="944"/>
      <c r="H22" s="944"/>
      <c r="I22" s="1074">
        <f t="shared" si="10"/>
        <v>0</v>
      </c>
      <c r="J22" s="1073"/>
      <c r="K22" s="1075"/>
      <c r="L22" s="944"/>
      <c r="M22" s="944"/>
      <c r="N22" s="944"/>
      <c r="O22" s="944">
        <f t="shared" si="11"/>
        <v>0</v>
      </c>
      <c r="P22" s="944"/>
      <c r="Q22" s="944"/>
      <c r="R22" s="1074">
        <f t="shared" si="12"/>
        <v>0</v>
      </c>
    </row>
    <row r="23" spans="1:18">
      <c r="A23" s="1395" t="s">
        <v>454</v>
      </c>
      <c r="B23" s="1396"/>
      <c r="C23" s="1092">
        <v>362</v>
      </c>
      <c r="D23" s="1083">
        <v>362</v>
      </c>
      <c r="E23" s="944">
        <v>90677.1</v>
      </c>
      <c r="F23" s="944"/>
      <c r="G23" s="944"/>
      <c r="H23" s="944"/>
      <c r="I23" s="1074">
        <f t="shared" si="10"/>
        <v>90677.1</v>
      </c>
      <c r="J23" s="1078">
        <v>0.04</v>
      </c>
      <c r="K23" s="1075"/>
      <c r="L23" s="944">
        <f t="shared" ref="L23:L24" si="13">E23*J23</f>
        <v>3627.0840000000003</v>
      </c>
      <c r="M23" s="944"/>
      <c r="N23" s="944"/>
      <c r="O23" s="944">
        <f t="shared" ref="O23:O24" si="14">SUM(L23:N23)</f>
        <v>3627.0840000000003</v>
      </c>
      <c r="P23" s="944">
        <v>39765.800000000003</v>
      </c>
      <c r="Q23" s="944"/>
      <c r="R23" s="1074">
        <f t="shared" si="12"/>
        <v>43392.884000000005</v>
      </c>
    </row>
    <row r="24" spans="1:18">
      <c r="A24" s="1395" t="s">
        <v>455</v>
      </c>
      <c r="B24" s="1396"/>
      <c r="C24" s="1092">
        <v>363</v>
      </c>
      <c r="D24" s="1083">
        <v>363</v>
      </c>
      <c r="E24" s="944">
        <v>58127.46</v>
      </c>
      <c r="F24" s="944">
        <v>84708</v>
      </c>
      <c r="G24" s="944"/>
      <c r="H24" s="944"/>
      <c r="I24" s="1074">
        <f t="shared" si="10"/>
        <v>142835.46</v>
      </c>
      <c r="J24" s="1078">
        <v>0.1</v>
      </c>
      <c r="K24" s="1075">
        <v>0.03</v>
      </c>
      <c r="L24" s="944">
        <f t="shared" si="13"/>
        <v>5812.7460000000001</v>
      </c>
      <c r="M24" s="944">
        <f>F24*K24/12*7</f>
        <v>1482.3899999999999</v>
      </c>
      <c r="N24" s="944"/>
      <c r="O24" s="944">
        <f t="shared" si="14"/>
        <v>7295.1360000000004</v>
      </c>
      <c r="P24" s="944">
        <v>11945.43</v>
      </c>
      <c r="Q24" s="944">
        <v>90478</v>
      </c>
      <c r="R24" s="1074">
        <f t="shared" si="12"/>
        <v>109718.56599999999</v>
      </c>
    </row>
    <row r="25" spans="1:18">
      <c r="A25" s="1326" t="s">
        <v>456</v>
      </c>
      <c r="B25" s="1392"/>
      <c r="C25" s="1092"/>
      <c r="D25" s="1083"/>
      <c r="E25" s="944"/>
      <c r="F25" s="944"/>
      <c r="G25" s="944"/>
      <c r="H25" s="944"/>
      <c r="I25" s="1074"/>
      <c r="J25" s="1073"/>
      <c r="K25" s="1075"/>
      <c r="L25" s="944"/>
      <c r="M25" s="944"/>
      <c r="N25" s="944"/>
      <c r="O25" s="944"/>
      <c r="P25" s="944"/>
      <c r="Q25" s="944"/>
      <c r="R25" s="1074"/>
    </row>
    <row r="26" spans="1:18">
      <c r="A26" s="1395" t="s">
        <v>353</v>
      </c>
      <c r="B26" s="1396"/>
      <c r="C26" s="1092">
        <v>370</v>
      </c>
      <c r="D26" s="1083" t="s">
        <v>448</v>
      </c>
      <c r="E26" s="944"/>
      <c r="F26" s="944"/>
      <c r="G26" s="944"/>
      <c r="H26" s="944"/>
      <c r="I26" s="1074">
        <f t="shared" ref="I26:I33" si="15">SUM(E26:G26)-H26</f>
        <v>0</v>
      </c>
      <c r="J26" s="1073"/>
      <c r="K26" s="1075"/>
      <c r="L26" s="944"/>
      <c r="M26" s="944"/>
      <c r="N26" s="944"/>
      <c r="O26" s="944">
        <f t="shared" ref="O26:O27" si="16">SUM(L26:N26)</f>
        <v>0</v>
      </c>
      <c r="P26" s="944"/>
      <c r="Q26" s="944"/>
      <c r="R26" s="1074">
        <f t="shared" ref="R26:R27" si="17">SUM(O26:Q26)</f>
        <v>0</v>
      </c>
    </row>
    <row r="27" spans="1:18">
      <c r="A27" s="1395" t="s">
        <v>354</v>
      </c>
      <c r="B27" s="1396"/>
      <c r="C27" s="1092">
        <v>371</v>
      </c>
      <c r="D27" s="1083" t="s">
        <v>448</v>
      </c>
      <c r="E27" s="944"/>
      <c r="F27" s="944"/>
      <c r="G27" s="944"/>
      <c r="H27" s="944"/>
      <c r="I27" s="1074">
        <f t="shared" si="15"/>
        <v>0</v>
      </c>
      <c r="J27" s="1073"/>
      <c r="K27" s="1075"/>
      <c r="L27" s="944"/>
      <c r="M27" s="944"/>
      <c r="N27" s="944"/>
      <c r="O27" s="944">
        <f t="shared" si="16"/>
        <v>0</v>
      </c>
      <c r="P27" s="944"/>
      <c r="Q27" s="944"/>
      <c r="R27" s="1074">
        <f t="shared" si="17"/>
        <v>0</v>
      </c>
    </row>
    <row r="28" spans="1:18">
      <c r="A28" s="1395" t="s">
        <v>457</v>
      </c>
      <c r="B28" s="1396"/>
      <c r="C28" s="1092" t="s">
        <v>448</v>
      </c>
      <c r="D28" s="1083">
        <v>372</v>
      </c>
      <c r="E28" s="944">
        <v>854231.29</v>
      </c>
      <c r="F28" s="944">
        <v>69635</v>
      </c>
      <c r="G28" s="944"/>
      <c r="H28" s="944"/>
      <c r="I28" s="1074">
        <f t="shared" si="15"/>
        <v>923866.29</v>
      </c>
      <c r="J28" s="1078"/>
      <c r="K28" s="1075">
        <v>0.04</v>
      </c>
      <c r="L28" s="1077">
        <f>+K28*F28</f>
        <v>2785.4</v>
      </c>
      <c r="M28" s="944">
        <f>F28*K28/12*7</f>
        <v>1624.8166666666666</v>
      </c>
      <c r="N28" s="944"/>
      <c r="O28" s="944">
        <f t="shared" ref="O28" si="18">SUM(L28:N28)</f>
        <v>4410.2166666666672</v>
      </c>
      <c r="P28" s="944">
        <v>633193.21</v>
      </c>
      <c r="Q28" s="944">
        <v>30977</v>
      </c>
      <c r="R28" s="1074">
        <f t="shared" ref="R28:R33" si="19">SUM(O28:Q28)</f>
        <v>668580.42666666664</v>
      </c>
    </row>
    <row r="29" spans="1:18">
      <c r="A29" s="1395" t="s">
        <v>458</v>
      </c>
      <c r="B29" s="1396"/>
      <c r="C29" s="1092">
        <v>372</v>
      </c>
      <c r="D29" s="1083">
        <v>373</v>
      </c>
      <c r="E29" s="944">
        <v>10340</v>
      </c>
      <c r="F29" s="944">
        <v>8104</v>
      </c>
      <c r="G29" s="944"/>
      <c r="H29" s="944"/>
      <c r="I29" s="1074">
        <f t="shared" si="15"/>
        <v>18444</v>
      </c>
      <c r="J29" s="1078">
        <v>0.05</v>
      </c>
      <c r="K29" s="1075">
        <v>4.4999999999999998E-2</v>
      </c>
      <c r="L29" s="944">
        <f>E29*J29</f>
        <v>517</v>
      </c>
      <c r="M29" s="944">
        <f>F29*K29/12*7</f>
        <v>212.73000000000002</v>
      </c>
      <c r="N29" s="944"/>
      <c r="O29" s="944">
        <f>SUM(L29:N29)</f>
        <v>729.73</v>
      </c>
      <c r="P29" s="944">
        <v>1832.12</v>
      </c>
      <c r="Q29" s="944">
        <v>-3287</v>
      </c>
      <c r="R29" s="1074">
        <f t="shared" si="19"/>
        <v>-725.15000000000009</v>
      </c>
    </row>
    <row r="30" spans="1:18">
      <c r="A30" s="1066" t="s">
        <v>459</v>
      </c>
      <c r="B30" s="1067"/>
      <c r="C30" s="1092">
        <v>372.1</v>
      </c>
      <c r="D30" s="1083">
        <v>373.1</v>
      </c>
      <c r="E30" s="944"/>
      <c r="F30" s="944"/>
      <c r="G30" s="944"/>
      <c r="H30" s="944"/>
      <c r="I30" s="1074">
        <f t="shared" si="15"/>
        <v>0</v>
      </c>
      <c r="J30" s="1073"/>
      <c r="K30" s="1075"/>
      <c r="L30" s="944"/>
      <c r="M30" s="944"/>
      <c r="N30" s="944"/>
      <c r="O30" s="944">
        <f t="shared" ref="O30:O33" si="20">SUM(L30:N30)</f>
        <v>0</v>
      </c>
      <c r="P30" s="944"/>
      <c r="Q30" s="944"/>
      <c r="R30" s="1074">
        <f t="shared" si="19"/>
        <v>0</v>
      </c>
    </row>
    <row r="31" spans="1:18">
      <c r="A31" s="1395" t="s">
        <v>460</v>
      </c>
      <c r="B31" s="1396"/>
      <c r="C31" s="1092">
        <v>373</v>
      </c>
      <c r="D31" s="1083">
        <v>374</v>
      </c>
      <c r="E31" s="944"/>
      <c r="F31" s="944"/>
      <c r="G31" s="944"/>
      <c r="H31" s="944"/>
      <c r="I31" s="1074">
        <f t="shared" si="15"/>
        <v>0</v>
      </c>
      <c r="J31" s="1078">
        <v>2.5000000000000001E-2</v>
      </c>
      <c r="K31" s="1075"/>
      <c r="L31" s="944"/>
      <c r="M31" s="944"/>
      <c r="N31" s="944"/>
      <c r="O31" s="944">
        <f t="shared" si="20"/>
        <v>0</v>
      </c>
      <c r="P31" s="944"/>
      <c r="Q31" s="944"/>
      <c r="R31" s="1074">
        <f t="shared" si="19"/>
        <v>0</v>
      </c>
    </row>
    <row r="32" spans="1:18">
      <c r="A32" s="1395" t="s">
        <v>461</v>
      </c>
      <c r="B32" s="1396"/>
      <c r="C32" s="1092">
        <v>374</v>
      </c>
      <c r="D32" s="1083">
        <v>375</v>
      </c>
      <c r="E32" s="944"/>
      <c r="F32" s="944"/>
      <c r="G32" s="944"/>
      <c r="H32" s="944"/>
      <c r="I32" s="1074">
        <f t="shared" si="15"/>
        <v>0</v>
      </c>
      <c r="J32" s="1078">
        <v>0.02</v>
      </c>
      <c r="K32" s="1075"/>
      <c r="L32" s="944"/>
      <c r="M32" s="944"/>
      <c r="N32" s="944"/>
      <c r="O32" s="944">
        <f t="shared" si="20"/>
        <v>0</v>
      </c>
      <c r="P32" s="944"/>
      <c r="Q32" s="944"/>
      <c r="R32" s="1074">
        <f t="shared" si="19"/>
        <v>0</v>
      </c>
    </row>
    <row r="33" spans="1:18">
      <c r="A33" s="1399" t="s">
        <v>774</v>
      </c>
      <c r="B33" s="1504"/>
      <c r="C33" s="1092">
        <v>375</v>
      </c>
      <c r="D33" s="1083">
        <v>376</v>
      </c>
      <c r="E33" s="944"/>
      <c r="F33" s="944"/>
      <c r="G33" s="944"/>
      <c r="H33" s="944"/>
      <c r="I33" s="1074">
        <f t="shared" si="15"/>
        <v>0</v>
      </c>
      <c r="J33" s="1073"/>
      <c r="K33" s="1075"/>
      <c r="L33" s="944"/>
      <c r="M33" s="944"/>
      <c r="N33" s="944"/>
      <c r="O33" s="944">
        <f t="shared" si="20"/>
        <v>0</v>
      </c>
      <c r="P33" s="944"/>
      <c r="Q33" s="944"/>
      <c r="R33" s="1074">
        <f t="shared" si="19"/>
        <v>0</v>
      </c>
    </row>
    <row r="34" spans="1:18">
      <c r="A34" s="1326" t="s">
        <v>462</v>
      </c>
      <c r="B34" s="1392"/>
      <c r="C34" s="1092"/>
      <c r="D34" s="1083"/>
      <c r="E34" s="944"/>
      <c r="F34" s="944"/>
      <c r="G34" s="944"/>
      <c r="H34" s="944"/>
      <c r="I34" s="1074"/>
      <c r="J34" s="1073"/>
      <c r="K34" s="1075"/>
      <c r="L34" s="944"/>
      <c r="M34" s="944"/>
      <c r="N34" s="944"/>
      <c r="O34" s="944"/>
      <c r="P34" s="944"/>
      <c r="Q34" s="944"/>
      <c r="R34" s="1074"/>
    </row>
    <row r="35" spans="1:18">
      <c r="A35" s="1395" t="s">
        <v>353</v>
      </c>
      <c r="B35" s="1396"/>
      <c r="C35" s="1092">
        <v>389</v>
      </c>
      <c r="D35" s="1083" t="s">
        <v>448</v>
      </c>
      <c r="E35" s="944"/>
      <c r="F35" s="944"/>
      <c r="G35" s="944"/>
      <c r="H35" s="944"/>
      <c r="I35" s="1074">
        <f t="shared" ref="I35:I45" si="21">SUM(E35:G35)-H35</f>
        <v>0</v>
      </c>
      <c r="J35" s="1073"/>
      <c r="K35" s="1075"/>
      <c r="L35" s="944"/>
      <c r="M35" s="944"/>
      <c r="N35" s="944"/>
      <c r="O35" s="944">
        <f t="shared" ref="O35:O36" si="22">SUM(L35:N35)</f>
        <v>0</v>
      </c>
      <c r="P35" s="944"/>
      <c r="Q35" s="944"/>
      <c r="R35" s="1074">
        <f t="shared" ref="R35:R36" si="23">SUM(O35:Q35)</f>
        <v>0</v>
      </c>
    </row>
    <row r="36" spans="1:18">
      <c r="A36" s="1395" t="s">
        <v>354</v>
      </c>
      <c r="B36" s="1396"/>
      <c r="C36" s="1092">
        <v>390</v>
      </c>
      <c r="D36" s="1083" t="s">
        <v>448</v>
      </c>
      <c r="E36" s="944"/>
      <c r="F36" s="944"/>
      <c r="G36" s="944"/>
      <c r="H36" s="944"/>
      <c r="I36" s="1074">
        <f t="shared" si="21"/>
        <v>0</v>
      </c>
      <c r="J36" s="1073"/>
      <c r="K36" s="1075"/>
      <c r="L36" s="944"/>
      <c r="M36" s="944"/>
      <c r="N36" s="944"/>
      <c r="O36" s="944">
        <f t="shared" si="22"/>
        <v>0</v>
      </c>
      <c r="P36" s="944"/>
      <c r="Q36" s="944"/>
      <c r="R36" s="1074">
        <f t="shared" si="23"/>
        <v>0</v>
      </c>
    </row>
    <row r="37" spans="1:18">
      <c r="A37" s="1395" t="s">
        <v>463</v>
      </c>
      <c r="B37" s="1396"/>
      <c r="C37" s="1092">
        <v>391</v>
      </c>
      <c r="D37" s="1083">
        <v>391</v>
      </c>
      <c r="E37" s="944">
        <v>5920.65</v>
      </c>
      <c r="F37" s="944">
        <v>1585</v>
      </c>
      <c r="G37" s="944"/>
      <c r="H37" s="944"/>
      <c r="I37" s="1074">
        <f t="shared" si="21"/>
        <v>7505.65</v>
      </c>
      <c r="J37" s="1078">
        <v>0.05</v>
      </c>
      <c r="K37" s="1075"/>
      <c r="L37" s="944">
        <f>E37*J37</f>
        <v>296.03249999999997</v>
      </c>
      <c r="M37" s="944"/>
      <c r="N37" s="944"/>
      <c r="O37" s="944">
        <f>SUM(L37:N37)</f>
        <v>296.03249999999997</v>
      </c>
      <c r="P37" s="944">
        <v>3060.75</v>
      </c>
      <c r="Q37" s="944">
        <v>1883</v>
      </c>
      <c r="R37" s="1074">
        <f>SUM(O37:Q37)</f>
        <v>5239.7824999999993</v>
      </c>
    </row>
    <row r="38" spans="1:18">
      <c r="A38" s="1394" t="s">
        <v>464</v>
      </c>
      <c r="B38" s="1198"/>
      <c r="C38" s="1092">
        <v>391.1</v>
      </c>
      <c r="D38" s="1083">
        <v>391.1</v>
      </c>
      <c r="E38" s="944"/>
      <c r="F38" s="944"/>
      <c r="G38" s="944"/>
      <c r="H38" s="944"/>
      <c r="I38" s="1074">
        <f t="shared" si="21"/>
        <v>0</v>
      </c>
      <c r="J38" s="1078">
        <v>0.14299999999999999</v>
      </c>
      <c r="K38" s="1075">
        <v>0.01</v>
      </c>
      <c r="L38" s="944"/>
      <c r="M38" s="944"/>
      <c r="N38" s="944"/>
      <c r="O38" s="944">
        <f>SUM(L38:N38)</f>
        <v>0</v>
      </c>
      <c r="P38" s="944"/>
      <c r="Q38" s="944"/>
      <c r="R38" s="1074">
        <f t="shared" ref="R38:R41" si="24">SUM(O38:Q38)</f>
        <v>0</v>
      </c>
    </row>
    <row r="39" spans="1:18">
      <c r="A39" s="1395" t="s">
        <v>465</v>
      </c>
      <c r="B39" s="1396"/>
      <c r="C39" s="1092">
        <v>392</v>
      </c>
      <c r="D39" s="1083">
        <v>392</v>
      </c>
      <c r="E39" s="944"/>
      <c r="F39" s="944">
        <v>8569</v>
      </c>
      <c r="G39" s="944"/>
      <c r="H39" s="944"/>
      <c r="I39" s="1074">
        <f t="shared" si="21"/>
        <v>8569</v>
      </c>
      <c r="J39" s="1073"/>
      <c r="K39" s="1075">
        <v>7.0000000000000007E-2</v>
      </c>
      <c r="L39" s="944"/>
      <c r="M39" s="944">
        <f>F39*K39/12*7</f>
        <v>349.90083333333337</v>
      </c>
      <c r="N39" s="944"/>
      <c r="O39" s="944">
        <f t="shared" ref="O39:O44" si="25">SUM(L39:N39)</f>
        <v>349.90083333333337</v>
      </c>
      <c r="P39" s="944"/>
      <c r="Q39" s="944">
        <v>8420</v>
      </c>
      <c r="R39" s="1074">
        <f t="shared" si="24"/>
        <v>8769.9008333333331</v>
      </c>
    </row>
    <row r="40" spans="1:18">
      <c r="A40" s="1395" t="s">
        <v>775</v>
      </c>
      <c r="B40" s="1396"/>
      <c r="C40" s="1092" t="s">
        <v>448</v>
      </c>
      <c r="D40" s="1083">
        <v>393</v>
      </c>
      <c r="E40" s="944"/>
      <c r="F40" s="944">
        <v>2811</v>
      </c>
      <c r="G40" s="944"/>
      <c r="H40" s="944"/>
      <c r="I40" s="1074">
        <f t="shared" si="21"/>
        <v>2811</v>
      </c>
      <c r="J40" s="1073"/>
      <c r="K40" s="1075">
        <v>0.05</v>
      </c>
      <c r="L40" s="944"/>
      <c r="M40" s="944">
        <f>F40*K40/12*7</f>
        <v>81.987499999999997</v>
      </c>
      <c r="N40" s="944"/>
      <c r="O40" s="944">
        <f t="shared" si="25"/>
        <v>81.987499999999997</v>
      </c>
      <c r="P40" s="944"/>
      <c r="Q40" s="944">
        <v>2512</v>
      </c>
      <c r="R40" s="1074">
        <f t="shared" si="24"/>
        <v>2593.9875000000002</v>
      </c>
    </row>
    <row r="41" spans="1:18">
      <c r="A41" s="1395" t="s">
        <v>466</v>
      </c>
      <c r="B41" s="1396"/>
      <c r="C41" s="1092">
        <v>393</v>
      </c>
      <c r="D41" s="1083" t="s">
        <v>467</v>
      </c>
      <c r="E41" s="944"/>
      <c r="F41" s="944"/>
      <c r="G41" s="944"/>
      <c r="H41" s="944"/>
      <c r="I41" s="1074">
        <f t="shared" si="21"/>
        <v>0</v>
      </c>
      <c r="J41" s="1073"/>
      <c r="K41" s="1075"/>
      <c r="L41" s="944"/>
      <c r="M41" s="944"/>
      <c r="N41" s="944"/>
      <c r="O41" s="944">
        <f t="shared" si="25"/>
        <v>0</v>
      </c>
      <c r="P41" s="944"/>
      <c r="Q41" s="944"/>
      <c r="R41" s="1074">
        <f t="shared" si="24"/>
        <v>0</v>
      </c>
    </row>
    <row r="42" spans="1:18">
      <c r="A42" s="1395" t="s">
        <v>468</v>
      </c>
      <c r="B42" s="1396"/>
      <c r="C42" s="1092">
        <v>394</v>
      </c>
      <c r="D42" s="1083" t="s">
        <v>467</v>
      </c>
      <c r="E42" s="944">
        <v>3035.66</v>
      </c>
      <c r="F42" s="944"/>
      <c r="G42" s="944"/>
      <c r="H42" s="944"/>
      <c r="I42" s="1074">
        <f t="shared" si="21"/>
        <v>3035.66</v>
      </c>
      <c r="J42" s="1073"/>
      <c r="K42" s="1075"/>
      <c r="L42" s="944"/>
      <c r="M42" s="944"/>
      <c r="N42" s="944"/>
      <c r="O42" s="944">
        <f t="shared" si="25"/>
        <v>0</v>
      </c>
      <c r="P42" s="944">
        <v>587.47</v>
      </c>
      <c r="Q42" s="944"/>
      <c r="R42" s="1074">
        <f>SUM(O42:Q42)</f>
        <v>587.47</v>
      </c>
    </row>
    <row r="43" spans="1:18">
      <c r="A43" s="1395" t="s">
        <v>469</v>
      </c>
      <c r="B43" s="1396"/>
      <c r="C43" s="1092">
        <v>395</v>
      </c>
      <c r="D43" s="1083" t="s">
        <v>467</v>
      </c>
      <c r="E43" s="944"/>
      <c r="F43" s="944"/>
      <c r="G43" s="944"/>
      <c r="H43" s="944"/>
      <c r="I43" s="1074">
        <f t="shared" si="21"/>
        <v>0</v>
      </c>
      <c r="J43" s="1073"/>
      <c r="K43" s="1075"/>
      <c r="L43" s="944"/>
      <c r="M43" s="944"/>
      <c r="N43" s="944"/>
      <c r="O43" s="944">
        <f t="shared" si="25"/>
        <v>0</v>
      </c>
      <c r="P43" s="944"/>
      <c r="Q43" s="944"/>
      <c r="R43" s="1074">
        <f t="shared" ref="R43:R44" si="26">SUM(O43:Q43)</f>
        <v>0</v>
      </c>
    </row>
    <row r="44" spans="1:18">
      <c r="A44" s="1395" t="s">
        <v>470</v>
      </c>
      <c r="B44" s="1396"/>
      <c r="C44" s="1092">
        <v>396</v>
      </c>
      <c r="D44" s="1083" t="s">
        <v>467</v>
      </c>
      <c r="E44" s="944"/>
      <c r="F44" s="944"/>
      <c r="G44" s="944"/>
      <c r="H44" s="944"/>
      <c r="I44" s="1074">
        <f t="shared" si="21"/>
        <v>0</v>
      </c>
      <c r="J44" s="1073"/>
      <c r="K44" s="1075"/>
      <c r="L44" s="944"/>
      <c r="M44" s="944"/>
      <c r="N44" s="944"/>
      <c r="O44" s="944">
        <f t="shared" si="25"/>
        <v>0</v>
      </c>
      <c r="P44" s="944"/>
      <c r="Q44" s="944"/>
      <c r="R44" s="1074">
        <f t="shared" si="26"/>
        <v>0</v>
      </c>
    </row>
    <row r="45" spans="1:18">
      <c r="A45" s="1395" t="s">
        <v>471</v>
      </c>
      <c r="B45" s="1396"/>
      <c r="C45" s="1092">
        <v>397</v>
      </c>
      <c r="D45" s="1083" t="s">
        <v>467</v>
      </c>
      <c r="E45" s="944">
        <v>7843.24</v>
      </c>
      <c r="F45" s="944"/>
      <c r="G45" s="944"/>
      <c r="H45" s="944"/>
      <c r="I45" s="1074">
        <f t="shared" si="21"/>
        <v>7843.24</v>
      </c>
      <c r="J45" s="1078">
        <v>6.7000000000000004E-2</v>
      </c>
      <c r="K45" s="1075"/>
      <c r="L45" s="944">
        <f>E45*J45</f>
        <v>525.49707999999998</v>
      </c>
      <c r="M45" s="944"/>
      <c r="N45" s="944"/>
      <c r="O45" s="944">
        <f>SUM(L45:N45)</f>
        <v>525.49707999999998</v>
      </c>
      <c r="P45" s="944">
        <v>868.95</v>
      </c>
      <c r="Q45" s="944"/>
      <c r="R45" s="1074">
        <f>SUM(O45:Q45)</f>
        <v>1394.4470799999999</v>
      </c>
    </row>
    <row r="46" spans="1:18">
      <c r="A46" s="1502" t="s">
        <v>472</v>
      </c>
      <c r="B46" s="1503"/>
      <c r="C46" s="1094"/>
      <c r="D46" s="1095"/>
      <c r="E46" s="1096">
        <f>SUM(E5:E45)</f>
        <v>2030675.7799999998</v>
      </c>
      <c r="F46" s="1084">
        <f t="shared" ref="F46:R46" si="27">SUM(F5:F45)</f>
        <v>214616</v>
      </c>
      <c r="G46" s="1084">
        <f t="shared" si="27"/>
        <v>0</v>
      </c>
      <c r="H46" s="1084">
        <f t="shared" si="27"/>
        <v>0</v>
      </c>
      <c r="I46" s="1072">
        <f t="shared" si="27"/>
        <v>2245291.7800000003</v>
      </c>
      <c r="J46" s="1084"/>
      <c r="K46" s="1084"/>
      <c r="L46" s="1084">
        <f t="shared" si="27"/>
        <v>35005.150700000006</v>
      </c>
      <c r="M46" s="1084">
        <f t="shared" si="27"/>
        <v>4031.8716666666669</v>
      </c>
      <c r="N46" s="1084">
        <f t="shared" si="27"/>
        <v>0</v>
      </c>
      <c r="O46" s="1084">
        <f t="shared" si="27"/>
        <v>39037.022366666679</v>
      </c>
      <c r="P46" s="1084">
        <f t="shared" si="27"/>
        <v>864916.08</v>
      </c>
      <c r="Q46" s="1084">
        <f t="shared" si="27"/>
        <v>136495</v>
      </c>
      <c r="R46" s="1072">
        <f t="shared" si="27"/>
        <v>1040448.1023666665</v>
      </c>
    </row>
    <row r="47" spans="1:18" ht="15.75" thickBot="1">
      <c r="A47" s="1391"/>
      <c r="B47" s="1501"/>
      <c r="C47" s="1097"/>
      <c r="D47" s="1086"/>
      <c r="E47" s="1087"/>
      <c r="F47" s="1088"/>
      <c r="G47" s="1088"/>
      <c r="H47" s="1088"/>
      <c r="I47" s="1089"/>
      <c r="J47" s="1088"/>
      <c r="K47" s="1088"/>
      <c r="L47" s="1088"/>
      <c r="M47" s="1088"/>
      <c r="N47" s="1088"/>
      <c r="O47" s="1088"/>
      <c r="P47" s="1088"/>
      <c r="Q47" s="1088"/>
      <c r="R47" s="1089"/>
    </row>
    <row r="48" spans="1:18" ht="30" customHeight="1">
      <c r="F48" s="1098" t="s">
        <v>1214</v>
      </c>
      <c r="K48" s="1076"/>
    </row>
    <row r="49" spans="11:11">
      <c r="K49" s="1073"/>
    </row>
    <row r="50" spans="11:11">
      <c r="K50" s="1073"/>
    </row>
    <row r="51" spans="11:11">
      <c r="K51" s="1076"/>
    </row>
    <row r="52" spans="11:11">
      <c r="K52" s="1073"/>
    </row>
    <row r="53" spans="11:11">
      <c r="K53" s="1076"/>
    </row>
    <row r="54" spans="11:11">
      <c r="K54" s="1078"/>
    </row>
    <row r="55" spans="11:11">
      <c r="K55" s="1073"/>
    </row>
    <row r="56" spans="11:11">
      <c r="K56" s="1073"/>
    </row>
  </sheetData>
  <mergeCells count="46">
    <mergeCell ref="A44:B44"/>
    <mergeCell ref="A45:B45"/>
    <mergeCell ref="A46:B46"/>
    <mergeCell ref="A47:B47"/>
    <mergeCell ref="A38:B38"/>
    <mergeCell ref="A39:B39"/>
    <mergeCell ref="A40:B40"/>
    <mergeCell ref="A41:B41"/>
    <mergeCell ref="A42:B42"/>
    <mergeCell ref="A43:B43"/>
    <mergeCell ref="A37:B37"/>
    <mergeCell ref="A25:B25"/>
    <mergeCell ref="A26:B26"/>
    <mergeCell ref="A27:B27"/>
    <mergeCell ref="A28:B28"/>
    <mergeCell ref="A29:B29"/>
    <mergeCell ref="A31:B31"/>
    <mergeCell ref="A32:B32"/>
    <mergeCell ref="A33:B33"/>
    <mergeCell ref="A34:B34"/>
    <mergeCell ref="A35:B35"/>
    <mergeCell ref="A36:B36"/>
    <mergeCell ref="A24:B24"/>
    <mergeCell ref="A13:B13"/>
    <mergeCell ref="A14:B14"/>
    <mergeCell ref="A15:B15"/>
    <mergeCell ref="A16:B16"/>
    <mergeCell ref="A17:B17"/>
    <mergeCell ref="A18:B18"/>
    <mergeCell ref="A19:B19"/>
    <mergeCell ref="A20:B20"/>
    <mergeCell ref="A21:B21"/>
    <mergeCell ref="A22:B22"/>
    <mergeCell ref="A23:B23"/>
    <mergeCell ref="A12:B12"/>
    <mergeCell ref="E2:I2"/>
    <mergeCell ref="J2:R2"/>
    <mergeCell ref="A3:B3"/>
    <mergeCell ref="C3:D3"/>
    <mergeCell ref="A5:B5"/>
    <mergeCell ref="A6:B6"/>
    <mergeCell ref="A7:B7"/>
    <mergeCell ref="A8:B8"/>
    <mergeCell ref="A9:B9"/>
    <mergeCell ref="A10:B10"/>
    <mergeCell ref="A11:B11"/>
  </mergeCells>
  <printOptions horizontalCentered="1"/>
  <pageMargins left="0.2" right="0.2" top="0.5" bottom="0.5" header="0.3" footer="0.3"/>
  <pageSetup paperSize="5" scale="65" orientation="landscape" cellComments="asDisplayed" r:id="rId1"/>
  <headerFooter>
    <oddFooter>&amp;L&amp;F - &amp;A&amp;R&amp;D - &amp;T</oddFooter>
  </headerFooter>
  <legacy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5"/>
  <sheetViews>
    <sheetView showGridLines="0" topLeftCell="A22" zoomScaleNormal="100" zoomScaleSheetLayoutView="100" workbookViewId="0">
      <selection activeCell="F36" sqref="F36:G36"/>
    </sheetView>
  </sheetViews>
  <sheetFormatPr defaultRowHeight="12.75"/>
  <cols>
    <col min="1" max="1" width="3.140625" style="211" bestFit="1" customWidth="1"/>
    <col min="2" max="2" width="14.140625" style="21" customWidth="1"/>
    <col min="3" max="3" width="22" style="21" customWidth="1"/>
    <col min="4" max="4" width="3.28515625" style="21" customWidth="1"/>
    <col min="5" max="5" width="23.28515625" style="21" customWidth="1"/>
    <col min="6" max="6" width="9.140625" style="21" customWidth="1"/>
    <col min="7" max="7" width="3.28515625" style="21" customWidth="1"/>
    <col min="8" max="9" width="11.28515625" style="21" customWidth="1"/>
    <col min="10" max="10" width="13.140625" style="21" customWidth="1"/>
    <col min="11" max="11" width="16.42578125" style="21" bestFit="1" customWidth="1"/>
    <col min="12" max="12" width="6" style="21" customWidth="1"/>
    <col min="13" max="13" width="8" style="21" customWidth="1"/>
    <col min="14" max="14" width="9.140625" style="21" customWidth="1"/>
    <col min="15" max="16384" width="9.140625" style="648"/>
  </cols>
  <sheetData>
    <row r="1" spans="1:14">
      <c r="A1" s="211">
        <v>1</v>
      </c>
      <c r="C1" s="57"/>
      <c r="D1" s="57"/>
      <c r="E1" s="57"/>
      <c r="F1" s="57"/>
      <c r="G1" s="57"/>
      <c r="I1" s="285" t="s">
        <v>149</v>
      </c>
      <c r="J1" s="303">
        <f>IF(Cover!D13&gt;0, Cover!D13, "")</f>
        <v>2011</v>
      </c>
      <c r="K1" s="57"/>
      <c r="L1" s="57"/>
      <c r="M1" s="57"/>
    </row>
    <row r="2" spans="1:14" ht="15" customHeight="1">
      <c r="A2" s="211">
        <v>2</v>
      </c>
      <c r="B2" s="57" t="s">
        <v>150</v>
      </c>
      <c r="C2" s="1166" t="str">
        <f>IF(Cover!A1&gt;0, Cover!A1, "")</f>
        <v>Algonquin Water Resources of Missouri, LLC dba Liberty Utilities</v>
      </c>
      <c r="D2" s="1166"/>
      <c r="E2" s="1166"/>
      <c r="F2" s="1166"/>
      <c r="G2" s="1166"/>
      <c r="H2" s="1166"/>
      <c r="I2" s="1166"/>
      <c r="J2" s="1166"/>
      <c r="K2" s="293"/>
      <c r="L2" s="293"/>
      <c r="M2" s="293"/>
      <c r="N2" s="293"/>
    </row>
    <row r="3" spans="1:14" ht="5.0999999999999996" customHeight="1">
      <c r="B3" s="1170"/>
      <c r="C3" s="1170"/>
      <c r="D3" s="1170"/>
      <c r="E3" s="1170"/>
      <c r="F3" s="1170"/>
      <c r="G3" s="1170"/>
      <c r="H3" s="1170"/>
      <c r="I3" s="1170"/>
      <c r="J3" s="1170"/>
      <c r="K3" s="1170"/>
      <c r="L3" s="1170"/>
      <c r="M3" s="1170"/>
      <c r="N3" s="1170"/>
    </row>
    <row r="4" spans="1:14">
      <c r="B4" s="1171" t="s">
        <v>484</v>
      </c>
      <c r="C4" s="1171"/>
      <c r="D4" s="1171"/>
      <c r="E4" s="1171"/>
      <c r="F4" s="1171"/>
      <c r="G4" s="1171"/>
      <c r="H4" s="1171"/>
      <c r="I4" s="1171"/>
      <c r="J4" s="1171"/>
      <c r="K4" s="649"/>
      <c r="L4" s="649"/>
      <c r="M4" s="649"/>
      <c r="N4" s="649"/>
    </row>
    <row r="5" spans="1:14">
      <c r="A5" s="211">
        <v>3</v>
      </c>
      <c r="B5" s="1170" t="s">
        <v>485</v>
      </c>
      <c r="C5" s="1170"/>
      <c r="D5" s="1170"/>
      <c r="E5" s="1170"/>
      <c r="F5" s="1170"/>
      <c r="G5" s="1170"/>
      <c r="H5" s="1170"/>
      <c r="I5" s="1170"/>
      <c r="J5" s="1170"/>
      <c r="K5" s="1170"/>
      <c r="L5" s="1170"/>
      <c r="M5" s="1170"/>
      <c r="N5" s="1170"/>
    </row>
    <row r="6" spans="1:14" ht="50.1" customHeight="1">
      <c r="B6" s="1529" t="s">
        <v>897</v>
      </c>
      <c r="C6" s="1530"/>
      <c r="D6" s="1530"/>
      <c r="E6" s="1530"/>
      <c r="F6" s="1530"/>
      <c r="G6" s="1530"/>
      <c r="H6" s="1530"/>
      <c r="I6" s="1530"/>
      <c r="J6" s="1531"/>
      <c r="K6" s="650"/>
      <c r="L6" s="449"/>
      <c r="M6" s="449"/>
      <c r="N6" s="449"/>
    </row>
    <row r="7" spans="1:14" ht="8.1" customHeight="1">
      <c r="B7" s="1170"/>
      <c r="C7" s="1170"/>
      <c r="D7" s="1170"/>
      <c r="E7" s="1170"/>
      <c r="F7" s="1170"/>
      <c r="G7" s="1170"/>
      <c r="H7" s="1170"/>
      <c r="I7" s="1170"/>
      <c r="J7" s="1170"/>
      <c r="K7" s="1170"/>
      <c r="L7" s="1170"/>
      <c r="M7" s="1170"/>
      <c r="N7" s="1170"/>
    </row>
    <row r="8" spans="1:14">
      <c r="A8" s="211">
        <v>4</v>
      </c>
      <c r="B8" s="57" t="s">
        <v>551</v>
      </c>
      <c r="C8" s="57"/>
      <c r="D8" s="268"/>
      <c r="E8" s="68" t="s">
        <v>552</v>
      </c>
      <c r="F8" s="211" t="s">
        <v>262</v>
      </c>
      <c r="G8" s="268"/>
      <c r="H8" s="312" t="s">
        <v>553</v>
      </c>
      <c r="I8" s="312"/>
      <c r="J8" s="648"/>
      <c r="K8" s="648"/>
      <c r="L8" s="68"/>
      <c r="M8" s="61"/>
    </row>
    <row r="9" spans="1:14" ht="8.1" customHeight="1">
      <c r="F9" s="68"/>
      <c r="J9" s="648"/>
    </row>
    <row r="10" spans="1:14">
      <c r="A10" s="211">
        <v>5</v>
      </c>
      <c r="B10" s="57" t="s">
        <v>554</v>
      </c>
      <c r="C10" s="57"/>
      <c r="D10" s="268"/>
      <c r="E10" s="68" t="s">
        <v>552</v>
      </c>
      <c r="F10" s="211" t="s">
        <v>262</v>
      </c>
      <c r="G10" s="268"/>
      <c r="H10" s="312" t="s">
        <v>553</v>
      </c>
      <c r="I10" s="312"/>
      <c r="J10" s="648"/>
      <c r="K10" s="61"/>
      <c r="L10" s="61"/>
      <c r="M10" s="61"/>
    </row>
    <row r="11" spans="1:14" ht="8.1" customHeight="1"/>
    <row r="12" spans="1:14" ht="15" customHeight="1">
      <c r="A12" s="211">
        <v>6</v>
      </c>
      <c r="B12" s="57" t="s">
        <v>486</v>
      </c>
      <c r="C12" s="57"/>
      <c r="D12" s="57"/>
      <c r="E12" s="57"/>
      <c r="F12" s="1373" t="s">
        <v>898</v>
      </c>
      <c r="G12" s="1161"/>
      <c r="H12" s="1161"/>
      <c r="I12" s="1161"/>
      <c r="J12" s="1374"/>
      <c r="K12" s="361"/>
      <c r="L12" s="57"/>
      <c r="M12" s="57"/>
    </row>
    <row r="13" spans="1:14" ht="8.1" customHeight="1"/>
    <row r="14" spans="1:14">
      <c r="A14" s="211">
        <v>7</v>
      </c>
      <c r="B14" s="57" t="s">
        <v>487</v>
      </c>
      <c r="C14" s="57"/>
      <c r="D14" s="57"/>
      <c r="E14" s="57"/>
      <c r="F14" s="1373" t="s">
        <v>899</v>
      </c>
      <c r="G14" s="1161"/>
      <c r="H14" s="1161"/>
      <c r="I14" s="1161"/>
      <c r="J14" s="1374"/>
      <c r="K14" s="361"/>
      <c r="L14" s="57"/>
      <c r="M14" s="57"/>
    </row>
    <row r="15" spans="1:14" ht="8.1" customHeight="1"/>
    <row r="16" spans="1:14">
      <c r="A16" s="211">
        <f>A14+1</f>
        <v>8</v>
      </c>
      <c r="B16" s="1170" t="s">
        <v>488</v>
      </c>
      <c r="C16" s="1170"/>
      <c r="D16" s="1170"/>
      <c r="E16" s="1170"/>
      <c r="F16" s="1170"/>
      <c r="G16" s="1170"/>
      <c r="H16" s="1170"/>
      <c r="I16" s="1170"/>
      <c r="J16" s="1170"/>
      <c r="K16" s="1170"/>
      <c r="L16" s="1170"/>
      <c r="M16" s="1170"/>
      <c r="N16" s="1170"/>
    </row>
    <row r="17" spans="1:14" ht="50.1" customHeight="1">
      <c r="B17" s="1529" t="s">
        <v>900</v>
      </c>
      <c r="C17" s="1530"/>
      <c r="D17" s="1530"/>
      <c r="E17" s="1530"/>
      <c r="F17" s="1530"/>
      <c r="G17" s="1530"/>
      <c r="H17" s="1530"/>
      <c r="I17" s="1530"/>
      <c r="J17" s="1531"/>
      <c r="K17" s="650"/>
      <c r="L17" s="449"/>
      <c r="M17" s="449"/>
      <c r="N17" s="449"/>
    </row>
    <row r="18" spans="1:14" ht="8.1" customHeight="1"/>
    <row r="19" spans="1:14">
      <c r="A19" s="211">
        <f>A16+1</f>
        <v>9</v>
      </c>
      <c r="B19" s="1170" t="s">
        <v>489</v>
      </c>
      <c r="C19" s="1170"/>
      <c r="D19" s="1170"/>
      <c r="E19" s="1170"/>
      <c r="F19" s="1170"/>
      <c r="G19" s="1170"/>
      <c r="H19" s="1170"/>
      <c r="I19" s="1170"/>
      <c r="J19" s="1170"/>
      <c r="K19" s="1170"/>
      <c r="L19" s="1170"/>
      <c r="M19" s="1170"/>
      <c r="N19" s="1170"/>
    </row>
    <row r="20" spans="1:14" ht="50.1" customHeight="1">
      <c r="B20" s="1529" t="s">
        <v>901</v>
      </c>
      <c r="C20" s="1530"/>
      <c r="D20" s="1530"/>
      <c r="E20" s="1530"/>
      <c r="F20" s="1530"/>
      <c r="G20" s="1530"/>
      <c r="H20" s="1530"/>
      <c r="I20" s="1530"/>
      <c r="J20" s="1531"/>
      <c r="K20" s="650"/>
      <c r="L20" s="449"/>
      <c r="M20" s="449"/>
      <c r="N20" s="449"/>
    </row>
    <row r="21" spans="1:14" ht="8.1" customHeight="1"/>
    <row r="22" spans="1:14">
      <c r="A22" s="211">
        <f>A19+1</f>
        <v>10</v>
      </c>
      <c r="B22" s="1170" t="s">
        <v>490</v>
      </c>
      <c r="C22" s="1170"/>
      <c r="D22" s="1170"/>
      <c r="E22" s="1170"/>
      <c r="F22" s="1170"/>
      <c r="G22" s="1170"/>
      <c r="H22" s="1170"/>
      <c r="I22" s="1170"/>
      <c r="J22" s="1170"/>
      <c r="K22" s="1170"/>
      <c r="L22" s="1170"/>
      <c r="M22" s="1170"/>
      <c r="N22" s="1170"/>
    </row>
    <row r="23" spans="1:14" ht="50.1" customHeight="1">
      <c r="B23" s="1529"/>
      <c r="C23" s="1530"/>
      <c r="D23" s="1530"/>
      <c r="E23" s="1530"/>
      <c r="F23" s="1530"/>
      <c r="G23" s="1530"/>
      <c r="H23" s="1530"/>
      <c r="I23" s="1530"/>
      <c r="J23" s="1531"/>
      <c r="K23" s="650"/>
      <c r="L23" s="449"/>
      <c r="M23" s="449"/>
      <c r="N23" s="449"/>
    </row>
    <row r="24" spans="1:14" ht="8.1" customHeight="1"/>
    <row r="25" spans="1:14">
      <c r="A25" s="211">
        <f>A22+1</f>
        <v>11</v>
      </c>
      <c r="B25" s="1170" t="s">
        <v>491</v>
      </c>
      <c r="C25" s="1170"/>
      <c r="D25" s="1170"/>
      <c r="E25" s="1170"/>
      <c r="F25" s="1170"/>
      <c r="G25" s="1170"/>
      <c r="H25" s="1170"/>
      <c r="I25" s="1170"/>
      <c r="J25" s="1170"/>
      <c r="K25" s="1170"/>
      <c r="L25" s="1170"/>
      <c r="M25" s="1170"/>
      <c r="N25" s="1170"/>
    </row>
    <row r="26" spans="1:14" ht="50.1" customHeight="1">
      <c r="B26" s="1529" t="s">
        <v>902</v>
      </c>
      <c r="C26" s="1530"/>
      <c r="D26" s="1530"/>
      <c r="E26" s="1530"/>
      <c r="F26" s="1530"/>
      <c r="G26" s="1530"/>
      <c r="H26" s="1530"/>
      <c r="I26" s="1530"/>
      <c r="J26" s="1531"/>
      <c r="K26" s="650"/>
      <c r="L26" s="449"/>
      <c r="M26" s="449"/>
      <c r="N26" s="449"/>
    </row>
    <row r="27" spans="1:14" ht="8.1" customHeight="1"/>
    <row r="28" spans="1:14" ht="28.5" customHeight="1">
      <c r="A28" s="651">
        <f>A25+1</f>
        <v>12</v>
      </c>
      <c r="B28" s="1553" t="s">
        <v>492</v>
      </c>
      <c r="C28" s="1553"/>
      <c r="D28" s="1553"/>
      <c r="E28" s="1553"/>
      <c r="F28" s="1553"/>
      <c r="G28" s="1553"/>
      <c r="H28" s="1553"/>
      <c r="I28" s="1553"/>
      <c r="J28" s="1553"/>
      <c r="K28" s="59"/>
      <c r="L28" s="59"/>
      <c r="M28" s="59"/>
      <c r="N28" s="59"/>
    </row>
    <row r="29" spans="1:14" ht="50.1" customHeight="1">
      <c r="B29" s="1529"/>
      <c r="C29" s="1530"/>
      <c r="D29" s="1530"/>
      <c r="E29" s="1530"/>
      <c r="F29" s="1530"/>
      <c r="G29" s="1530"/>
      <c r="H29" s="1530"/>
      <c r="I29" s="1530"/>
      <c r="J29" s="1531"/>
      <c r="K29" s="449"/>
      <c r="L29" s="449"/>
      <c r="M29" s="449"/>
      <c r="N29" s="449"/>
    </row>
    <row r="30" spans="1:14" ht="8.1" customHeight="1">
      <c r="A30" s="652"/>
      <c r="B30" s="301"/>
      <c r="C30" s="301"/>
      <c r="D30" s="301"/>
      <c r="E30" s="301"/>
      <c r="F30" s="301"/>
      <c r="G30" s="301"/>
      <c r="H30" s="301"/>
      <c r="I30" s="301"/>
      <c r="J30" s="301"/>
      <c r="K30" s="301"/>
      <c r="L30" s="301"/>
      <c r="M30" s="301"/>
      <c r="N30" s="301"/>
    </row>
    <row r="31" spans="1:14" ht="13.5" thickBot="1">
      <c r="A31" s="652"/>
      <c r="B31" s="1267" t="s">
        <v>493</v>
      </c>
      <c r="C31" s="1267"/>
      <c r="D31" s="1267"/>
      <c r="E31" s="1267"/>
      <c r="F31" s="1267"/>
      <c r="G31" s="1267"/>
      <c r="H31" s="1267"/>
      <c r="I31" s="1267"/>
      <c r="J31" s="1267"/>
      <c r="K31" s="653"/>
      <c r="L31" s="653"/>
      <c r="M31" s="653"/>
      <c r="N31" s="653"/>
    </row>
    <row r="32" spans="1:14" ht="65.25" customHeight="1">
      <c r="B32" s="1539" t="s">
        <v>556</v>
      </c>
      <c r="C32" s="1540"/>
      <c r="D32" s="1533"/>
      <c r="E32" s="743" t="s">
        <v>557</v>
      </c>
      <c r="F32" s="1532" t="s">
        <v>558</v>
      </c>
      <c r="G32" s="1533"/>
      <c r="H32" s="744" t="s">
        <v>559</v>
      </c>
      <c r="I32" s="744" t="s">
        <v>777</v>
      </c>
      <c r="J32" s="745" t="s">
        <v>560</v>
      </c>
      <c r="K32" s="648"/>
      <c r="L32" s="648"/>
      <c r="M32" s="648"/>
      <c r="N32" s="648"/>
    </row>
    <row r="33" spans="1:15" ht="18" customHeight="1">
      <c r="A33" s="211">
        <f>A28+1</f>
        <v>13</v>
      </c>
      <c r="B33" s="811" t="s">
        <v>494</v>
      </c>
      <c r="C33" s="1534"/>
      <c r="D33" s="1535"/>
      <c r="E33" s="87" t="s">
        <v>893</v>
      </c>
      <c r="F33" s="1538" t="s">
        <v>1022</v>
      </c>
      <c r="G33" s="1538"/>
      <c r="H33" s="87"/>
      <c r="I33" s="87"/>
      <c r="J33" s="809"/>
      <c r="K33" s="648"/>
      <c r="L33" s="648"/>
      <c r="M33" s="648"/>
      <c r="N33" s="648"/>
    </row>
    <row r="34" spans="1:15" ht="18" customHeight="1">
      <c r="A34" s="211">
        <f>A33+1</f>
        <v>14</v>
      </c>
      <c r="B34" s="1536" t="s">
        <v>889</v>
      </c>
      <c r="C34" s="1537"/>
      <c r="D34" s="1537"/>
      <c r="E34" s="87" t="s">
        <v>903</v>
      </c>
      <c r="F34" s="1538">
        <v>13434</v>
      </c>
      <c r="G34" s="1538"/>
      <c r="H34" s="87"/>
      <c r="I34" s="87"/>
      <c r="J34" s="809">
        <v>13434</v>
      </c>
      <c r="K34" s="648"/>
      <c r="L34" s="648"/>
      <c r="M34" s="648"/>
      <c r="N34" s="648"/>
    </row>
    <row r="35" spans="1:15" ht="18" customHeight="1">
      <c r="A35" s="211">
        <f>A34+1</f>
        <v>15</v>
      </c>
      <c r="B35" s="811" t="s">
        <v>495</v>
      </c>
      <c r="C35" s="1534"/>
      <c r="D35" s="1535"/>
      <c r="E35" s="87" t="s">
        <v>892</v>
      </c>
      <c r="F35" s="1538" t="s">
        <v>1022</v>
      </c>
      <c r="G35" s="1538"/>
      <c r="H35" s="87"/>
      <c r="I35" s="87"/>
      <c r="J35" s="809"/>
      <c r="K35" s="648"/>
      <c r="L35" s="648"/>
      <c r="M35" s="648"/>
      <c r="N35" s="648"/>
    </row>
    <row r="36" spans="1:15" ht="18" customHeight="1">
      <c r="A36" s="211">
        <f>A35+1</f>
        <v>16</v>
      </c>
      <c r="B36" s="1536"/>
      <c r="C36" s="1537"/>
      <c r="D36" s="1537"/>
      <c r="E36" s="87"/>
      <c r="F36" s="1538"/>
      <c r="G36" s="1538"/>
      <c r="H36" s="87"/>
      <c r="I36" s="87"/>
      <c r="J36" s="809"/>
      <c r="K36" s="648"/>
      <c r="L36" s="648"/>
      <c r="M36" s="648"/>
      <c r="N36" s="648"/>
    </row>
    <row r="37" spans="1:15" ht="18" customHeight="1" thickBot="1">
      <c r="A37" s="211">
        <f>A36+1</f>
        <v>17</v>
      </c>
      <c r="B37" s="1527"/>
      <c r="C37" s="1528"/>
      <c r="D37" s="1528"/>
      <c r="E37" s="791"/>
      <c r="F37" s="1550"/>
      <c r="G37" s="1550"/>
      <c r="H37" s="791"/>
      <c r="I37" s="791"/>
      <c r="J37" s="810"/>
      <c r="K37" s="648"/>
      <c r="L37" s="648"/>
      <c r="M37" s="648"/>
      <c r="N37" s="648"/>
    </row>
    <row r="38" spans="1:15" ht="8.1" customHeight="1">
      <c r="B38" s="301"/>
      <c r="C38" s="301"/>
      <c r="D38" s="301"/>
      <c r="E38" s="293"/>
      <c r="F38" s="301"/>
      <c r="G38" s="301"/>
      <c r="H38" s="293"/>
      <c r="I38" s="293"/>
      <c r="J38" s="301"/>
      <c r="K38" s="301"/>
      <c r="L38" s="301"/>
      <c r="M38" s="301"/>
      <c r="N38" s="301"/>
      <c r="O38" s="654"/>
    </row>
    <row r="39" spans="1:15" ht="13.5" thickBot="1">
      <c r="B39" s="1267" t="s">
        <v>496</v>
      </c>
      <c r="C39" s="1267"/>
      <c r="D39" s="1267"/>
      <c r="E39" s="1267"/>
      <c r="F39" s="1267"/>
      <c r="G39" s="1267"/>
      <c r="H39" s="1267"/>
      <c r="I39" s="1267"/>
      <c r="J39" s="1267"/>
      <c r="K39" s="653"/>
      <c r="L39" s="653"/>
      <c r="M39" s="653"/>
      <c r="N39" s="653"/>
      <c r="O39" s="654"/>
    </row>
    <row r="40" spans="1:15" ht="15.75" customHeight="1">
      <c r="B40" s="1551" t="s">
        <v>497</v>
      </c>
      <c r="C40" s="1552"/>
      <c r="D40" s="1298" t="s">
        <v>555</v>
      </c>
      <c r="E40" s="1544"/>
      <c r="F40" s="1544"/>
      <c r="G40" s="1545"/>
      <c r="H40" s="697" t="s">
        <v>498</v>
      </c>
      <c r="I40" s="746" t="s">
        <v>499</v>
      </c>
      <c r="J40" s="747" t="s">
        <v>500</v>
      </c>
      <c r="K40" s="648"/>
      <c r="L40" s="648"/>
      <c r="M40" s="648"/>
      <c r="N40" s="648"/>
    </row>
    <row r="41" spans="1:15" ht="23.25" customHeight="1">
      <c r="A41" s="211">
        <f>A37+1</f>
        <v>18</v>
      </c>
      <c r="B41" s="1546" t="s">
        <v>904</v>
      </c>
      <c r="C41" s="1215"/>
      <c r="D41" s="1549"/>
      <c r="E41" s="1534"/>
      <c r="F41" s="1534"/>
      <c r="G41" s="1535"/>
      <c r="H41" s="87"/>
      <c r="I41" s="790"/>
      <c r="J41" s="812"/>
      <c r="K41" s="61"/>
      <c r="L41" s="648"/>
      <c r="M41" s="648"/>
      <c r="N41" s="648"/>
    </row>
    <row r="42" spans="1:15" ht="22.5" customHeight="1">
      <c r="A42" s="211">
        <f>A41+1</f>
        <v>19</v>
      </c>
      <c r="B42" s="1546"/>
      <c r="C42" s="1215"/>
      <c r="D42" s="1549"/>
      <c r="E42" s="1534"/>
      <c r="F42" s="1534"/>
      <c r="G42" s="1535"/>
      <c r="H42" s="87"/>
      <c r="I42" s="790"/>
      <c r="J42" s="812"/>
      <c r="K42" s="61"/>
      <c r="L42" s="648"/>
      <c r="M42" s="648"/>
      <c r="N42" s="648"/>
    </row>
    <row r="43" spans="1:15" ht="24" customHeight="1" thickBot="1">
      <c r="A43" s="211">
        <f>A42+1</f>
        <v>20</v>
      </c>
      <c r="B43" s="1547"/>
      <c r="C43" s="1548"/>
      <c r="D43" s="1541"/>
      <c r="E43" s="1542"/>
      <c r="F43" s="1542"/>
      <c r="G43" s="1543"/>
      <c r="H43" s="791"/>
      <c r="I43" s="792"/>
      <c r="J43" s="813"/>
      <c r="K43" s="61"/>
      <c r="L43" s="648"/>
      <c r="M43" s="648"/>
      <c r="N43" s="648"/>
    </row>
    <row r="44" spans="1:15" ht="5.25" customHeight="1">
      <c r="B44" s="61"/>
      <c r="C44" s="61"/>
      <c r="D44" s="61"/>
      <c r="E44" s="61"/>
      <c r="F44" s="61"/>
      <c r="G44" s="61"/>
      <c r="H44" s="61"/>
      <c r="I44" s="61"/>
      <c r="J44" s="61"/>
      <c r="K44" s="61"/>
      <c r="L44" s="61"/>
      <c r="M44" s="61"/>
      <c r="N44" s="61"/>
    </row>
    <row r="45" spans="1:15" s="269" customFormat="1">
      <c r="A45" s="128"/>
      <c r="B45" s="17"/>
      <c r="C45" s="17"/>
      <c r="D45" s="17"/>
      <c r="E45" s="17"/>
      <c r="F45" s="17"/>
      <c r="G45" s="17"/>
      <c r="H45" s="1524"/>
      <c r="I45" s="1525"/>
      <c r="J45" s="1526"/>
      <c r="K45" s="58"/>
      <c r="L45" s="58"/>
      <c r="M45" s="58"/>
      <c r="N45" s="58"/>
    </row>
    <row r="46" spans="1:15" s="269" customFormat="1" ht="11.25" customHeight="1">
      <c r="A46" s="128"/>
      <c r="B46" s="17"/>
      <c r="C46" s="17"/>
      <c r="D46" s="17"/>
      <c r="E46" s="17"/>
      <c r="F46" s="17"/>
      <c r="G46" s="17"/>
      <c r="H46" s="17"/>
      <c r="I46" s="17"/>
      <c r="J46" s="84" t="s">
        <v>13</v>
      </c>
      <c r="K46" s="270"/>
      <c r="L46" s="270"/>
      <c r="M46" s="270"/>
      <c r="N46" s="270"/>
    </row>
    <row r="47" spans="1:15" s="269" customFormat="1">
      <c r="A47" s="128"/>
      <c r="B47" s="17"/>
      <c r="C47" s="17"/>
      <c r="D47" s="17"/>
      <c r="E47" s="17"/>
      <c r="F47" s="17"/>
      <c r="G47" s="17"/>
      <c r="H47" s="17"/>
      <c r="I47" s="17"/>
      <c r="J47" s="17"/>
      <c r="N47" s="17"/>
    </row>
    <row r="48" spans="1:15" s="269" customFormat="1">
      <c r="A48" s="128"/>
      <c r="B48" s="17"/>
      <c r="C48" s="17"/>
      <c r="D48" s="17"/>
      <c r="E48" s="17"/>
      <c r="F48" s="17"/>
      <c r="G48" s="17"/>
      <c r="H48" s="17"/>
      <c r="I48" s="17"/>
      <c r="J48" s="17"/>
      <c r="N48" s="17"/>
    </row>
    <row r="49" spans="1:14" s="269" customFormat="1">
      <c r="A49" s="128"/>
      <c r="B49" s="17"/>
      <c r="C49" s="17"/>
      <c r="D49" s="17"/>
      <c r="E49" s="17"/>
      <c r="F49" s="17"/>
      <c r="G49" s="17"/>
      <c r="H49" s="17"/>
      <c r="I49" s="17"/>
      <c r="J49" s="17"/>
      <c r="N49" s="17"/>
    </row>
    <row r="50" spans="1:14" s="269" customFormat="1">
      <c r="A50" s="128"/>
      <c r="B50" s="17"/>
      <c r="C50" s="17"/>
      <c r="D50" s="17"/>
      <c r="E50" s="17"/>
      <c r="F50" s="17"/>
      <c r="G50" s="17"/>
      <c r="H50" s="17"/>
      <c r="I50" s="17"/>
      <c r="J50" s="17"/>
      <c r="N50" s="17"/>
    </row>
    <row r="51" spans="1:14" s="269" customFormat="1">
      <c r="A51" s="128"/>
      <c r="B51" s="17"/>
      <c r="C51" s="17"/>
      <c r="D51" s="17"/>
      <c r="E51" s="17"/>
      <c r="F51" s="17"/>
      <c r="G51" s="17"/>
      <c r="H51" s="17"/>
      <c r="I51" s="17"/>
      <c r="J51" s="17"/>
      <c r="N51" s="17"/>
    </row>
    <row r="52" spans="1:14" s="269" customFormat="1">
      <c r="A52" s="128"/>
      <c r="B52" s="17"/>
      <c r="C52" s="17"/>
      <c r="D52" s="17"/>
      <c r="E52" s="17"/>
      <c r="F52" s="17"/>
      <c r="G52" s="17"/>
      <c r="H52" s="17"/>
      <c r="I52" s="17"/>
      <c r="J52" s="17"/>
      <c r="N52" s="17"/>
    </row>
    <row r="53" spans="1:14" s="269" customFormat="1">
      <c r="A53" s="128"/>
      <c r="B53" s="17"/>
      <c r="C53" s="17"/>
      <c r="D53" s="17"/>
      <c r="E53" s="17"/>
      <c r="F53" s="17"/>
      <c r="G53" s="17"/>
      <c r="H53" s="17"/>
      <c r="I53" s="17"/>
      <c r="J53" s="17"/>
      <c r="N53" s="17"/>
    </row>
    <row r="54" spans="1:14">
      <c r="K54" s="648"/>
      <c r="L54" s="648"/>
      <c r="M54" s="648"/>
    </row>
    <row r="55" spans="1:14">
      <c r="K55" s="648"/>
      <c r="L55" s="648"/>
      <c r="M55" s="648"/>
    </row>
    <row r="56" spans="1:14">
      <c r="K56" s="648"/>
      <c r="L56" s="648"/>
      <c r="M56" s="648"/>
    </row>
    <row r="57" spans="1:14">
      <c r="K57" s="648"/>
      <c r="L57" s="648"/>
      <c r="M57" s="648"/>
    </row>
    <row r="58" spans="1:14">
      <c r="K58" s="648"/>
      <c r="L58" s="648"/>
      <c r="M58" s="648"/>
    </row>
    <row r="59" spans="1:14">
      <c r="K59" s="648"/>
      <c r="L59" s="648"/>
      <c r="M59" s="648"/>
    </row>
    <row r="60" spans="1:14">
      <c r="K60" s="648"/>
      <c r="L60" s="648"/>
      <c r="M60" s="648"/>
    </row>
    <row r="61" spans="1:14">
      <c r="K61" s="648"/>
      <c r="L61" s="648"/>
      <c r="M61" s="648"/>
    </row>
    <row r="62" spans="1:14">
      <c r="K62" s="648"/>
      <c r="L62" s="648"/>
      <c r="M62" s="648"/>
    </row>
    <row r="63" spans="1:14">
      <c r="M63" s="648"/>
    </row>
    <row r="64" spans="1:14">
      <c r="K64" s="21" t="s">
        <v>14</v>
      </c>
      <c r="M64" s="648"/>
    </row>
    <row r="65" spans="11:13">
      <c r="K65" s="21" t="s">
        <v>15</v>
      </c>
      <c r="M65" s="648"/>
    </row>
  </sheetData>
  <sheetProtection password="C0F1" sheet="1" formatCells="0" formatColumns="0" formatRows="0" insertColumns="0" insertRows="0"/>
  <customSheetViews>
    <customSheetView guid="{1F4AFEE5-5BDD-4100-B0E9-57B262CA123C}" scale="145" showPageBreaks="1" showGridLines="0" fitToPage="1" printArea="1" view="pageBreakPreview">
      <selection activeCell="C12" sqref="C12"/>
      <pageMargins left="0.5" right="0.5" top="0.5" bottom="0.3" header="0.3" footer="0.3"/>
      <printOptions horizontalCentered="1"/>
      <pageSetup scale="87" orientation="portrait" r:id="rId1"/>
      <headerFooter>
        <oddFooter>&amp;C&amp;A</oddFooter>
      </headerFooter>
    </customSheetView>
  </customSheetViews>
  <mergeCells count="41">
    <mergeCell ref="C2:J2"/>
    <mergeCell ref="B4:J4"/>
    <mergeCell ref="B3:N3"/>
    <mergeCell ref="B5:N5"/>
    <mergeCell ref="B6:J6"/>
    <mergeCell ref="B7:N7"/>
    <mergeCell ref="B19:N19"/>
    <mergeCell ref="F12:J12"/>
    <mergeCell ref="B28:J28"/>
    <mergeCell ref="B16:N16"/>
    <mergeCell ref="F14:J14"/>
    <mergeCell ref="B26:J26"/>
    <mergeCell ref="B25:N25"/>
    <mergeCell ref="B23:J23"/>
    <mergeCell ref="B22:N22"/>
    <mergeCell ref="B17:J17"/>
    <mergeCell ref="B41:C41"/>
    <mergeCell ref="B43:C43"/>
    <mergeCell ref="D41:G41"/>
    <mergeCell ref="B42:C42"/>
    <mergeCell ref="B36:D36"/>
    <mergeCell ref="F37:G37"/>
    <mergeCell ref="D42:G42"/>
    <mergeCell ref="B40:C40"/>
    <mergeCell ref="B39:J39"/>
    <mergeCell ref="H45:J45"/>
    <mergeCell ref="B37:D37"/>
    <mergeCell ref="B29:J29"/>
    <mergeCell ref="B20:J20"/>
    <mergeCell ref="F32:G32"/>
    <mergeCell ref="C35:D35"/>
    <mergeCell ref="B34:D34"/>
    <mergeCell ref="F33:G33"/>
    <mergeCell ref="B32:D32"/>
    <mergeCell ref="B31:J31"/>
    <mergeCell ref="C33:D33"/>
    <mergeCell ref="F34:G34"/>
    <mergeCell ref="F35:G35"/>
    <mergeCell ref="F36:G36"/>
    <mergeCell ref="D43:G43"/>
    <mergeCell ref="D40:G40"/>
  </mergeCells>
  <conditionalFormatting sqref="D8 G8">
    <cfRule type="duplicateValues" dxfId="3" priority="3" stopIfTrue="1"/>
  </conditionalFormatting>
  <conditionalFormatting sqref="D10 G10">
    <cfRule type="duplicateValues" dxfId="2" priority="1" stopIfTrue="1"/>
    <cfRule type="duplicateValues" dxfId="1" priority="2" stopIfTrue="1"/>
  </conditionalFormatting>
  <dataValidations count="2">
    <dataValidation allowBlank="1" showInputMessage="1" prompt="This field is to be used when filing under seal." sqref="K63:L65"/>
    <dataValidation type="list" allowBlank="1" showInputMessage="1" prompt="This field is to be used when filing under seal. " sqref="H45:J45">
      <formula1>$K$63:$K$65</formula1>
    </dataValidation>
  </dataValidations>
  <printOptions horizontalCentered="1"/>
  <pageMargins left="0.4" right="0.4" top="0.5" bottom="0.3" header="0.3" footer="0.3"/>
  <pageSetup scale="86" orientation="portrait" r:id="rId2"/>
  <headerFooter>
    <oddFooter>&amp;C&amp;A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heetViews>
  <sheetFormatPr defaultRowHeight="15"/>
  <cols>
    <col min="1" max="1" width="6.5703125" customWidth="1"/>
    <col min="5" max="5" width="60.7109375" customWidth="1"/>
    <col min="10" max="10" width="28.85546875" customWidth="1"/>
  </cols>
  <sheetData>
    <row r="1" spans="1:13" ht="20.25">
      <c r="A1" s="827"/>
      <c r="B1" s="1560" t="s">
        <v>496</v>
      </c>
      <c r="C1" s="1560"/>
      <c r="D1" s="1560"/>
      <c r="E1" s="1560"/>
      <c r="F1" s="1560"/>
      <c r="G1" s="1560"/>
      <c r="H1" s="1560"/>
      <c r="I1" s="1560"/>
      <c r="J1" s="1560"/>
      <c r="K1" s="1560"/>
      <c r="L1" s="1560"/>
      <c r="M1" s="1560"/>
    </row>
    <row r="2" spans="1:13" ht="21" thickBot="1">
      <c r="A2" s="827"/>
      <c r="B2" s="828"/>
      <c r="C2" s="1561"/>
      <c r="D2" s="1561"/>
      <c r="E2" s="1561"/>
      <c r="F2" s="1561"/>
      <c r="G2" s="1561"/>
      <c r="H2" s="828"/>
      <c r="I2" s="828"/>
      <c r="J2" s="828"/>
      <c r="K2" s="828"/>
      <c r="L2" s="828"/>
      <c r="M2" s="828"/>
    </row>
    <row r="3" spans="1:13" ht="20.25">
      <c r="A3" s="826"/>
      <c r="B3" s="1562"/>
      <c r="C3" s="1563"/>
      <c r="D3" s="1563"/>
      <c r="E3" s="1564"/>
      <c r="F3" s="1565"/>
      <c r="G3" s="1563"/>
      <c r="H3" s="1563"/>
      <c r="I3" s="1563"/>
      <c r="J3" s="1564"/>
      <c r="K3" s="830"/>
      <c r="L3" s="830"/>
      <c r="M3" s="831"/>
    </row>
    <row r="4" spans="1:13" ht="20.25">
      <c r="A4" s="826"/>
      <c r="B4" s="1569" t="s">
        <v>497</v>
      </c>
      <c r="C4" s="1567"/>
      <c r="D4" s="1567"/>
      <c r="E4" s="1568"/>
      <c r="F4" s="1566" t="s">
        <v>905</v>
      </c>
      <c r="G4" s="1567"/>
      <c r="H4" s="1567"/>
      <c r="I4" s="1567"/>
      <c r="J4" s="1568"/>
      <c r="K4" s="829" t="s">
        <v>498</v>
      </c>
      <c r="L4" s="829" t="s">
        <v>499</v>
      </c>
      <c r="M4" s="832" t="s">
        <v>500</v>
      </c>
    </row>
    <row r="5" spans="1:13" ht="21" thickBot="1">
      <c r="A5" s="826"/>
      <c r="B5" s="1569"/>
      <c r="C5" s="1567"/>
      <c r="D5" s="1567"/>
      <c r="E5" s="1568"/>
      <c r="F5" s="1566"/>
      <c r="G5" s="1567"/>
      <c r="H5" s="1567"/>
      <c r="I5" s="1567"/>
      <c r="J5" s="1568"/>
      <c r="K5" s="829"/>
      <c r="L5" s="829"/>
      <c r="M5" s="832"/>
    </row>
    <row r="6" spans="1:13" ht="20.25">
      <c r="A6" s="826"/>
      <c r="B6" s="1570" t="s">
        <v>906</v>
      </c>
      <c r="C6" s="1571"/>
      <c r="D6" s="1571"/>
      <c r="E6" s="1572"/>
      <c r="F6" s="1570" t="s">
        <v>907</v>
      </c>
      <c r="G6" s="1571"/>
      <c r="H6" s="1571"/>
      <c r="I6" s="1571"/>
      <c r="J6" s="1572"/>
      <c r="K6" s="838">
        <v>2</v>
      </c>
      <c r="L6" s="839">
        <v>30</v>
      </c>
      <c r="M6" s="834"/>
    </row>
    <row r="7" spans="1:13" ht="20.25">
      <c r="A7" s="833">
        <v>19</v>
      </c>
      <c r="B7" s="1554" t="s">
        <v>906</v>
      </c>
      <c r="C7" s="1555"/>
      <c r="D7" s="1555"/>
      <c r="E7" s="1556"/>
      <c r="F7" s="1554" t="s">
        <v>908</v>
      </c>
      <c r="G7" s="1555"/>
      <c r="H7" s="1555"/>
      <c r="I7" s="1555"/>
      <c r="J7" s="1556"/>
      <c r="K7" s="840">
        <v>2</v>
      </c>
      <c r="L7" s="841">
        <v>30</v>
      </c>
      <c r="M7" s="836"/>
    </row>
    <row r="8" spans="1:13" ht="20.25">
      <c r="A8" s="826"/>
      <c r="B8" s="1554" t="s">
        <v>909</v>
      </c>
      <c r="C8" s="1555"/>
      <c r="D8" s="1555"/>
      <c r="E8" s="1556"/>
      <c r="F8" s="1554" t="s">
        <v>910</v>
      </c>
      <c r="G8" s="1555"/>
      <c r="H8" s="1555"/>
      <c r="I8" s="1555"/>
      <c r="J8" s="1556"/>
      <c r="K8" s="840">
        <v>5</v>
      </c>
      <c r="L8" s="841">
        <v>400</v>
      </c>
      <c r="M8" s="835"/>
    </row>
    <row r="9" spans="1:13" ht="20.25">
      <c r="A9" s="826"/>
      <c r="B9" s="1554" t="s">
        <v>909</v>
      </c>
      <c r="C9" s="1555"/>
      <c r="D9" s="1555"/>
      <c r="E9" s="1556"/>
      <c r="F9" s="1554" t="s">
        <v>911</v>
      </c>
      <c r="G9" s="1555"/>
      <c r="H9" s="1555"/>
      <c r="I9" s="1555"/>
      <c r="J9" s="1556"/>
      <c r="K9" s="840">
        <v>2</v>
      </c>
      <c r="L9" s="841">
        <v>30</v>
      </c>
      <c r="M9" s="835"/>
    </row>
    <row r="10" spans="1:13" ht="20.25">
      <c r="A10" s="826"/>
      <c r="B10" s="1554" t="s">
        <v>909</v>
      </c>
      <c r="C10" s="1555"/>
      <c r="D10" s="1555"/>
      <c r="E10" s="1556"/>
      <c r="F10" s="1554" t="s">
        <v>912</v>
      </c>
      <c r="G10" s="1555"/>
      <c r="H10" s="1555"/>
      <c r="I10" s="1555"/>
      <c r="J10" s="1556"/>
      <c r="K10" s="840">
        <v>5</v>
      </c>
      <c r="L10" s="841">
        <v>400</v>
      </c>
      <c r="M10" s="836"/>
    </row>
    <row r="11" spans="1:13" ht="20.25">
      <c r="A11" s="833">
        <v>20</v>
      </c>
      <c r="B11" s="1554" t="s">
        <v>913</v>
      </c>
      <c r="C11" s="1555"/>
      <c r="D11" s="1555"/>
      <c r="E11" s="1556"/>
      <c r="F11" s="1554" t="s">
        <v>914</v>
      </c>
      <c r="G11" s="1555"/>
      <c r="H11" s="1555"/>
      <c r="I11" s="1555"/>
      <c r="J11" s="1556"/>
      <c r="K11" s="842">
        <v>5</v>
      </c>
      <c r="L11" s="843">
        <v>140</v>
      </c>
      <c r="M11" s="836"/>
    </row>
    <row r="12" spans="1:13" ht="20.25">
      <c r="A12" s="826"/>
      <c r="B12" s="1554" t="s">
        <v>915</v>
      </c>
      <c r="C12" s="1555"/>
      <c r="D12" s="1555"/>
      <c r="E12" s="1556"/>
      <c r="F12" s="1554"/>
      <c r="G12" s="1555"/>
      <c r="H12" s="1555"/>
      <c r="I12" s="1555"/>
      <c r="J12" s="1556"/>
      <c r="K12" s="842">
        <v>5</v>
      </c>
      <c r="L12" s="843">
        <v>140</v>
      </c>
      <c r="M12" s="835"/>
    </row>
    <row r="13" spans="1:13" ht="20.25">
      <c r="A13" s="826"/>
      <c r="B13" s="1554" t="s">
        <v>916</v>
      </c>
      <c r="C13" s="1555"/>
      <c r="D13" s="1555"/>
      <c r="E13" s="1556"/>
      <c r="F13" s="1554" t="s">
        <v>917</v>
      </c>
      <c r="G13" s="1555"/>
      <c r="H13" s="1555"/>
      <c r="I13" s="1555"/>
      <c r="J13" s="1556"/>
      <c r="K13" s="842">
        <v>4.7</v>
      </c>
      <c r="L13" s="843">
        <v>125</v>
      </c>
      <c r="M13" s="843" t="s">
        <v>918</v>
      </c>
    </row>
    <row r="14" spans="1:13" ht="20.25">
      <c r="A14" s="826"/>
      <c r="B14" s="1554" t="s">
        <v>919</v>
      </c>
      <c r="C14" s="1555"/>
      <c r="D14" s="1555"/>
      <c r="E14" s="1556"/>
      <c r="F14" s="1554"/>
      <c r="G14" s="1555"/>
      <c r="H14" s="1555"/>
      <c r="I14" s="1555"/>
      <c r="J14" s="1556"/>
      <c r="K14" s="842">
        <v>4.7</v>
      </c>
      <c r="L14" s="843">
        <v>125</v>
      </c>
      <c r="M14" s="835"/>
    </row>
    <row r="15" spans="1:13" ht="20.25">
      <c r="A15" s="826"/>
      <c r="B15" s="1554" t="s">
        <v>920</v>
      </c>
      <c r="C15" s="1555"/>
      <c r="D15" s="1555"/>
      <c r="E15" s="1556"/>
      <c r="F15" s="1554" t="s">
        <v>921</v>
      </c>
      <c r="G15" s="1555"/>
      <c r="H15" s="1555"/>
      <c r="I15" s="1555"/>
      <c r="J15" s="1556"/>
      <c r="K15" s="842">
        <v>3</v>
      </c>
      <c r="L15" s="835"/>
      <c r="M15" s="835"/>
    </row>
    <row r="16" spans="1:13" ht="20.25">
      <c r="A16" s="826"/>
      <c r="B16" s="1554" t="s">
        <v>922</v>
      </c>
      <c r="C16" s="1555"/>
      <c r="D16" s="1555"/>
      <c r="E16" s="1556"/>
      <c r="F16" s="1554"/>
      <c r="G16" s="1555"/>
      <c r="H16" s="1555"/>
      <c r="I16" s="1555"/>
      <c r="J16" s="1556"/>
      <c r="K16" s="842">
        <v>3</v>
      </c>
      <c r="L16" s="835"/>
      <c r="M16" s="835"/>
    </row>
    <row r="17" spans="1:13" ht="20.25">
      <c r="A17" s="826"/>
      <c r="B17" s="1554" t="s">
        <v>923</v>
      </c>
      <c r="C17" s="1555"/>
      <c r="D17" s="1555"/>
      <c r="E17" s="1556"/>
      <c r="F17" s="1554" t="s">
        <v>924</v>
      </c>
      <c r="G17" s="1555"/>
      <c r="H17" s="1555"/>
      <c r="I17" s="1555"/>
      <c r="J17" s="1556"/>
      <c r="K17" s="835"/>
      <c r="L17" s="835"/>
      <c r="M17" s="835"/>
    </row>
    <row r="18" spans="1:13" ht="20.25">
      <c r="A18" s="826"/>
      <c r="B18" s="1554" t="s">
        <v>925</v>
      </c>
      <c r="C18" s="1555"/>
      <c r="D18" s="1555"/>
      <c r="E18" s="1556"/>
      <c r="F18" s="1554"/>
      <c r="G18" s="1555"/>
      <c r="H18" s="1555"/>
      <c r="I18" s="1555"/>
      <c r="J18" s="1556"/>
      <c r="K18" s="836"/>
      <c r="L18" s="836"/>
      <c r="M18" s="836"/>
    </row>
    <row r="19" spans="1:13" ht="21" thickBot="1">
      <c r="A19" s="833">
        <v>21</v>
      </c>
      <c r="B19" s="1557"/>
      <c r="C19" s="1558"/>
      <c r="D19" s="1558"/>
      <c r="E19" s="1559"/>
      <c r="F19" s="1557"/>
      <c r="G19" s="1558"/>
      <c r="H19" s="1558"/>
      <c r="I19" s="1558"/>
      <c r="J19" s="1559"/>
      <c r="K19" s="837"/>
      <c r="L19" s="837"/>
      <c r="M19" s="837"/>
    </row>
  </sheetData>
  <mergeCells count="37">
    <mergeCell ref="B17:E17"/>
    <mergeCell ref="F17:J17"/>
    <mergeCell ref="B18:E18"/>
    <mergeCell ref="F18:J18"/>
    <mergeCell ref="F4:J4"/>
    <mergeCell ref="B5:E5"/>
    <mergeCell ref="F5:J5"/>
    <mergeCell ref="B6:E6"/>
    <mergeCell ref="F6:J6"/>
    <mergeCell ref="B7:E7"/>
    <mergeCell ref="B9:E9"/>
    <mergeCell ref="F9:J9"/>
    <mergeCell ref="B10:E10"/>
    <mergeCell ref="F10:J10"/>
    <mergeCell ref="B4:E4"/>
    <mergeCell ref="F13:J13"/>
    <mergeCell ref="B1:M1"/>
    <mergeCell ref="C2:E2"/>
    <mergeCell ref="F2:G2"/>
    <mergeCell ref="B3:E3"/>
    <mergeCell ref="F3:J3"/>
    <mergeCell ref="F7:J7"/>
    <mergeCell ref="B8:E8"/>
    <mergeCell ref="F8:J8"/>
    <mergeCell ref="B19:E19"/>
    <mergeCell ref="F19:J19"/>
    <mergeCell ref="B11:E11"/>
    <mergeCell ref="F11:J11"/>
    <mergeCell ref="B12:E12"/>
    <mergeCell ref="F12:J12"/>
    <mergeCell ref="B13:E13"/>
    <mergeCell ref="B14:E14"/>
    <mergeCell ref="F14:J14"/>
    <mergeCell ref="B15:E15"/>
    <mergeCell ref="F15:J15"/>
    <mergeCell ref="B16:E16"/>
    <mergeCell ref="F16:J16"/>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showGridLines="0" zoomScale="70" zoomScaleNormal="70" zoomScaleSheetLayoutView="100" workbookViewId="0">
      <selection activeCell="E16" sqref="E16:N16"/>
    </sheetView>
  </sheetViews>
  <sheetFormatPr defaultRowHeight="12.75"/>
  <cols>
    <col min="1" max="1" width="2.42578125" style="21" customWidth="1"/>
    <col min="2" max="2" width="3.42578125" style="21" customWidth="1"/>
    <col min="3" max="3" width="3.5703125" style="21" customWidth="1"/>
    <col min="4" max="4" width="9" style="21" customWidth="1"/>
    <col min="5" max="5" width="13" style="21" customWidth="1"/>
    <col min="6" max="6" width="5.5703125" style="21" customWidth="1"/>
    <col min="7" max="7" width="1.85546875" style="21" bestFit="1" customWidth="1"/>
    <col min="8" max="8" width="9.140625" style="21"/>
    <col min="9" max="9" width="15" style="21" customWidth="1"/>
    <col min="10" max="10" width="3" style="21" bestFit="1" customWidth="1"/>
    <col min="11" max="11" width="3.140625" style="21" bestFit="1" customWidth="1"/>
    <col min="12" max="12" width="13" style="21" customWidth="1"/>
    <col min="13" max="13" width="1.85546875" style="21" bestFit="1" customWidth="1"/>
    <col min="14" max="14" width="10.85546875" style="21" customWidth="1"/>
    <col min="15" max="15" width="1.28515625" style="21" customWidth="1"/>
    <col min="16" max="16" width="7.42578125" style="21" customWidth="1"/>
    <col min="17" max="16384" width="9.140625" style="21"/>
  </cols>
  <sheetData>
    <row r="1" spans="1:16" s="68" customFormat="1">
      <c r="A1" s="655"/>
      <c r="B1" s="1589"/>
      <c r="C1" s="1589"/>
      <c r="D1" s="1589"/>
      <c r="E1" s="1589"/>
      <c r="F1" s="1589"/>
      <c r="G1" s="1589"/>
      <c r="H1" s="1589"/>
      <c r="I1" s="1589"/>
      <c r="J1" s="1589"/>
      <c r="K1" s="1589"/>
      <c r="L1" s="1589"/>
      <c r="M1" s="1589"/>
      <c r="N1" s="1589"/>
      <c r="O1" s="656"/>
      <c r="P1" s="655"/>
    </row>
    <row r="2" spans="1:16" s="658" customFormat="1" ht="15">
      <c r="A2" s="657"/>
      <c r="B2" s="657"/>
      <c r="C2" s="1590" t="s">
        <v>501</v>
      </c>
      <c r="D2" s="1590"/>
      <c r="E2" s="1590"/>
      <c r="F2" s="1591" t="str">
        <f>IF(Cover!A1&gt;0, Cover!A1, "")</f>
        <v>Algonquin Water Resources of Missouri, LLC dba Liberty Utilities</v>
      </c>
      <c r="G2" s="1591"/>
      <c r="H2" s="1591"/>
      <c r="I2" s="1591"/>
      <c r="J2" s="1591"/>
      <c r="K2" s="1591"/>
      <c r="L2" s="1591"/>
      <c r="M2" s="1591"/>
      <c r="N2" s="1591"/>
      <c r="O2" s="1591"/>
      <c r="P2" s="1591"/>
    </row>
    <row r="3" spans="1:16" s="658" customFormat="1" ht="15">
      <c r="A3" s="657"/>
      <c r="B3" s="657"/>
      <c r="C3" s="657"/>
      <c r="D3" s="659"/>
      <c r="E3" s="659"/>
      <c r="G3" s="660"/>
      <c r="H3" s="1592" t="s">
        <v>502</v>
      </c>
      <c r="I3" s="1592"/>
      <c r="J3" s="1592"/>
      <c r="K3" s="1592"/>
      <c r="L3" s="1592"/>
      <c r="M3" s="1592"/>
      <c r="N3" s="1592"/>
      <c r="O3" s="1592"/>
      <c r="P3" s="661">
        <f>IF(Cover!D13&gt;0, Cover!D13, "")</f>
        <v>2011</v>
      </c>
    </row>
    <row r="4" spans="1:16" ht="13.5" thickBot="1">
      <c r="A4" s="134"/>
      <c r="B4" s="662"/>
      <c r="C4" s="662"/>
      <c r="D4" s="663"/>
      <c r="E4" s="663"/>
      <c r="F4" s="664"/>
      <c r="G4" s="664"/>
      <c r="H4" s="664"/>
      <c r="I4" s="664"/>
      <c r="J4" s="664"/>
      <c r="K4" s="664"/>
      <c r="L4" s="664"/>
      <c r="M4" s="664"/>
      <c r="N4" s="665"/>
      <c r="O4" s="665"/>
      <c r="P4" s="662"/>
    </row>
    <row r="5" spans="1:16">
      <c r="A5" s="134"/>
      <c r="B5" s="666"/>
      <c r="C5" s="134"/>
      <c r="D5" s="134"/>
      <c r="E5" s="134"/>
      <c r="F5" s="134"/>
      <c r="G5" s="134"/>
      <c r="H5" s="134"/>
      <c r="I5" s="134"/>
      <c r="J5" s="134"/>
      <c r="K5" s="134"/>
      <c r="L5" s="134"/>
      <c r="M5" s="134"/>
      <c r="N5" s="134"/>
      <c r="O5" s="134"/>
      <c r="P5" s="130"/>
    </row>
    <row r="6" spans="1:16" ht="15.75">
      <c r="A6" s="134"/>
      <c r="B6" s="666"/>
      <c r="C6" s="134"/>
      <c r="D6" s="1593" t="s">
        <v>503</v>
      </c>
      <c r="E6" s="1593"/>
      <c r="F6" s="1593"/>
      <c r="G6" s="1593"/>
      <c r="H6" s="1593"/>
      <c r="I6" s="1593"/>
      <c r="J6" s="1593"/>
      <c r="K6" s="1593"/>
      <c r="L6" s="1593"/>
      <c r="M6" s="1593"/>
      <c r="N6" s="1593"/>
      <c r="O6" s="667"/>
      <c r="P6" s="130"/>
    </row>
    <row r="7" spans="1:16" ht="7.5" customHeight="1">
      <c r="A7" s="134"/>
      <c r="B7" s="666"/>
      <c r="C7" s="134"/>
      <c r="D7" s="134"/>
      <c r="E7" s="134"/>
      <c r="F7" s="134"/>
      <c r="G7" s="134"/>
      <c r="H7" s="134"/>
      <c r="I7" s="134"/>
      <c r="J7" s="134"/>
      <c r="K7" s="134"/>
      <c r="L7" s="134"/>
      <c r="M7" s="134"/>
      <c r="N7" s="134"/>
      <c r="O7" s="134"/>
      <c r="P7" s="130"/>
    </row>
    <row r="8" spans="1:16" s="547" customFormat="1" ht="46.5" customHeight="1">
      <c r="A8" s="668"/>
      <c r="B8" s="669"/>
      <c r="C8" s="1585" t="s">
        <v>504</v>
      </c>
      <c r="D8" s="1585"/>
      <c r="E8" s="1585"/>
      <c r="F8" s="1585"/>
      <c r="G8" s="1585"/>
      <c r="H8" s="1585"/>
      <c r="I8" s="1585"/>
      <c r="J8" s="1585"/>
      <c r="K8" s="1585"/>
      <c r="L8" s="1585"/>
      <c r="M8" s="1585"/>
      <c r="N8" s="1585"/>
      <c r="O8" s="1585"/>
      <c r="P8" s="670"/>
    </row>
    <row r="9" spans="1:16" ht="19.5" customHeight="1">
      <c r="A9" s="134"/>
      <c r="B9" s="666"/>
      <c r="C9" s="134"/>
      <c r="D9" s="1586" t="s">
        <v>505</v>
      </c>
      <c r="E9" s="1586"/>
      <c r="F9" s="1586"/>
      <c r="G9" s="1586"/>
      <c r="H9" s="1586"/>
      <c r="I9" s="1586"/>
      <c r="J9" s="1586"/>
      <c r="K9" s="1586"/>
      <c r="L9" s="1586"/>
      <c r="M9" s="1586"/>
      <c r="N9" s="1586"/>
      <c r="O9" s="667"/>
      <c r="P9" s="130"/>
    </row>
    <row r="10" spans="1:16">
      <c r="A10" s="134"/>
      <c r="B10" s="666"/>
      <c r="C10" s="134"/>
      <c r="D10" s="134"/>
      <c r="E10" s="134"/>
      <c r="F10" s="134"/>
      <c r="G10" s="134"/>
      <c r="H10" s="134"/>
      <c r="I10" s="134"/>
      <c r="J10" s="134"/>
      <c r="K10" s="134"/>
      <c r="L10" s="134"/>
      <c r="M10" s="134"/>
      <c r="N10" s="134"/>
      <c r="O10" s="134"/>
      <c r="P10" s="130"/>
    </row>
    <row r="11" spans="1:16" ht="23.25">
      <c r="A11" s="671"/>
      <c r="B11" s="672"/>
      <c r="C11" s="671" t="s">
        <v>506</v>
      </c>
      <c r="D11" s="134"/>
      <c r="E11" s="1587" t="s">
        <v>1231</v>
      </c>
      <c r="F11" s="1587"/>
      <c r="G11" s="1587"/>
      <c r="H11" s="1587"/>
      <c r="I11" s="1587"/>
      <c r="J11" s="673" t="s">
        <v>507</v>
      </c>
      <c r="K11" s="134"/>
      <c r="L11" s="134"/>
      <c r="M11" s="134"/>
      <c r="N11" s="134"/>
      <c r="O11" s="134"/>
      <c r="P11" s="130"/>
    </row>
    <row r="12" spans="1:16" ht="23.25">
      <c r="A12" s="134"/>
      <c r="B12" s="666"/>
      <c r="C12" s="671"/>
      <c r="D12" s="134"/>
      <c r="E12" s="671"/>
      <c r="F12" s="674"/>
      <c r="G12" s="674"/>
      <c r="H12" s="674"/>
      <c r="I12" s="675"/>
      <c r="J12" s="673" t="s">
        <v>507</v>
      </c>
      <c r="K12" s="134" t="s">
        <v>508</v>
      </c>
      <c r="L12" s="134"/>
      <c r="M12" s="134"/>
      <c r="N12" s="134"/>
      <c r="O12" s="134"/>
      <c r="P12" s="130"/>
    </row>
    <row r="13" spans="1:16" ht="23.25">
      <c r="A13" s="671"/>
      <c r="B13" s="672"/>
      <c r="C13" s="1588" t="s">
        <v>509</v>
      </c>
      <c r="D13" s="1588"/>
      <c r="E13" s="1587" t="s">
        <v>1232</v>
      </c>
      <c r="F13" s="1587"/>
      <c r="G13" s="1587"/>
      <c r="H13" s="1587"/>
      <c r="I13" s="1587"/>
      <c r="J13" s="673" t="s">
        <v>507</v>
      </c>
      <c r="K13" s="134"/>
      <c r="L13" s="134"/>
      <c r="M13" s="134"/>
      <c r="N13" s="134"/>
      <c r="O13" s="134"/>
      <c r="P13" s="130"/>
    </row>
    <row r="14" spans="1:16" ht="35.1" customHeight="1">
      <c r="A14" s="134"/>
      <c r="B14" s="666"/>
      <c r="C14" s="134"/>
      <c r="D14" s="136"/>
      <c r="E14" s="1576" t="s">
        <v>843</v>
      </c>
      <c r="F14" s="1576"/>
      <c r="G14" s="1576"/>
      <c r="H14" s="1576"/>
      <c r="I14" s="1576"/>
      <c r="J14" s="1576"/>
      <c r="K14" s="134"/>
      <c r="L14" s="1577" t="s">
        <v>510</v>
      </c>
      <c r="M14" s="1577"/>
      <c r="N14" s="1577"/>
      <c r="O14" s="132"/>
      <c r="P14" s="130"/>
    </row>
    <row r="15" spans="1:16">
      <c r="A15" s="134"/>
      <c r="B15" s="666"/>
      <c r="C15" s="134"/>
      <c r="D15" s="134"/>
      <c r="E15" s="1575" t="s">
        <v>511</v>
      </c>
      <c r="F15" s="1575"/>
      <c r="G15" s="1575"/>
      <c r="H15" s="1575"/>
      <c r="I15" s="1575"/>
      <c r="J15" s="1575"/>
      <c r="K15" s="131"/>
      <c r="L15" s="131"/>
      <c r="M15" s="131"/>
      <c r="N15" s="131"/>
      <c r="O15" s="131"/>
      <c r="P15" s="130"/>
    </row>
    <row r="16" spans="1:16" ht="30" customHeight="1">
      <c r="A16" s="132"/>
      <c r="B16" s="676"/>
      <c r="C16" s="132" t="s">
        <v>512</v>
      </c>
      <c r="D16" s="134"/>
      <c r="E16" s="1574" t="s">
        <v>1233</v>
      </c>
      <c r="F16" s="1574"/>
      <c r="G16" s="1574"/>
      <c r="H16" s="1574"/>
      <c r="I16" s="1574"/>
      <c r="J16" s="1574"/>
      <c r="K16" s="1574"/>
      <c r="L16" s="1574"/>
      <c r="M16" s="1574"/>
      <c r="N16" s="1574"/>
      <c r="O16" s="129"/>
      <c r="P16" s="130"/>
    </row>
    <row r="17" spans="1:16">
      <c r="A17" s="134"/>
      <c r="B17" s="666"/>
      <c r="C17" s="134"/>
      <c r="E17" s="1575" t="s">
        <v>513</v>
      </c>
      <c r="F17" s="1575"/>
      <c r="G17" s="1575"/>
      <c r="H17" s="1575"/>
      <c r="I17" s="1575"/>
      <c r="J17" s="1575"/>
      <c r="K17" s="1575"/>
      <c r="L17" s="1575"/>
      <c r="M17" s="1575"/>
      <c r="N17" s="1575"/>
      <c r="O17" s="131"/>
      <c r="P17" s="130"/>
    </row>
    <row r="18" spans="1:16" ht="30" customHeight="1">
      <c r="A18" s="134"/>
      <c r="B18" s="666"/>
      <c r="C18" s="655" t="s">
        <v>514</v>
      </c>
      <c r="D18" s="134"/>
      <c r="E18" s="1574" t="str">
        <f>+F2</f>
        <v>Algonquin Water Resources of Missouri, LLC dba Liberty Utilities</v>
      </c>
      <c r="F18" s="1574"/>
      <c r="G18" s="1574"/>
      <c r="H18" s="1574"/>
      <c r="I18" s="1574"/>
      <c r="J18" s="1574"/>
      <c r="K18" s="1574"/>
      <c r="L18" s="1574"/>
      <c r="M18" s="1574"/>
      <c r="N18" s="1574"/>
      <c r="O18" s="129"/>
      <c r="P18" s="130"/>
    </row>
    <row r="19" spans="1:16">
      <c r="A19" s="134"/>
      <c r="B19" s="666"/>
      <c r="C19" s="134"/>
      <c r="E19" s="1575" t="s">
        <v>515</v>
      </c>
      <c r="F19" s="1575"/>
      <c r="G19" s="1575"/>
      <c r="H19" s="1575"/>
      <c r="I19" s="1575"/>
      <c r="J19" s="1575"/>
      <c r="K19" s="1575"/>
      <c r="L19" s="1575"/>
      <c r="M19" s="1575"/>
      <c r="N19" s="1575"/>
      <c r="O19" s="131"/>
      <c r="P19" s="130"/>
    </row>
    <row r="20" spans="1:16" ht="27" customHeight="1">
      <c r="A20" s="134"/>
      <c r="B20" s="666"/>
      <c r="C20" s="134" t="s">
        <v>516</v>
      </c>
      <c r="E20" s="1574" t="s">
        <v>1234</v>
      </c>
      <c r="F20" s="1574"/>
      <c r="G20" s="1574"/>
      <c r="H20" s="1574"/>
      <c r="I20" s="1574"/>
      <c r="J20" s="1574"/>
      <c r="K20" s="1574"/>
      <c r="L20" s="1574"/>
      <c r="M20" s="1574"/>
      <c r="N20" s="1574"/>
      <c r="O20" s="129" t="s">
        <v>517</v>
      </c>
      <c r="P20" s="130"/>
    </row>
    <row r="21" spans="1:16">
      <c r="A21" s="134"/>
      <c r="B21" s="666"/>
      <c r="C21" s="134"/>
      <c r="E21" s="1575" t="s">
        <v>518</v>
      </c>
      <c r="F21" s="1575"/>
      <c r="G21" s="1575"/>
      <c r="H21" s="1575"/>
      <c r="I21" s="1575"/>
      <c r="J21" s="1575"/>
      <c r="K21" s="1575"/>
      <c r="L21" s="1575"/>
      <c r="M21" s="1575"/>
      <c r="N21" s="1575"/>
      <c r="O21" s="131"/>
      <c r="P21" s="130"/>
    </row>
    <row r="22" spans="1:16">
      <c r="A22" s="134"/>
      <c r="B22" s="666"/>
      <c r="C22" s="134"/>
      <c r="E22" s="131"/>
      <c r="F22" s="131"/>
      <c r="G22" s="131"/>
      <c r="H22" s="131"/>
      <c r="I22" s="131"/>
      <c r="J22" s="131"/>
      <c r="K22" s="131"/>
      <c r="L22" s="131"/>
      <c r="M22" s="131"/>
      <c r="N22" s="131"/>
      <c r="O22" s="131"/>
      <c r="P22" s="130"/>
    </row>
    <row r="23" spans="1:16" ht="54.75" customHeight="1">
      <c r="A23" s="134"/>
      <c r="B23" s="677"/>
      <c r="C23" s="1584" t="s">
        <v>519</v>
      </c>
      <c r="D23" s="1584"/>
      <c r="E23" s="1584"/>
      <c r="F23" s="1584"/>
      <c r="G23" s="1584"/>
      <c r="H23" s="1584"/>
      <c r="I23" s="1584"/>
      <c r="J23" s="1584"/>
      <c r="K23" s="1584"/>
      <c r="L23" s="1584"/>
      <c r="M23" s="1584"/>
      <c r="N23" s="1584"/>
      <c r="O23" s="678"/>
      <c r="P23" s="679"/>
    </row>
    <row r="24" spans="1:16" ht="18.75" customHeight="1">
      <c r="A24" s="134"/>
      <c r="B24" s="666"/>
      <c r="C24" s="134"/>
      <c r="D24" s="132" t="s">
        <v>520</v>
      </c>
      <c r="E24" s="1578" t="s">
        <v>521</v>
      </c>
      <c r="F24" s="1579"/>
      <c r="G24" s="134" t="s">
        <v>517</v>
      </c>
      <c r="H24" s="661">
        <f>IF(Cover!D13&gt;0, Cover!D13, "")</f>
        <v>2011</v>
      </c>
      <c r="I24" s="129" t="s">
        <v>522</v>
      </c>
      <c r="J24" s="1580" t="s">
        <v>523</v>
      </c>
      <c r="K24" s="1581"/>
      <c r="L24" s="1581"/>
      <c r="M24" s="134" t="s">
        <v>517</v>
      </c>
      <c r="N24" s="661">
        <f>IF(Cover!D13&gt;0, Cover!D13, "")</f>
        <v>2011</v>
      </c>
      <c r="O24" s="680"/>
      <c r="P24" s="130"/>
    </row>
    <row r="25" spans="1:16">
      <c r="A25" s="134"/>
      <c r="B25" s="666"/>
      <c r="C25" s="134"/>
      <c r="D25" s="134"/>
      <c r="E25" s="1575" t="s">
        <v>524</v>
      </c>
      <c r="F25" s="1575"/>
      <c r="G25" s="681"/>
      <c r="H25" s="682" t="s">
        <v>525</v>
      </c>
      <c r="I25" s="681"/>
      <c r="J25" s="1575" t="s">
        <v>524</v>
      </c>
      <c r="K25" s="1575"/>
      <c r="L25" s="1575"/>
      <c r="M25" s="131"/>
      <c r="N25" s="131" t="s">
        <v>525</v>
      </c>
      <c r="O25" s="131"/>
      <c r="P25" s="130"/>
    </row>
    <row r="26" spans="1:16" ht="55.5" customHeight="1">
      <c r="A26" s="134"/>
      <c r="B26" s="666"/>
      <c r="C26" s="134"/>
      <c r="D26" s="134"/>
      <c r="E26" s="134"/>
      <c r="F26" s="134"/>
      <c r="G26" s="134"/>
      <c r="H26" s="1574"/>
      <c r="I26" s="1574"/>
      <c r="J26" s="1574"/>
      <c r="K26" s="1574"/>
      <c r="L26" s="1574"/>
      <c r="M26" s="1574"/>
      <c r="N26" s="1574"/>
      <c r="O26" s="129"/>
      <c r="P26" s="130"/>
    </row>
    <row r="27" spans="1:16">
      <c r="A27" s="134"/>
      <c r="B27" s="666"/>
      <c r="C27" s="134"/>
      <c r="D27" s="134"/>
      <c r="E27" s="134"/>
      <c r="F27" s="134"/>
      <c r="G27" s="134"/>
      <c r="H27" s="1575" t="s">
        <v>526</v>
      </c>
      <c r="I27" s="1575"/>
      <c r="J27" s="1575"/>
      <c r="K27" s="1575"/>
      <c r="L27" s="1575"/>
      <c r="M27" s="1575"/>
      <c r="N27" s="1575"/>
      <c r="O27" s="131"/>
      <c r="P27" s="130"/>
    </row>
    <row r="28" spans="1:16">
      <c r="A28" s="134"/>
      <c r="B28" s="666"/>
      <c r="C28" s="134"/>
      <c r="D28" s="134"/>
      <c r="E28" s="134"/>
      <c r="F28" s="134"/>
      <c r="G28" s="134"/>
      <c r="H28" s="131"/>
      <c r="I28" s="131"/>
      <c r="J28" s="131"/>
      <c r="K28" s="131"/>
      <c r="L28" s="131"/>
      <c r="M28" s="131"/>
      <c r="N28" s="131"/>
      <c r="O28" s="131"/>
      <c r="P28" s="130"/>
    </row>
    <row r="29" spans="1:16" ht="25.5" customHeight="1">
      <c r="A29" s="134"/>
      <c r="B29" s="666"/>
      <c r="C29" s="134"/>
      <c r="D29" s="132" t="s">
        <v>527</v>
      </c>
      <c r="E29" s="132"/>
      <c r="F29" s="132"/>
      <c r="G29" s="133"/>
      <c r="H29" s="133"/>
      <c r="I29" s="133"/>
      <c r="J29" s="133"/>
      <c r="K29" s="133"/>
      <c r="L29" s="133"/>
      <c r="M29" s="134"/>
      <c r="N29" s="135"/>
      <c r="O29" s="135"/>
      <c r="P29" s="130"/>
    </row>
    <row r="30" spans="1:16" ht="25.5" customHeight="1">
      <c r="A30" s="134"/>
      <c r="B30" s="666"/>
      <c r="C30" s="134"/>
      <c r="D30" s="135" t="s">
        <v>528</v>
      </c>
      <c r="E30" s="1576"/>
      <c r="F30" s="1576"/>
      <c r="H30" s="129" t="s">
        <v>529</v>
      </c>
      <c r="I30" s="1576"/>
      <c r="J30" s="1576"/>
      <c r="K30" s="136" t="s">
        <v>517</v>
      </c>
      <c r="L30" s="137"/>
      <c r="M30" s="129" t="s">
        <v>530</v>
      </c>
      <c r="P30" s="130"/>
    </row>
    <row r="31" spans="1:16" ht="33" customHeight="1">
      <c r="A31" s="134"/>
      <c r="B31" s="666"/>
      <c r="C31" s="134"/>
      <c r="D31" s="1577" t="s">
        <v>531</v>
      </c>
      <c r="E31" s="1577"/>
      <c r="F31" s="1577"/>
      <c r="G31" s="1576"/>
      <c r="H31" s="1576"/>
      <c r="I31" s="1576"/>
      <c r="J31" s="1576"/>
      <c r="K31" s="1576"/>
      <c r="L31" s="1576"/>
      <c r="M31" s="134" t="s">
        <v>532</v>
      </c>
      <c r="N31" s="240"/>
      <c r="O31" s="129"/>
      <c r="P31" s="130"/>
    </row>
    <row r="32" spans="1:16" ht="55.5" customHeight="1">
      <c r="A32" s="134"/>
      <c r="B32" s="666"/>
      <c r="C32" s="134"/>
      <c r="D32" s="134"/>
      <c r="E32" s="134"/>
      <c r="F32" s="134"/>
      <c r="G32" s="134"/>
      <c r="H32" s="1574"/>
      <c r="I32" s="1574"/>
      <c r="J32" s="1574"/>
      <c r="K32" s="1574"/>
      <c r="L32" s="1574"/>
      <c r="M32" s="1574"/>
      <c r="N32" s="1574"/>
      <c r="O32" s="129"/>
      <c r="P32" s="130"/>
    </row>
    <row r="33" spans="1:16">
      <c r="A33" s="134"/>
      <c r="B33" s="666"/>
      <c r="C33" s="134"/>
      <c r="D33" s="134"/>
      <c r="E33" s="134"/>
      <c r="F33" s="134"/>
      <c r="G33" s="134"/>
      <c r="H33" s="134"/>
      <c r="I33" s="1575" t="s">
        <v>533</v>
      </c>
      <c r="J33" s="1575"/>
      <c r="K33" s="1575"/>
      <c r="L33" s="1575"/>
      <c r="M33" s="1583"/>
      <c r="N33" s="134"/>
      <c r="O33" s="134"/>
      <c r="P33" s="130"/>
    </row>
    <row r="34" spans="1:16" ht="15.75" customHeight="1" thickBot="1">
      <c r="A34" s="134"/>
      <c r="B34" s="683"/>
      <c r="C34" s="1582" t="s">
        <v>534</v>
      </c>
      <c r="D34" s="1582"/>
      <c r="E34" s="1582"/>
      <c r="F34" s="1582"/>
      <c r="G34" s="1582"/>
      <c r="H34" s="1582"/>
      <c r="I34" s="662"/>
      <c r="J34" s="662"/>
      <c r="K34" s="662"/>
      <c r="L34" s="662"/>
      <c r="M34" s="662"/>
      <c r="N34" s="662"/>
      <c r="O34" s="662"/>
      <c r="P34" s="684"/>
    </row>
    <row r="35" spans="1:16" ht="15.75" customHeight="1">
      <c r="A35" s="1573" t="s">
        <v>819</v>
      </c>
      <c r="B35" s="1573"/>
      <c r="C35" s="1573"/>
      <c r="D35" s="1573"/>
      <c r="E35" s="1573"/>
      <c r="F35" s="1573"/>
      <c r="G35" s="1573"/>
      <c r="H35" s="1573"/>
      <c r="I35" s="1573"/>
      <c r="J35" s="1573"/>
      <c r="K35" s="1573"/>
      <c r="L35" s="1573"/>
      <c r="M35" s="1573"/>
      <c r="N35" s="1573"/>
      <c r="O35" s="1573"/>
      <c r="P35" s="1573"/>
    </row>
    <row r="36" spans="1:16">
      <c r="A36" s="134"/>
      <c r="B36" s="685"/>
      <c r="C36" s="134"/>
      <c r="D36" s="134"/>
      <c r="E36" s="685"/>
      <c r="F36" s="134"/>
      <c r="G36" s="134"/>
      <c r="H36" s="134"/>
      <c r="I36" s="134"/>
      <c r="J36" s="134"/>
      <c r="K36" s="134"/>
      <c r="L36" s="134"/>
      <c r="M36" s="134"/>
      <c r="N36" s="134"/>
      <c r="O36" s="134"/>
      <c r="P36" s="134"/>
    </row>
  </sheetData>
  <sheetProtection password="C0F1" sheet="1" formatCells="0" formatColumns="0" formatRows="0" insertColumns="0" insertRows="0"/>
  <customSheetViews>
    <customSheetView guid="{1F4AFEE5-5BDD-4100-B0E9-57B262CA123C}" scale="145" showPageBreaks="1" showGridLines="0" fitToPage="1" view="pageBreakPreview">
      <pageMargins left="0.5" right="0.5" top="0.75" bottom="0.5" header="0.3" footer="0.3"/>
      <printOptions horizontalCentered="1"/>
      <pageSetup scale="92" orientation="portrait" r:id="rId1"/>
    </customSheetView>
  </customSheetViews>
  <mergeCells count="34">
    <mergeCell ref="B1:N1"/>
    <mergeCell ref="C2:E2"/>
    <mergeCell ref="F2:P2"/>
    <mergeCell ref="H3:O3"/>
    <mergeCell ref="D6:N6"/>
    <mergeCell ref="C8:O8"/>
    <mergeCell ref="D9:N9"/>
    <mergeCell ref="E11:I11"/>
    <mergeCell ref="C13:D13"/>
    <mergeCell ref="E13:I13"/>
    <mergeCell ref="E14:J14"/>
    <mergeCell ref="L14:N14"/>
    <mergeCell ref="E15:J15"/>
    <mergeCell ref="E16:N16"/>
    <mergeCell ref="E17:N17"/>
    <mergeCell ref="E18:N18"/>
    <mergeCell ref="E19:N19"/>
    <mergeCell ref="E20:N20"/>
    <mergeCell ref="E21:N21"/>
    <mergeCell ref="C23:N23"/>
    <mergeCell ref="E24:F24"/>
    <mergeCell ref="J24:L24"/>
    <mergeCell ref="E25:F25"/>
    <mergeCell ref="J25:L25"/>
    <mergeCell ref="C34:H34"/>
    <mergeCell ref="H32:N32"/>
    <mergeCell ref="I33:M33"/>
    <mergeCell ref="A35:P35"/>
    <mergeCell ref="H26:N26"/>
    <mergeCell ref="H27:N27"/>
    <mergeCell ref="E30:F30"/>
    <mergeCell ref="I30:J30"/>
    <mergeCell ref="D31:F31"/>
    <mergeCell ref="G31:L31"/>
  </mergeCells>
  <conditionalFormatting sqref="P3 N24 H24">
    <cfRule type="cellIs" dxfId="0" priority="1" stopIfTrue="1" operator="equal">
      <formula>0</formula>
    </cfRule>
  </conditionalFormatting>
  <printOptions horizontalCentered="1"/>
  <pageMargins left="0.5" right="0.5" top="0.75" bottom="0.5" header="0.3" footer="0.3"/>
  <pageSetup scale="91"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70"/>
  <sheetViews>
    <sheetView zoomScale="55" zoomScaleNormal="55" workbookViewId="0">
      <selection activeCell="A2" sqref="A2:F3"/>
    </sheetView>
  </sheetViews>
  <sheetFormatPr defaultRowHeight="15"/>
  <cols>
    <col min="1" max="1" width="150.85546875" bestFit="1" customWidth="1"/>
    <col min="2" max="2" width="51.85546875" bestFit="1" customWidth="1"/>
    <col min="3" max="3" width="22.7109375" bestFit="1" customWidth="1"/>
    <col min="4" max="4" width="30.28515625" bestFit="1" customWidth="1"/>
    <col min="5" max="5" width="17.28515625" bestFit="1" customWidth="1"/>
    <col min="6" max="6" width="25.85546875" bestFit="1" customWidth="1"/>
    <col min="7" max="7" width="36.5703125" bestFit="1" customWidth="1"/>
    <col min="8" max="8" width="25.5703125" bestFit="1" customWidth="1"/>
    <col min="9" max="9" width="19.42578125" bestFit="1" customWidth="1"/>
    <col min="10" max="10" width="13.7109375" bestFit="1" customWidth="1"/>
  </cols>
  <sheetData>
    <row r="5" spans="1:10">
      <c r="A5" s="1139" t="s">
        <v>1080</v>
      </c>
      <c r="B5" s="1139"/>
      <c r="C5" s="1139"/>
      <c r="D5" s="1139"/>
      <c r="E5" s="1139"/>
      <c r="F5" s="1139"/>
      <c r="G5" s="1140"/>
      <c r="H5" s="1140"/>
      <c r="I5" s="908"/>
      <c r="J5" s="908"/>
    </row>
    <row r="7" spans="1:10">
      <c r="A7" s="910"/>
      <c r="B7" s="910"/>
      <c r="C7" s="913" t="s">
        <v>1064</v>
      </c>
      <c r="D7" s="913" t="s">
        <v>1081</v>
      </c>
      <c r="E7" s="918" t="s">
        <v>1082</v>
      </c>
      <c r="F7" s="910" t="s">
        <v>1083</v>
      </c>
      <c r="G7" s="910" t="s">
        <v>1084</v>
      </c>
      <c r="H7" s="910" t="s">
        <v>1085</v>
      </c>
      <c r="I7" s="910" t="s">
        <v>1066</v>
      </c>
      <c r="J7" s="910" t="s">
        <v>1067</v>
      </c>
    </row>
    <row r="8" spans="1:10" ht="17.25">
      <c r="A8" s="910" t="s">
        <v>1068</v>
      </c>
      <c r="B8" s="910" t="s">
        <v>1069</v>
      </c>
      <c r="C8" s="916" t="s">
        <v>1086</v>
      </c>
      <c r="D8" s="916" t="s">
        <v>1086</v>
      </c>
      <c r="E8" s="918" t="s">
        <v>1087</v>
      </c>
      <c r="F8" s="910" t="s">
        <v>1071</v>
      </c>
      <c r="G8" s="910" t="s">
        <v>1088</v>
      </c>
      <c r="H8" s="910" t="s">
        <v>1072</v>
      </c>
      <c r="I8" s="925">
        <v>2011</v>
      </c>
      <c r="J8" s="908"/>
    </row>
    <row r="9" spans="1:10">
      <c r="A9" s="909"/>
      <c r="B9" s="923" t="s">
        <v>347</v>
      </c>
      <c r="C9" s="914"/>
      <c r="D9" s="908"/>
      <c r="E9" s="908"/>
      <c r="F9" s="908"/>
      <c r="G9" s="908"/>
      <c r="H9" s="912"/>
      <c r="I9" s="908"/>
      <c r="J9" s="908"/>
    </row>
    <row r="10" spans="1:10">
      <c r="A10" s="909">
        <v>301</v>
      </c>
      <c r="B10" s="908" t="s">
        <v>349</v>
      </c>
      <c r="C10" s="914">
        <v>35409</v>
      </c>
      <c r="D10" s="914">
        <v>35515</v>
      </c>
      <c r="E10" s="919">
        <v>0</v>
      </c>
      <c r="F10" s="914">
        <v>0</v>
      </c>
      <c r="G10" s="908"/>
      <c r="H10" s="920">
        <v>35515</v>
      </c>
      <c r="I10" s="924">
        <v>35515</v>
      </c>
      <c r="J10" s="924">
        <v>0</v>
      </c>
    </row>
    <row r="11" spans="1:10">
      <c r="A11" s="909">
        <v>302</v>
      </c>
      <c r="B11" s="908" t="s">
        <v>350</v>
      </c>
      <c r="C11" s="914">
        <v>4109</v>
      </c>
      <c r="D11" s="914">
        <v>4109</v>
      </c>
      <c r="E11" s="919">
        <v>0</v>
      </c>
      <c r="F11" s="914">
        <v>0</v>
      </c>
      <c r="G11" s="908"/>
      <c r="H11" s="920">
        <v>4109</v>
      </c>
      <c r="I11" s="924">
        <v>4109</v>
      </c>
      <c r="J11" s="924">
        <v>0</v>
      </c>
    </row>
    <row r="12" spans="1:10">
      <c r="A12" s="909">
        <v>303</v>
      </c>
      <c r="B12" s="908" t="s">
        <v>351</v>
      </c>
      <c r="C12" s="914">
        <v>11160</v>
      </c>
      <c r="D12" s="914">
        <v>11160</v>
      </c>
      <c r="E12" s="919">
        <v>0</v>
      </c>
      <c r="F12" s="914">
        <v>0</v>
      </c>
      <c r="G12" s="908"/>
      <c r="H12" s="920">
        <v>11160</v>
      </c>
      <c r="I12" s="924">
        <v>11160</v>
      </c>
      <c r="J12" s="924">
        <v>0</v>
      </c>
    </row>
    <row r="13" spans="1:10">
      <c r="A13" s="909"/>
      <c r="B13" s="923" t="s">
        <v>352</v>
      </c>
      <c r="C13" s="914"/>
      <c r="D13" s="908"/>
      <c r="E13" s="908"/>
      <c r="F13" s="914">
        <v>0</v>
      </c>
      <c r="G13" s="908"/>
      <c r="H13" s="920">
        <v>0</v>
      </c>
      <c r="I13" s="924"/>
      <c r="J13" s="924">
        <v>0</v>
      </c>
    </row>
    <row r="14" spans="1:10">
      <c r="A14" s="909">
        <v>310</v>
      </c>
      <c r="B14" s="908" t="s">
        <v>353</v>
      </c>
      <c r="C14" s="914">
        <v>2025</v>
      </c>
      <c r="D14" s="914">
        <v>0</v>
      </c>
      <c r="E14" s="919">
        <v>0</v>
      </c>
      <c r="F14" s="914">
        <v>0</v>
      </c>
      <c r="G14" s="908"/>
      <c r="H14" s="920">
        <v>0</v>
      </c>
      <c r="I14" s="924"/>
      <c r="J14" s="924">
        <v>0</v>
      </c>
    </row>
    <row r="15" spans="1:10">
      <c r="A15" s="909">
        <v>311</v>
      </c>
      <c r="B15" s="908" t="s">
        <v>354</v>
      </c>
      <c r="C15" s="914">
        <v>0</v>
      </c>
      <c r="D15" s="914">
        <v>0</v>
      </c>
      <c r="E15" s="919">
        <v>0</v>
      </c>
      <c r="F15" s="914">
        <v>0</v>
      </c>
      <c r="G15" s="908"/>
      <c r="H15" s="920">
        <v>0</v>
      </c>
      <c r="I15" s="924"/>
      <c r="J15" s="924">
        <v>0</v>
      </c>
    </row>
    <row r="16" spans="1:10">
      <c r="A16" s="909">
        <v>312</v>
      </c>
      <c r="B16" s="908" t="s">
        <v>355</v>
      </c>
      <c r="C16" s="914">
        <v>0</v>
      </c>
      <c r="D16" s="914">
        <v>0</v>
      </c>
      <c r="E16" s="919">
        <v>0</v>
      </c>
      <c r="F16" s="914">
        <v>0</v>
      </c>
      <c r="G16" s="908"/>
      <c r="H16" s="920">
        <v>0</v>
      </c>
      <c r="I16" s="924"/>
      <c r="J16" s="924">
        <v>0</v>
      </c>
    </row>
    <row r="17" spans="1:10">
      <c r="A17" s="909">
        <v>313</v>
      </c>
      <c r="B17" s="908" t="s">
        <v>356</v>
      </c>
      <c r="C17" s="914">
        <v>0</v>
      </c>
      <c r="D17" s="914">
        <v>0</v>
      </c>
      <c r="E17" s="919">
        <v>0</v>
      </c>
      <c r="F17" s="914">
        <v>0</v>
      </c>
      <c r="G17" s="908"/>
      <c r="H17" s="920">
        <v>0</v>
      </c>
      <c r="I17" s="924"/>
      <c r="J17" s="924">
        <v>0</v>
      </c>
    </row>
    <row r="18" spans="1:10">
      <c r="A18" s="909">
        <v>314</v>
      </c>
      <c r="B18" s="908" t="s">
        <v>357</v>
      </c>
      <c r="C18" s="914">
        <v>12979</v>
      </c>
      <c r="D18" s="914">
        <v>10499</v>
      </c>
      <c r="E18" s="919">
        <v>0.02</v>
      </c>
      <c r="F18" s="914">
        <v>108.15833333333335</v>
      </c>
      <c r="G18" s="908"/>
      <c r="H18" s="920">
        <v>10607.158333333333</v>
      </c>
      <c r="I18" s="924">
        <v>10345</v>
      </c>
      <c r="J18" s="924">
        <v>262.15833333333285</v>
      </c>
    </row>
    <row r="19" spans="1:10">
      <c r="A19" s="909">
        <v>315</v>
      </c>
      <c r="B19" s="908" t="s">
        <v>358</v>
      </c>
      <c r="C19" s="914">
        <v>0</v>
      </c>
      <c r="D19" s="914">
        <v>0</v>
      </c>
      <c r="E19" s="919">
        <v>0</v>
      </c>
      <c r="F19" s="914">
        <v>0</v>
      </c>
      <c r="G19" s="908"/>
      <c r="H19" s="920">
        <v>0</v>
      </c>
      <c r="I19" s="924"/>
      <c r="J19" s="924">
        <v>0</v>
      </c>
    </row>
    <row r="20" spans="1:10">
      <c r="A20" s="909">
        <v>316</v>
      </c>
      <c r="B20" s="908" t="s">
        <v>359</v>
      </c>
      <c r="C20" s="914">
        <v>0</v>
      </c>
      <c r="D20" s="914">
        <v>0</v>
      </c>
      <c r="E20" s="919">
        <v>0</v>
      </c>
      <c r="F20" s="914">
        <v>0</v>
      </c>
      <c r="G20" s="908"/>
      <c r="H20" s="920">
        <v>0</v>
      </c>
      <c r="I20" s="924"/>
      <c r="J20" s="924">
        <v>0</v>
      </c>
    </row>
    <row r="21" spans="1:10">
      <c r="A21" s="909">
        <v>317</v>
      </c>
      <c r="B21" s="908" t="s">
        <v>1073</v>
      </c>
      <c r="C21" s="914">
        <v>0</v>
      </c>
      <c r="D21" s="914">
        <v>0</v>
      </c>
      <c r="E21" s="919">
        <v>0</v>
      </c>
      <c r="F21" s="914">
        <v>0</v>
      </c>
      <c r="G21" s="908"/>
      <c r="H21" s="920">
        <v>0</v>
      </c>
      <c r="I21" s="924"/>
      <c r="J21" s="924">
        <v>0</v>
      </c>
    </row>
    <row r="22" spans="1:10">
      <c r="A22" s="909"/>
      <c r="B22" s="923" t="s">
        <v>360</v>
      </c>
      <c r="C22" s="914"/>
      <c r="D22" s="908"/>
      <c r="E22" s="908"/>
      <c r="F22" s="914">
        <v>0</v>
      </c>
      <c r="G22" s="908"/>
      <c r="H22" s="920">
        <v>0</v>
      </c>
      <c r="I22" s="924"/>
      <c r="J22" s="924">
        <v>0</v>
      </c>
    </row>
    <row r="23" spans="1:10">
      <c r="A23" s="909">
        <v>320</v>
      </c>
      <c r="B23" s="908" t="s">
        <v>353</v>
      </c>
      <c r="C23" s="914">
        <v>0</v>
      </c>
      <c r="D23" s="914">
        <v>0</v>
      </c>
      <c r="E23" s="919">
        <v>0</v>
      </c>
      <c r="F23" s="914">
        <v>0</v>
      </c>
      <c r="G23" s="908"/>
      <c r="H23" s="920">
        <v>0</v>
      </c>
      <c r="I23" s="924"/>
      <c r="J23" s="924">
        <v>0</v>
      </c>
    </row>
    <row r="24" spans="1:10">
      <c r="A24" s="909">
        <v>321</v>
      </c>
      <c r="B24" s="908" t="s">
        <v>354</v>
      </c>
      <c r="C24" s="914">
        <v>43958</v>
      </c>
      <c r="D24" s="914">
        <v>8704</v>
      </c>
      <c r="E24" s="919">
        <v>2.5000000000000001E-2</v>
      </c>
      <c r="F24" s="914">
        <v>457.89583333333331</v>
      </c>
      <c r="G24" s="908"/>
      <c r="H24" s="920">
        <v>9161.8958333333339</v>
      </c>
      <c r="I24" s="924">
        <v>8051</v>
      </c>
      <c r="J24" s="924">
        <v>1110.8958333333339</v>
      </c>
    </row>
    <row r="25" spans="1:10">
      <c r="A25" s="909">
        <v>322</v>
      </c>
      <c r="B25" s="908" t="s">
        <v>361</v>
      </c>
      <c r="C25" s="914">
        <v>0</v>
      </c>
      <c r="D25" s="914">
        <v>0</v>
      </c>
      <c r="E25" s="919">
        <v>0</v>
      </c>
      <c r="F25" s="914">
        <v>0</v>
      </c>
      <c r="G25" s="908"/>
      <c r="H25" s="920">
        <v>0</v>
      </c>
      <c r="I25" s="924"/>
      <c r="J25" s="924">
        <v>0</v>
      </c>
    </row>
    <row r="26" spans="1:10">
      <c r="A26" s="909">
        <v>323</v>
      </c>
      <c r="B26" s="908" t="s">
        <v>1074</v>
      </c>
      <c r="C26" s="914">
        <v>22847</v>
      </c>
      <c r="D26" s="914">
        <v>0</v>
      </c>
      <c r="E26" s="919">
        <v>0</v>
      </c>
      <c r="F26" s="914">
        <v>0</v>
      </c>
      <c r="G26" s="908"/>
      <c r="H26" s="920">
        <v>0</v>
      </c>
      <c r="I26" s="924"/>
      <c r="J26" s="924">
        <v>0</v>
      </c>
    </row>
    <row r="27" spans="1:10">
      <c r="A27" s="909">
        <v>325.10000000000002</v>
      </c>
      <c r="B27" s="908" t="s">
        <v>362</v>
      </c>
      <c r="C27" s="914">
        <v>120558</v>
      </c>
      <c r="D27" s="914">
        <v>100753</v>
      </c>
      <c r="E27" s="919">
        <v>0.05</v>
      </c>
      <c r="F27" s="914">
        <v>2511.625</v>
      </c>
      <c r="G27" s="908"/>
      <c r="H27" s="920">
        <v>103264.625</v>
      </c>
      <c r="I27" s="924">
        <v>97170</v>
      </c>
      <c r="J27" s="924">
        <v>6094.625</v>
      </c>
    </row>
    <row r="28" spans="1:10">
      <c r="A28" s="909">
        <v>325.2</v>
      </c>
      <c r="B28" s="908" t="s">
        <v>363</v>
      </c>
      <c r="C28" s="914">
        <v>0</v>
      </c>
      <c r="D28" s="914">
        <v>0</v>
      </c>
      <c r="E28" s="919">
        <v>0</v>
      </c>
      <c r="F28" s="914">
        <v>0</v>
      </c>
      <c r="G28" s="908"/>
      <c r="H28" s="920">
        <v>0</v>
      </c>
      <c r="I28" s="924"/>
      <c r="J28" s="924">
        <v>0</v>
      </c>
    </row>
    <row r="29" spans="1:10">
      <c r="A29" s="909">
        <v>326</v>
      </c>
      <c r="B29" s="908" t="s">
        <v>364</v>
      </c>
      <c r="C29" s="914">
        <v>0</v>
      </c>
      <c r="D29" s="914">
        <v>0</v>
      </c>
      <c r="E29" s="919">
        <v>0</v>
      </c>
      <c r="F29" s="914">
        <v>0</v>
      </c>
      <c r="G29" s="908"/>
      <c r="H29" s="920">
        <v>0</v>
      </c>
      <c r="I29" s="924"/>
      <c r="J29" s="924">
        <v>0</v>
      </c>
    </row>
    <row r="30" spans="1:10">
      <c r="A30" s="909">
        <v>327</v>
      </c>
      <c r="B30" s="908" t="s">
        <v>365</v>
      </c>
      <c r="C30" s="914">
        <v>0</v>
      </c>
      <c r="D30" s="914">
        <v>0</v>
      </c>
      <c r="E30" s="919">
        <v>0</v>
      </c>
      <c r="F30" s="914">
        <v>0</v>
      </c>
      <c r="G30" s="908"/>
      <c r="H30" s="920">
        <v>0</v>
      </c>
      <c r="I30" s="924"/>
      <c r="J30" s="924">
        <v>0</v>
      </c>
    </row>
    <row r="31" spans="1:10">
      <c r="A31" s="909">
        <v>328</v>
      </c>
      <c r="B31" s="908" t="s">
        <v>1075</v>
      </c>
      <c r="C31" s="914">
        <v>0</v>
      </c>
      <c r="D31" s="914">
        <v>26982</v>
      </c>
      <c r="E31" s="919">
        <v>0.04</v>
      </c>
      <c r="F31" s="914">
        <v>0</v>
      </c>
      <c r="G31" s="908"/>
      <c r="H31" s="920">
        <v>26982</v>
      </c>
      <c r="I31" s="924">
        <v>26439</v>
      </c>
      <c r="J31" s="924">
        <v>543</v>
      </c>
    </row>
    <row r="32" spans="1:10">
      <c r="A32" s="909"/>
      <c r="B32" s="923" t="s">
        <v>366</v>
      </c>
      <c r="C32" s="914"/>
      <c r="D32" s="908"/>
      <c r="E32" s="908"/>
      <c r="F32" s="914">
        <v>0</v>
      </c>
      <c r="G32" s="908"/>
      <c r="H32" s="920">
        <v>0</v>
      </c>
      <c r="I32" s="924"/>
      <c r="J32" s="924">
        <v>0</v>
      </c>
    </row>
    <row r="33" spans="1:10">
      <c r="A33" s="909">
        <v>330</v>
      </c>
      <c r="B33" s="908" t="s">
        <v>353</v>
      </c>
      <c r="C33" s="914">
        <v>0</v>
      </c>
      <c r="D33" s="914">
        <v>0</v>
      </c>
      <c r="E33" s="919">
        <v>0</v>
      </c>
      <c r="F33" s="914">
        <v>0</v>
      </c>
      <c r="G33" s="908"/>
      <c r="H33" s="920">
        <v>0</v>
      </c>
      <c r="I33" s="924"/>
      <c r="J33" s="924">
        <v>0</v>
      </c>
    </row>
    <row r="34" spans="1:10">
      <c r="A34" s="909">
        <v>331</v>
      </c>
      <c r="B34" s="908" t="s">
        <v>354</v>
      </c>
      <c r="C34" s="914">
        <v>0</v>
      </c>
      <c r="D34" s="914">
        <v>0</v>
      </c>
      <c r="E34" s="919">
        <v>0</v>
      </c>
      <c r="F34" s="914">
        <v>0</v>
      </c>
      <c r="G34" s="908"/>
      <c r="H34" s="920">
        <v>0</v>
      </c>
      <c r="I34" s="924"/>
      <c r="J34" s="924">
        <v>0</v>
      </c>
    </row>
    <row r="35" spans="1:10">
      <c r="A35" s="909">
        <v>332</v>
      </c>
      <c r="B35" s="908" t="s">
        <v>367</v>
      </c>
      <c r="C35" s="914">
        <v>1926</v>
      </c>
      <c r="D35" s="914">
        <v>1377</v>
      </c>
      <c r="E35" s="919">
        <v>2.9000000000000001E-2</v>
      </c>
      <c r="F35" s="914">
        <v>23.272500000000001</v>
      </c>
      <c r="G35" s="908"/>
      <c r="H35" s="920">
        <v>1400.2725</v>
      </c>
      <c r="I35" s="924">
        <v>1344</v>
      </c>
      <c r="J35" s="924">
        <v>56.272500000000036</v>
      </c>
    </row>
    <row r="36" spans="1:10">
      <c r="A36" s="909"/>
      <c r="B36" s="923" t="s">
        <v>368</v>
      </c>
      <c r="C36" s="914"/>
      <c r="D36" s="908"/>
      <c r="E36" s="908"/>
      <c r="F36" s="914">
        <v>0</v>
      </c>
      <c r="G36" s="908"/>
      <c r="H36" s="920">
        <v>0</v>
      </c>
      <c r="I36" s="924"/>
      <c r="J36" s="924">
        <v>0</v>
      </c>
    </row>
    <row r="37" spans="1:10">
      <c r="A37" s="909">
        <v>340</v>
      </c>
      <c r="B37" s="908" t="s">
        <v>353</v>
      </c>
      <c r="C37" s="914">
        <v>0</v>
      </c>
      <c r="D37" s="914">
        <v>0</v>
      </c>
      <c r="E37" s="919">
        <v>0</v>
      </c>
      <c r="F37" s="914">
        <v>0</v>
      </c>
      <c r="G37" s="908"/>
      <c r="H37" s="920">
        <v>0</v>
      </c>
      <c r="I37" s="924"/>
      <c r="J37" s="924">
        <v>0</v>
      </c>
    </row>
    <row r="38" spans="1:10">
      <c r="A38" s="909">
        <v>341</v>
      </c>
      <c r="B38" s="908" t="s">
        <v>354</v>
      </c>
      <c r="C38" s="914">
        <v>0</v>
      </c>
      <c r="D38" s="914">
        <v>0</v>
      </c>
      <c r="E38" s="919">
        <v>0</v>
      </c>
      <c r="F38" s="914">
        <v>0</v>
      </c>
      <c r="G38" s="908"/>
      <c r="H38" s="920">
        <v>0</v>
      </c>
      <c r="I38" s="924"/>
      <c r="J38" s="924">
        <v>0</v>
      </c>
    </row>
    <row r="39" spans="1:10">
      <c r="A39" s="909">
        <v>342</v>
      </c>
      <c r="B39" s="908" t="s">
        <v>369</v>
      </c>
      <c r="C39" s="914">
        <v>32618</v>
      </c>
      <c r="D39" s="914">
        <v>20334</v>
      </c>
      <c r="E39" s="919">
        <v>2.5000000000000001E-2</v>
      </c>
      <c r="F39" s="914">
        <v>339.77083333333337</v>
      </c>
      <c r="G39" s="908"/>
      <c r="H39" s="920">
        <v>20673.770833333332</v>
      </c>
      <c r="I39" s="924">
        <v>19849</v>
      </c>
      <c r="J39" s="924">
        <v>824.77083333333212</v>
      </c>
    </row>
    <row r="40" spans="1:10">
      <c r="A40" s="909">
        <v>343</v>
      </c>
      <c r="B40" s="908" t="s">
        <v>370</v>
      </c>
      <c r="C40" s="914">
        <v>167173</v>
      </c>
      <c r="D40" s="914">
        <v>74624</v>
      </c>
      <c r="E40" s="919">
        <v>0.02</v>
      </c>
      <c r="F40" s="914">
        <v>1393.1083333333333</v>
      </c>
      <c r="G40" s="908"/>
      <c r="H40" s="920">
        <v>76017.108333333337</v>
      </c>
      <c r="I40" s="924">
        <v>72636</v>
      </c>
      <c r="J40" s="924">
        <v>3381.1083333333372</v>
      </c>
    </row>
    <row r="41" spans="1:10">
      <c r="A41" s="909">
        <v>344</v>
      </c>
      <c r="B41" s="908" t="s">
        <v>371</v>
      </c>
      <c r="C41" s="914">
        <v>0</v>
      </c>
      <c r="D41" s="914">
        <v>0</v>
      </c>
      <c r="E41" s="919">
        <v>0</v>
      </c>
      <c r="F41" s="914">
        <v>0</v>
      </c>
      <c r="G41" s="908"/>
      <c r="H41" s="920">
        <v>0</v>
      </c>
      <c r="I41" s="924"/>
      <c r="J41" s="924">
        <v>0</v>
      </c>
    </row>
    <row r="42" spans="1:10">
      <c r="A42" s="909">
        <v>345</v>
      </c>
      <c r="B42" s="908" t="s">
        <v>372</v>
      </c>
      <c r="C42" s="914">
        <v>9114</v>
      </c>
      <c r="D42" s="914">
        <v>198</v>
      </c>
      <c r="E42" s="919">
        <v>2.5000000000000001E-2</v>
      </c>
      <c r="F42" s="914">
        <v>94.9375</v>
      </c>
      <c r="G42" s="914">
        <v>4</v>
      </c>
      <c r="H42" s="920">
        <v>296.9375</v>
      </c>
      <c r="I42" s="924">
        <v>71</v>
      </c>
      <c r="J42" s="924">
        <v>225.9375</v>
      </c>
    </row>
    <row r="43" spans="1:10">
      <c r="A43" s="909">
        <v>346</v>
      </c>
      <c r="B43" s="908" t="s">
        <v>373</v>
      </c>
      <c r="C43" s="914">
        <v>112005.21</v>
      </c>
      <c r="D43" s="914">
        <v>92492</v>
      </c>
      <c r="E43" s="919">
        <v>0.1</v>
      </c>
      <c r="F43" s="914">
        <v>4666.88375</v>
      </c>
      <c r="G43" s="914">
        <v>24</v>
      </c>
      <c r="H43" s="920">
        <v>97182.883749999994</v>
      </c>
      <c r="I43" s="924">
        <v>85655</v>
      </c>
      <c r="J43" s="924">
        <v>11527.883749999994</v>
      </c>
    </row>
    <row r="44" spans="1:10">
      <c r="A44" s="909">
        <v>347</v>
      </c>
      <c r="B44" s="908" t="s">
        <v>374</v>
      </c>
      <c r="C44" s="914">
        <v>26466</v>
      </c>
      <c r="D44" s="914">
        <v>16275</v>
      </c>
      <c r="E44" s="919">
        <v>2.5000000000000001E-2</v>
      </c>
      <c r="F44" s="914">
        <v>275.6875</v>
      </c>
      <c r="G44" s="914">
        <v>21</v>
      </c>
      <c r="H44" s="920">
        <v>16571.6875</v>
      </c>
      <c r="I44" s="924">
        <v>15882</v>
      </c>
      <c r="J44" s="924">
        <v>689.6875</v>
      </c>
    </row>
    <row r="45" spans="1:10">
      <c r="A45" s="909">
        <v>348</v>
      </c>
      <c r="B45" s="908" t="s">
        <v>375</v>
      </c>
      <c r="C45" s="914">
        <v>14760</v>
      </c>
      <c r="D45" s="914">
        <v>2089</v>
      </c>
      <c r="E45" s="919">
        <v>0.04</v>
      </c>
      <c r="F45" s="914">
        <v>246</v>
      </c>
      <c r="G45" s="914">
        <v>12</v>
      </c>
      <c r="H45" s="920">
        <v>2347</v>
      </c>
      <c r="I45" s="924">
        <v>1946</v>
      </c>
      <c r="J45" s="924">
        <v>401</v>
      </c>
    </row>
    <row r="46" spans="1:10">
      <c r="A46" s="909">
        <v>349</v>
      </c>
      <c r="B46" s="908" t="s">
        <v>376</v>
      </c>
      <c r="C46" s="914">
        <v>0</v>
      </c>
      <c r="D46" s="914">
        <v>0</v>
      </c>
      <c r="E46" s="919">
        <v>0</v>
      </c>
      <c r="F46" s="914">
        <v>0</v>
      </c>
      <c r="G46" s="908"/>
      <c r="H46" s="920">
        <v>0</v>
      </c>
      <c r="I46" s="924"/>
      <c r="J46" s="924">
        <v>0</v>
      </c>
    </row>
    <row r="47" spans="1:10">
      <c r="A47" s="909"/>
      <c r="B47" s="923" t="s">
        <v>377</v>
      </c>
      <c r="C47" s="914"/>
      <c r="D47" s="908"/>
      <c r="E47" s="908"/>
      <c r="F47" s="914">
        <v>0</v>
      </c>
      <c r="G47" s="908"/>
      <c r="H47" s="920">
        <v>0</v>
      </c>
      <c r="I47" s="924"/>
      <c r="J47" s="924">
        <v>0</v>
      </c>
    </row>
    <row r="48" spans="1:10">
      <c r="A48" s="909">
        <v>370</v>
      </c>
      <c r="B48" s="908" t="s">
        <v>1076</v>
      </c>
      <c r="C48" s="914">
        <v>0</v>
      </c>
      <c r="D48" s="914">
        <v>0</v>
      </c>
      <c r="E48" s="919">
        <v>0</v>
      </c>
      <c r="F48" s="914">
        <v>0</v>
      </c>
      <c r="G48" s="908"/>
      <c r="H48" s="920">
        <v>0</v>
      </c>
      <c r="I48" s="924"/>
      <c r="J48" s="924">
        <v>0</v>
      </c>
    </row>
    <row r="49" spans="1:10">
      <c r="A49" s="909">
        <v>371</v>
      </c>
      <c r="B49" s="908" t="s">
        <v>381</v>
      </c>
      <c r="C49" s="914">
        <v>0</v>
      </c>
      <c r="D49" s="914">
        <v>0</v>
      </c>
      <c r="E49" s="919">
        <v>0</v>
      </c>
      <c r="F49" s="914">
        <v>0</v>
      </c>
      <c r="G49" s="908"/>
      <c r="H49" s="920">
        <v>0</v>
      </c>
      <c r="I49" s="924"/>
      <c r="J49" s="924">
        <v>0</v>
      </c>
    </row>
    <row r="50" spans="1:10">
      <c r="A50" s="909">
        <v>372</v>
      </c>
      <c r="B50" s="908" t="s">
        <v>382</v>
      </c>
      <c r="C50" s="914">
        <v>0</v>
      </c>
      <c r="D50" s="914">
        <v>4242</v>
      </c>
      <c r="E50" s="919">
        <v>0.01</v>
      </c>
      <c r="F50" s="914">
        <v>0</v>
      </c>
      <c r="G50" s="908"/>
      <c r="H50" s="920">
        <v>4242</v>
      </c>
      <c r="I50" s="924">
        <v>4221</v>
      </c>
      <c r="J50" s="924">
        <v>21</v>
      </c>
    </row>
    <row r="51" spans="1:10">
      <c r="A51" s="909">
        <v>372.1</v>
      </c>
      <c r="B51" s="908" t="s">
        <v>383</v>
      </c>
      <c r="C51" s="914">
        <v>3607</v>
      </c>
      <c r="D51" s="914">
        <v>0</v>
      </c>
      <c r="E51" s="919">
        <v>7.0000000000000007E-2</v>
      </c>
      <c r="F51" s="914">
        <v>105.20416666666668</v>
      </c>
      <c r="G51" s="908"/>
      <c r="H51" s="920">
        <v>105.20416666666668</v>
      </c>
      <c r="I51" s="924"/>
      <c r="J51" s="924">
        <v>105.20416666666668</v>
      </c>
    </row>
    <row r="52" spans="1:10">
      <c r="A52" s="909">
        <v>373</v>
      </c>
      <c r="B52" s="908" t="s">
        <v>384</v>
      </c>
      <c r="C52" s="914">
        <v>8568</v>
      </c>
      <c r="D52" s="914">
        <v>8332</v>
      </c>
      <c r="E52" s="919">
        <v>0</v>
      </c>
      <c r="F52" s="914">
        <v>0</v>
      </c>
      <c r="G52" s="908"/>
      <c r="H52" s="920">
        <v>8332</v>
      </c>
      <c r="I52" s="924">
        <v>7975</v>
      </c>
      <c r="J52" s="924">
        <v>357</v>
      </c>
    </row>
    <row r="53" spans="1:10">
      <c r="A53" s="909">
        <v>379</v>
      </c>
      <c r="B53" s="908" t="s">
        <v>385</v>
      </c>
      <c r="C53" s="914">
        <v>5296</v>
      </c>
      <c r="D53" s="914">
        <v>0</v>
      </c>
      <c r="E53" s="919">
        <v>0</v>
      </c>
      <c r="F53" s="914">
        <v>0</v>
      </c>
      <c r="G53" s="908"/>
      <c r="H53" s="920">
        <v>0</v>
      </c>
      <c r="I53" s="924"/>
      <c r="J53" s="924">
        <v>0</v>
      </c>
    </row>
    <row r="54" spans="1:10">
      <c r="A54" s="909">
        <v>393</v>
      </c>
      <c r="B54" s="908" t="s">
        <v>386</v>
      </c>
      <c r="C54" s="914">
        <v>0</v>
      </c>
      <c r="D54" s="914">
        <v>0</v>
      </c>
      <c r="E54" s="919">
        <v>0</v>
      </c>
      <c r="F54" s="914">
        <v>0</v>
      </c>
      <c r="G54" s="908"/>
      <c r="H54" s="920">
        <v>0</v>
      </c>
      <c r="I54" s="924"/>
      <c r="J54" s="924">
        <v>0</v>
      </c>
    </row>
    <row r="55" spans="1:10">
      <c r="A55" s="909">
        <v>394</v>
      </c>
      <c r="B55" s="908" t="s">
        <v>388</v>
      </c>
      <c r="C55" s="914">
        <v>0</v>
      </c>
      <c r="D55" s="914">
        <v>3052</v>
      </c>
      <c r="E55" s="919">
        <v>0.05</v>
      </c>
      <c r="F55" s="914">
        <v>0</v>
      </c>
      <c r="G55" s="908"/>
      <c r="H55" s="920">
        <v>3052</v>
      </c>
      <c r="I55" s="924">
        <v>2895</v>
      </c>
      <c r="J55" s="924">
        <v>157</v>
      </c>
    </row>
    <row r="56" spans="1:10">
      <c r="A56" s="909">
        <v>395</v>
      </c>
      <c r="B56" s="908" t="s">
        <v>389</v>
      </c>
      <c r="C56" s="914">
        <v>0</v>
      </c>
      <c r="D56" s="914">
        <v>0</v>
      </c>
      <c r="E56" s="919">
        <v>0</v>
      </c>
      <c r="F56" s="914">
        <v>0</v>
      </c>
      <c r="G56" s="908"/>
      <c r="H56" s="920">
        <v>0</v>
      </c>
      <c r="I56" s="924"/>
      <c r="J56" s="924">
        <v>0</v>
      </c>
    </row>
    <row r="57" spans="1:10">
      <c r="A57" s="909">
        <v>396</v>
      </c>
      <c r="B57" s="908" t="s">
        <v>390</v>
      </c>
      <c r="C57" s="914">
        <v>0</v>
      </c>
      <c r="D57" s="914">
        <v>0</v>
      </c>
      <c r="E57" s="919">
        <v>0</v>
      </c>
      <c r="F57" s="914">
        <v>0</v>
      </c>
      <c r="G57" s="908"/>
      <c r="H57" s="920">
        <v>0</v>
      </c>
      <c r="I57" s="924"/>
      <c r="J57" s="924">
        <v>0</v>
      </c>
    </row>
    <row r="58" spans="1:10">
      <c r="A58" s="909">
        <v>397</v>
      </c>
      <c r="B58" s="908" t="s">
        <v>391</v>
      </c>
      <c r="C58" s="914">
        <v>85</v>
      </c>
      <c r="D58" s="914">
        <v>54</v>
      </c>
      <c r="E58" s="919">
        <v>6.7000000000000004E-2</v>
      </c>
      <c r="F58" s="914">
        <v>2.3729166666666668</v>
      </c>
      <c r="G58" s="908"/>
      <c r="H58" s="920">
        <v>56.372916666666669</v>
      </c>
      <c r="I58" s="924">
        <v>51</v>
      </c>
      <c r="J58" s="924">
        <v>5.3729166666666686</v>
      </c>
    </row>
    <row r="59" spans="1:10">
      <c r="A59" s="909">
        <v>398</v>
      </c>
      <c r="B59" s="908" t="s">
        <v>392</v>
      </c>
      <c r="C59" s="914">
        <v>0</v>
      </c>
      <c r="D59" s="914">
        <v>0</v>
      </c>
      <c r="E59" s="919">
        <v>0</v>
      </c>
      <c r="F59" s="914">
        <v>0</v>
      </c>
      <c r="G59" s="908"/>
      <c r="H59" s="920">
        <v>0</v>
      </c>
      <c r="I59" s="924"/>
      <c r="J59" s="924">
        <v>0</v>
      </c>
    </row>
    <row r="60" spans="1:10">
      <c r="A60" s="909">
        <v>399</v>
      </c>
      <c r="B60" s="908" t="s">
        <v>393</v>
      </c>
      <c r="C60" s="914">
        <v>0</v>
      </c>
      <c r="D60" s="914">
        <v>0</v>
      </c>
      <c r="E60" s="919">
        <v>0</v>
      </c>
      <c r="F60" s="914">
        <v>0</v>
      </c>
      <c r="G60" s="908"/>
      <c r="H60" s="920">
        <v>0</v>
      </c>
      <c r="I60" s="924"/>
      <c r="J60" s="924">
        <v>0</v>
      </c>
    </row>
    <row r="61" spans="1:10" ht="15.75" thickBot="1">
      <c r="A61" s="909"/>
      <c r="B61" s="911" t="s">
        <v>1089</v>
      </c>
      <c r="C61" s="915">
        <v>634663.21</v>
      </c>
      <c r="D61" s="915">
        <v>420791</v>
      </c>
      <c r="E61" s="908"/>
      <c r="F61" s="915">
        <v>10224.916666666668</v>
      </c>
      <c r="G61" s="915">
        <v>61</v>
      </c>
      <c r="H61" s="921">
        <v>431076.91666666663</v>
      </c>
      <c r="I61" s="921">
        <v>405314</v>
      </c>
      <c r="J61" s="921">
        <v>25762.916666666664</v>
      </c>
    </row>
    <row r="62" spans="1:10" ht="15.75" thickTop="1">
      <c r="A62" s="908"/>
      <c r="B62" s="908"/>
      <c r="C62" s="908"/>
      <c r="D62" s="908"/>
      <c r="E62" s="908"/>
      <c r="F62" s="908"/>
      <c r="G62" s="908"/>
      <c r="H62" s="908"/>
      <c r="I62" s="908"/>
      <c r="J62" s="908"/>
    </row>
    <row r="68" spans="1:1" ht="17.25">
      <c r="A68" s="917" t="s">
        <v>1078</v>
      </c>
    </row>
    <row r="69" spans="1:1" ht="17.25">
      <c r="A69" s="922" t="s">
        <v>1090</v>
      </c>
    </row>
    <row r="70" spans="1:1" ht="17.25">
      <c r="A70" s="917" t="s">
        <v>1091</v>
      </c>
    </row>
  </sheetData>
  <mergeCells count="1">
    <mergeCell ref="A5:H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57"/>
  <sheetViews>
    <sheetView workbookViewId="0">
      <selection activeCell="A2" sqref="A2:F3"/>
    </sheetView>
  </sheetViews>
  <sheetFormatPr defaultRowHeight="15"/>
  <cols>
    <col min="2" max="2" width="33.5703125" customWidth="1"/>
  </cols>
  <sheetData>
    <row r="5" spans="1:7">
      <c r="A5" s="1139" t="s">
        <v>1092</v>
      </c>
      <c r="B5" s="1139"/>
      <c r="C5" s="1139"/>
      <c r="D5" s="1139"/>
      <c r="E5" s="1139"/>
      <c r="F5" s="927"/>
      <c r="G5" s="927"/>
    </row>
    <row r="7" spans="1:7" ht="17.25">
      <c r="A7" s="929"/>
      <c r="B7" s="929"/>
      <c r="C7" s="932" t="s">
        <v>1064</v>
      </c>
      <c r="D7" s="932" t="s">
        <v>1065</v>
      </c>
      <c r="E7" s="929" t="s">
        <v>1064</v>
      </c>
      <c r="F7" s="929" t="s">
        <v>1066</v>
      </c>
      <c r="G7" s="929" t="s">
        <v>1067</v>
      </c>
    </row>
    <row r="8" spans="1:7" ht="17.25">
      <c r="A8" s="929" t="s">
        <v>1068</v>
      </c>
      <c r="B8" s="929" t="s">
        <v>1069</v>
      </c>
      <c r="C8" s="932" t="s">
        <v>1070</v>
      </c>
      <c r="D8" s="932" t="s">
        <v>1071</v>
      </c>
      <c r="E8" s="929" t="s">
        <v>1072</v>
      </c>
      <c r="F8" s="942">
        <v>2011</v>
      </c>
      <c r="G8" s="927"/>
    </row>
    <row r="9" spans="1:7">
      <c r="A9" s="927"/>
      <c r="B9" s="939" t="s">
        <v>347</v>
      </c>
      <c r="C9" s="927"/>
      <c r="D9" s="927"/>
      <c r="E9" s="934"/>
      <c r="F9" s="941"/>
      <c r="G9" s="927"/>
    </row>
    <row r="10" spans="1:7">
      <c r="A10" s="928">
        <v>301</v>
      </c>
      <c r="B10" s="936" t="s">
        <v>349</v>
      </c>
      <c r="C10" s="930">
        <v>3000</v>
      </c>
      <c r="D10" s="927"/>
      <c r="E10" s="934">
        <v>3000</v>
      </c>
      <c r="F10" s="941">
        <v>3000</v>
      </c>
      <c r="G10" s="930">
        <v>0</v>
      </c>
    </row>
    <row r="11" spans="1:7">
      <c r="A11" s="928">
        <v>302</v>
      </c>
      <c r="B11" s="936" t="s">
        <v>350</v>
      </c>
      <c r="C11" s="930">
        <v>0</v>
      </c>
      <c r="D11" s="927"/>
      <c r="E11" s="934">
        <v>0</v>
      </c>
      <c r="F11" s="941"/>
      <c r="G11" s="930">
        <v>0</v>
      </c>
    </row>
    <row r="12" spans="1:7">
      <c r="A12" s="928">
        <v>303</v>
      </c>
      <c r="B12" s="936" t="s">
        <v>351</v>
      </c>
      <c r="C12" s="930">
        <v>0</v>
      </c>
      <c r="D12" s="927"/>
      <c r="E12" s="934">
        <v>0</v>
      </c>
      <c r="F12" s="941"/>
      <c r="G12" s="930">
        <v>0</v>
      </c>
    </row>
    <row r="13" spans="1:7">
      <c r="A13" s="927"/>
      <c r="B13" s="939" t="s">
        <v>447</v>
      </c>
      <c r="C13" s="927"/>
      <c r="D13" s="927"/>
      <c r="E13" s="934">
        <v>0</v>
      </c>
      <c r="F13" s="941"/>
      <c r="G13" s="930">
        <v>0</v>
      </c>
    </row>
    <row r="14" spans="1:7">
      <c r="A14" s="928">
        <v>310</v>
      </c>
      <c r="B14" s="936" t="s">
        <v>353</v>
      </c>
      <c r="C14" s="930">
        <v>0</v>
      </c>
      <c r="D14" s="927"/>
      <c r="E14" s="934">
        <v>0</v>
      </c>
      <c r="F14" s="941"/>
      <c r="G14" s="930">
        <v>0</v>
      </c>
    </row>
    <row r="15" spans="1:7">
      <c r="A15" s="928">
        <v>311</v>
      </c>
      <c r="B15" s="936" t="s">
        <v>354</v>
      </c>
      <c r="C15" s="930">
        <v>0</v>
      </c>
      <c r="D15" s="927"/>
      <c r="E15" s="934">
        <v>0</v>
      </c>
      <c r="F15" s="941"/>
      <c r="G15" s="930">
        <v>0</v>
      </c>
    </row>
    <row r="16" spans="1:7">
      <c r="A16" s="927"/>
      <c r="B16" s="939" t="s">
        <v>449</v>
      </c>
      <c r="C16" s="927"/>
      <c r="D16" s="927"/>
      <c r="E16" s="934">
        <v>0</v>
      </c>
      <c r="F16" s="941"/>
      <c r="G16" s="930">
        <v>0</v>
      </c>
    </row>
    <row r="17" spans="1:7">
      <c r="A17" s="928">
        <v>350</v>
      </c>
      <c r="B17" s="936" t="s">
        <v>353</v>
      </c>
      <c r="C17" s="930">
        <v>8800</v>
      </c>
      <c r="D17" s="927"/>
      <c r="E17" s="934">
        <v>8800</v>
      </c>
      <c r="F17" s="941">
        <v>8800</v>
      </c>
      <c r="G17" s="930">
        <v>0</v>
      </c>
    </row>
    <row r="18" spans="1:7">
      <c r="A18" s="928">
        <v>351</v>
      </c>
      <c r="B18" s="936" t="s">
        <v>354</v>
      </c>
      <c r="C18" s="930">
        <v>0</v>
      </c>
      <c r="D18" s="927"/>
      <c r="E18" s="934">
        <v>0</v>
      </c>
      <c r="F18" s="941"/>
      <c r="G18" s="930">
        <v>0</v>
      </c>
    </row>
    <row r="19" spans="1:7">
      <c r="A19" s="928">
        <v>352.1</v>
      </c>
      <c r="B19" s="936" t="s">
        <v>450</v>
      </c>
      <c r="C19" s="930">
        <v>0</v>
      </c>
      <c r="D19" s="927"/>
      <c r="E19" s="934">
        <v>0</v>
      </c>
      <c r="F19" s="941"/>
      <c r="G19" s="930">
        <v>0</v>
      </c>
    </row>
    <row r="20" spans="1:7">
      <c r="A20" s="928">
        <v>352.2</v>
      </c>
      <c r="B20" s="936" t="s">
        <v>451</v>
      </c>
      <c r="C20" s="930">
        <v>24004</v>
      </c>
      <c r="D20" s="927"/>
      <c r="E20" s="934">
        <v>24004</v>
      </c>
      <c r="F20" s="941">
        <v>24004</v>
      </c>
      <c r="G20" s="930">
        <v>0</v>
      </c>
    </row>
    <row r="21" spans="1:7">
      <c r="A21" s="928">
        <v>353</v>
      </c>
      <c r="B21" s="936" t="s">
        <v>1093</v>
      </c>
      <c r="C21" s="930">
        <v>3400</v>
      </c>
      <c r="D21" s="927"/>
      <c r="E21" s="934">
        <v>3400</v>
      </c>
      <c r="F21" s="941">
        <v>3400</v>
      </c>
      <c r="G21" s="930">
        <v>0</v>
      </c>
    </row>
    <row r="22" spans="1:7">
      <c r="A22" s="928">
        <v>354</v>
      </c>
      <c r="B22" s="936" t="s">
        <v>452</v>
      </c>
      <c r="C22" s="930">
        <v>0</v>
      </c>
      <c r="D22" s="927"/>
      <c r="E22" s="934">
        <v>0</v>
      </c>
      <c r="F22" s="941"/>
      <c r="G22" s="930">
        <v>0</v>
      </c>
    </row>
    <row r="23" spans="1:7">
      <c r="A23" s="928">
        <v>355</v>
      </c>
      <c r="B23" s="936" t="s">
        <v>453</v>
      </c>
      <c r="C23" s="930">
        <v>0</v>
      </c>
      <c r="D23" s="927"/>
      <c r="E23" s="934">
        <v>0</v>
      </c>
      <c r="F23" s="941"/>
      <c r="G23" s="930">
        <v>0</v>
      </c>
    </row>
    <row r="24" spans="1:7">
      <c r="A24" s="927"/>
      <c r="B24" s="939" t="s">
        <v>360</v>
      </c>
      <c r="C24" s="927"/>
      <c r="D24" s="927"/>
      <c r="E24" s="934">
        <v>0</v>
      </c>
      <c r="F24" s="941"/>
      <c r="G24" s="930">
        <v>0</v>
      </c>
    </row>
    <row r="25" spans="1:7">
      <c r="A25" s="928">
        <v>360</v>
      </c>
      <c r="B25" s="936" t="s">
        <v>353</v>
      </c>
      <c r="C25" s="930">
        <v>0</v>
      </c>
      <c r="D25" s="927"/>
      <c r="E25" s="934">
        <v>0</v>
      </c>
      <c r="F25" s="941"/>
      <c r="G25" s="930">
        <v>0</v>
      </c>
    </row>
    <row r="26" spans="1:7">
      <c r="A26" s="928">
        <v>361</v>
      </c>
      <c r="B26" s="936" t="s">
        <v>354</v>
      </c>
      <c r="C26" s="930">
        <v>0</v>
      </c>
      <c r="D26" s="927"/>
      <c r="E26" s="934">
        <v>0</v>
      </c>
      <c r="F26" s="941"/>
      <c r="G26" s="930">
        <v>0</v>
      </c>
    </row>
    <row r="27" spans="1:7">
      <c r="A27" s="928">
        <v>362</v>
      </c>
      <c r="B27" s="936" t="s">
        <v>454</v>
      </c>
      <c r="C27" s="930">
        <v>0</v>
      </c>
      <c r="D27" s="927"/>
      <c r="E27" s="934">
        <v>0</v>
      </c>
      <c r="F27" s="941"/>
      <c r="G27" s="930">
        <v>0</v>
      </c>
    </row>
    <row r="28" spans="1:7">
      <c r="A28" s="928">
        <v>363</v>
      </c>
      <c r="B28" s="936" t="s">
        <v>455</v>
      </c>
      <c r="C28" s="930">
        <v>84708</v>
      </c>
      <c r="D28" s="927"/>
      <c r="E28" s="934">
        <v>84708</v>
      </c>
      <c r="F28" s="941">
        <v>84708</v>
      </c>
      <c r="G28" s="930">
        <v>0</v>
      </c>
    </row>
    <row r="29" spans="1:7">
      <c r="A29" s="927"/>
      <c r="B29" s="939" t="s">
        <v>456</v>
      </c>
      <c r="C29" s="927"/>
      <c r="D29" s="927"/>
      <c r="E29" s="934">
        <v>0</v>
      </c>
      <c r="F29" s="941"/>
      <c r="G29" s="930">
        <v>0</v>
      </c>
    </row>
    <row r="30" spans="1:7">
      <c r="A30" s="928">
        <v>370</v>
      </c>
      <c r="B30" s="936" t="s">
        <v>353</v>
      </c>
      <c r="C30" s="930">
        <v>0</v>
      </c>
      <c r="D30" s="927"/>
      <c r="E30" s="934">
        <v>0</v>
      </c>
      <c r="F30" s="941"/>
      <c r="G30" s="930">
        <v>0</v>
      </c>
    </row>
    <row r="31" spans="1:7">
      <c r="A31" s="928">
        <v>371</v>
      </c>
      <c r="B31" s="936" t="s">
        <v>354</v>
      </c>
      <c r="C31" s="930">
        <v>0</v>
      </c>
      <c r="D31" s="927"/>
      <c r="E31" s="934">
        <v>0</v>
      </c>
      <c r="F31" s="941"/>
      <c r="G31" s="930">
        <v>0</v>
      </c>
    </row>
    <row r="32" spans="1:7">
      <c r="A32" s="928">
        <v>372</v>
      </c>
      <c r="B32" s="936" t="s">
        <v>457</v>
      </c>
      <c r="C32" s="930">
        <v>69635</v>
      </c>
      <c r="D32" s="927"/>
      <c r="E32" s="934">
        <v>69635</v>
      </c>
      <c r="F32" s="941">
        <v>69635</v>
      </c>
      <c r="G32" s="930">
        <v>0</v>
      </c>
    </row>
    <row r="33" spans="1:7">
      <c r="A33" s="928">
        <v>373</v>
      </c>
      <c r="B33" s="936" t="s">
        <v>458</v>
      </c>
      <c r="C33" s="930">
        <v>5041</v>
      </c>
      <c r="D33" s="930">
        <v>3063.34</v>
      </c>
      <c r="E33" s="934">
        <v>8104.34</v>
      </c>
      <c r="F33" s="941">
        <v>3063</v>
      </c>
      <c r="G33" s="930">
        <v>5041.34</v>
      </c>
    </row>
    <row r="34" spans="1:7">
      <c r="A34" s="928">
        <v>373.1</v>
      </c>
      <c r="B34" s="937" t="s">
        <v>459</v>
      </c>
      <c r="C34" s="930">
        <v>0</v>
      </c>
      <c r="D34" s="927"/>
      <c r="E34" s="934">
        <v>0</v>
      </c>
      <c r="F34" s="941"/>
      <c r="G34" s="930">
        <v>0</v>
      </c>
    </row>
    <row r="35" spans="1:7">
      <c r="A35" s="928">
        <v>374</v>
      </c>
      <c r="B35" s="936" t="s">
        <v>460</v>
      </c>
      <c r="C35" s="930">
        <v>0</v>
      </c>
      <c r="D35" s="927"/>
      <c r="E35" s="934">
        <v>0</v>
      </c>
      <c r="F35" s="941"/>
      <c r="G35" s="930">
        <v>0</v>
      </c>
    </row>
    <row r="36" spans="1:7">
      <c r="A36" s="928">
        <v>375</v>
      </c>
      <c r="B36" s="936" t="s">
        <v>461</v>
      </c>
      <c r="C36" s="930">
        <v>0</v>
      </c>
      <c r="D36" s="927"/>
      <c r="E36" s="934">
        <v>0</v>
      </c>
      <c r="F36" s="941"/>
      <c r="G36" s="930">
        <v>0</v>
      </c>
    </row>
    <row r="37" spans="1:7">
      <c r="A37" s="928">
        <v>376</v>
      </c>
      <c r="B37" s="936" t="s">
        <v>1094</v>
      </c>
      <c r="C37" s="930">
        <v>0</v>
      </c>
      <c r="D37" s="927"/>
      <c r="E37" s="934">
        <v>0</v>
      </c>
      <c r="F37" s="941"/>
      <c r="G37" s="930">
        <v>0</v>
      </c>
    </row>
    <row r="38" spans="1:7">
      <c r="A38" s="927"/>
      <c r="B38" s="939" t="s">
        <v>462</v>
      </c>
      <c r="C38" s="927"/>
      <c r="D38" s="927"/>
      <c r="E38" s="934">
        <v>0</v>
      </c>
      <c r="F38" s="941"/>
      <c r="G38" s="930">
        <v>0</v>
      </c>
    </row>
    <row r="39" spans="1:7">
      <c r="A39" s="928">
        <v>389</v>
      </c>
      <c r="B39" s="936" t="s">
        <v>353</v>
      </c>
      <c r="C39" s="930">
        <v>0</v>
      </c>
      <c r="D39" s="927"/>
      <c r="E39" s="934">
        <v>0</v>
      </c>
      <c r="F39" s="941"/>
      <c r="G39" s="930">
        <v>0</v>
      </c>
    </row>
    <row r="40" spans="1:7">
      <c r="A40" s="928">
        <v>390</v>
      </c>
      <c r="B40" s="936" t="s">
        <v>354</v>
      </c>
      <c r="C40" s="930">
        <v>0</v>
      </c>
      <c r="D40" s="927"/>
      <c r="E40" s="934">
        <v>0</v>
      </c>
      <c r="F40" s="941"/>
      <c r="G40" s="930">
        <v>0</v>
      </c>
    </row>
    <row r="41" spans="1:7">
      <c r="A41" s="928">
        <v>391</v>
      </c>
      <c r="B41" s="936" t="s">
        <v>463</v>
      </c>
      <c r="C41" s="930">
        <v>1585</v>
      </c>
      <c r="D41" s="927"/>
      <c r="E41" s="934">
        <v>1585</v>
      </c>
      <c r="F41" s="941">
        <v>1585</v>
      </c>
      <c r="G41" s="930">
        <v>0</v>
      </c>
    </row>
    <row r="42" spans="1:7">
      <c r="A42" s="928">
        <v>391.1</v>
      </c>
      <c r="B42" s="938" t="s">
        <v>464</v>
      </c>
      <c r="C42" s="930">
        <v>0</v>
      </c>
      <c r="D42" s="927"/>
      <c r="E42" s="934">
        <v>0</v>
      </c>
      <c r="F42" s="941"/>
      <c r="G42" s="930">
        <v>0</v>
      </c>
    </row>
    <row r="43" spans="1:7">
      <c r="A43" s="928">
        <v>392</v>
      </c>
      <c r="B43" s="936" t="s">
        <v>465</v>
      </c>
      <c r="C43" s="930">
        <v>8569</v>
      </c>
      <c r="D43" s="927"/>
      <c r="E43" s="934">
        <v>8569</v>
      </c>
      <c r="F43" s="941">
        <v>8569</v>
      </c>
      <c r="G43" s="930">
        <v>0</v>
      </c>
    </row>
    <row r="44" spans="1:7">
      <c r="A44" s="928">
        <v>393</v>
      </c>
      <c r="B44" s="936" t="s">
        <v>1095</v>
      </c>
      <c r="C44" s="930">
        <v>2811</v>
      </c>
      <c r="D44" s="927"/>
      <c r="E44" s="934">
        <v>2811</v>
      </c>
      <c r="F44" s="941">
        <v>2811</v>
      </c>
      <c r="G44" s="930">
        <v>0</v>
      </c>
    </row>
    <row r="45" spans="1:7">
      <c r="A45" s="928">
        <v>394</v>
      </c>
      <c r="B45" s="936" t="s">
        <v>468</v>
      </c>
      <c r="C45" s="930">
        <v>0</v>
      </c>
      <c r="D45" s="927"/>
      <c r="E45" s="934">
        <v>0</v>
      </c>
      <c r="F45" s="941"/>
      <c r="G45" s="930">
        <v>0</v>
      </c>
    </row>
    <row r="46" spans="1:7">
      <c r="A46" s="928">
        <v>395</v>
      </c>
      <c r="B46" s="936" t="s">
        <v>469</v>
      </c>
      <c r="C46" s="930">
        <v>0</v>
      </c>
      <c r="D46" s="927"/>
      <c r="E46" s="934">
        <v>0</v>
      </c>
      <c r="F46" s="941"/>
      <c r="G46" s="930">
        <v>0</v>
      </c>
    </row>
    <row r="47" spans="1:7">
      <c r="A47" s="928">
        <v>396</v>
      </c>
      <c r="B47" s="936" t="s">
        <v>470</v>
      </c>
      <c r="C47" s="930">
        <v>0</v>
      </c>
      <c r="D47" s="927"/>
      <c r="E47" s="934">
        <v>0</v>
      </c>
      <c r="F47" s="941"/>
      <c r="G47" s="930">
        <v>0</v>
      </c>
    </row>
    <row r="48" spans="1:7">
      <c r="A48" s="928">
        <v>397</v>
      </c>
      <c r="B48" s="936" t="s">
        <v>471</v>
      </c>
      <c r="C48" s="930">
        <v>0</v>
      </c>
      <c r="D48" s="927"/>
      <c r="E48" s="934">
        <v>0</v>
      </c>
      <c r="F48" s="941"/>
      <c r="G48" s="930">
        <v>0</v>
      </c>
    </row>
    <row r="49" spans="1:7" ht="15.75" thickBot="1">
      <c r="A49" s="927"/>
      <c r="B49" s="940" t="s">
        <v>472</v>
      </c>
      <c r="C49" s="931">
        <v>211553</v>
      </c>
      <c r="D49" s="931">
        <v>3063.34</v>
      </c>
      <c r="E49" s="935">
        <v>214616.34</v>
      </c>
      <c r="F49" s="935">
        <v>209575</v>
      </c>
      <c r="G49" s="935">
        <v>5041.34</v>
      </c>
    </row>
    <row r="50" spans="1:7" ht="15.75" thickTop="1">
      <c r="A50" s="927"/>
      <c r="B50" s="927"/>
      <c r="C50" s="927"/>
      <c r="D50" s="927"/>
      <c r="E50" s="927"/>
      <c r="F50" s="927"/>
      <c r="G50" s="927"/>
    </row>
    <row r="56" spans="1:7" ht="17.25">
      <c r="A56" s="933" t="s">
        <v>1096</v>
      </c>
      <c r="B56" s="927"/>
      <c r="C56" s="927"/>
      <c r="D56" s="927"/>
      <c r="E56" s="927"/>
      <c r="F56" s="927"/>
      <c r="G56" s="927"/>
    </row>
    <row r="57" spans="1:7" ht="17.25">
      <c r="A57" s="933" t="s">
        <v>1079</v>
      </c>
      <c r="B57" s="927"/>
      <c r="C57" s="927"/>
      <c r="D57" s="927"/>
      <c r="E57" s="927"/>
      <c r="F57" s="927"/>
      <c r="G57" s="927"/>
    </row>
  </sheetData>
  <mergeCells count="1">
    <mergeCell ref="A5:E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57"/>
  <sheetViews>
    <sheetView workbookViewId="0">
      <selection activeCell="A2" sqref="A2:F3"/>
    </sheetView>
  </sheetViews>
  <sheetFormatPr defaultRowHeight="15"/>
  <cols>
    <col min="2" max="2" width="26.7109375" customWidth="1"/>
  </cols>
  <sheetData>
    <row r="5" spans="1:10">
      <c r="A5" s="1139" t="s">
        <v>1097</v>
      </c>
      <c r="B5" s="1139"/>
      <c r="C5" s="1141"/>
      <c r="D5" s="1141"/>
      <c r="E5" s="1142"/>
      <c r="F5" s="1141"/>
      <c r="G5" s="1141"/>
      <c r="H5" s="1141"/>
      <c r="I5" s="943"/>
      <c r="J5" s="943"/>
    </row>
    <row r="7" spans="1:10">
      <c r="A7" s="946"/>
      <c r="B7" s="946"/>
      <c r="C7" s="947" t="s">
        <v>1064</v>
      </c>
      <c r="D7" s="947" t="s">
        <v>1081</v>
      </c>
      <c r="E7" s="952" t="s">
        <v>1082</v>
      </c>
      <c r="F7" s="947" t="s">
        <v>1083</v>
      </c>
      <c r="G7" s="947" t="s">
        <v>1084</v>
      </c>
      <c r="H7" s="947" t="s">
        <v>1085</v>
      </c>
      <c r="I7" s="961" t="s">
        <v>1066</v>
      </c>
      <c r="J7" s="947" t="s">
        <v>1067</v>
      </c>
    </row>
    <row r="8" spans="1:10" ht="17.25">
      <c r="A8" s="946" t="s">
        <v>1068</v>
      </c>
      <c r="B8" s="946" t="s">
        <v>1069</v>
      </c>
      <c r="C8" s="947" t="s">
        <v>1086</v>
      </c>
      <c r="D8" s="950" t="s">
        <v>1086</v>
      </c>
      <c r="E8" s="952" t="s">
        <v>1087</v>
      </c>
      <c r="F8" s="947" t="s">
        <v>1071</v>
      </c>
      <c r="G8" s="950" t="s">
        <v>1088</v>
      </c>
      <c r="H8" s="947" t="s">
        <v>1072</v>
      </c>
      <c r="I8" s="962">
        <v>2011</v>
      </c>
      <c r="J8" s="943"/>
    </row>
    <row r="9" spans="1:10">
      <c r="A9" s="945"/>
      <c r="B9" s="959" t="s">
        <v>347</v>
      </c>
      <c r="C9" s="943"/>
      <c r="D9" s="943"/>
      <c r="E9" s="943"/>
      <c r="F9" s="943"/>
      <c r="G9" s="943"/>
      <c r="H9" s="954"/>
      <c r="I9" s="943"/>
      <c r="J9" s="943"/>
    </row>
    <row r="10" spans="1:10">
      <c r="A10" s="945">
        <v>301</v>
      </c>
      <c r="B10" s="956" t="s">
        <v>349</v>
      </c>
      <c r="C10" s="948">
        <v>3000</v>
      </c>
      <c r="D10" s="948">
        <v>3025</v>
      </c>
      <c r="E10" s="953">
        <v>0</v>
      </c>
      <c r="F10" s="948">
        <v>0</v>
      </c>
      <c r="G10" s="943"/>
      <c r="H10" s="954">
        <v>3025</v>
      </c>
      <c r="I10" s="943">
        <v>3025</v>
      </c>
      <c r="J10" s="948">
        <v>0</v>
      </c>
    </row>
    <row r="11" spans="1:10">
      <c r="A11" s="945">
        <v>302</v>
      </c>
      <c r="B11" s="956" t="s">
        <v>350</v>
      </c>
      <c r="C11" s="948">
        <v>0</v>
      </c>
      <c r="D11" s="948">
        <v>0</v>
      </c>
      <c r="E11" s="953">
        <v>0</v>
      </c>
      <c r="F11" s="948">
        <v>0</v>
      </c>
      <c r="G11" s="943"/>
      <c r="H11" s="954">
        <v>0</v>
      </c>
      <c r="I11" s="943"/>
      <c r="J11" s="948">
        <v>0</v>
      </c>
    </row>
    <row r="12" spans="1:10">
      <c r="A12" s="945">
        <v>303</v>
      </c>
      <c r="B12" s="956" t="s">
        <v>351</v>
      </c>
      <c r="C12" s="948">
        <v>0</v>
      </c>
      <c r="D12" s="948">
        <v>0</v>
      </c>
      <c r="E12" s="953">
        <v>0</v>
      </c>
      <c r="F12" s="948">
        <v>0</v>
      </c>
      <c r="G12" s="943"/>
      <c r="H12" s="954">
        <v>0</v>
      </c>
      <c r="I12" s="943"/>
      <c r="J12" s="948">
        <v>0</v>
      </c>
    </row>
    <row r="13" spans="1:10">
      <c r="A13" s="945"/>
      <c r="B13" s="959" t="s">
        <v>447</v>
      </c>
      <c r="C13" s="943"/>
      <c r="D13" s="943"/>
      <c r="E13" s="943"/>
      <c r="F13" s="948">
        <v>0</v>
      </c>
      <c r="G13" s="943"/>
      <c r="H13" s="954">
        <v>0</v>
      </c>
      <c r="I13" s="943"/>
      <c r="J13" s="948">
        <v>0</v>
      </c>
    </row>
    <row r="14" spans="1:10">
      <c r="A14" s="945">
        <v>310</v>
      </c>
      <c r="B14" s="956" t="s">
        <v>353</v>
      </c>
      <c r="C14" s="948">
        <v>0</v>
      </c>
      <c r="D14" s="948">
        <v>0</v>
      </c>
      <c r="E14" s="953">
        <v>0</v>
      </c>
      <c r="F14" s="948">
        <v>0</v>
      </c>
      <c r="G14" s="943"/>
      <c r="H14" s="954">
        <v>0</v>
      </c>
      <c r="I14" s="943"/>
      <c r="J14" s="948">
        <v>0</v>
      </c>
    </row>
    <row r="15" spans="1:10">
      <c r="A15" s="945">
        <v>311</v>
      </c>
      <c r="B15" s="956" t="s">
        <v>354</v>
      </c>
      <c r="C15" s="948">
        <v>0</v>
      </c>
      <c r="D15" s="948">
        <v>0</v>
      </c>
      <c r="E15" s="953">
        <v>0</v>
      </c>
      <c r="F15" s="948">
        <v>0</v>
      </c>
      <c r="G15" s="943"/>
      <c r="H15" s="954">
        <v>0</v>
      </c>
      <c r="I15" s="943"/>
      <c r="J15" s="948">
        <v>0</v>
      </c>
    </row>
    <row r="16" spans="1:10">
      <c r="A16" s="945"/>
      <c r="B16" s="959" t="s">
        <v>449</v>
      </c>
      <c r="C16" s="943"/>
      <c r="D16" s="943"/>
      <c r="E16" s="943"/>
      <c r="F16" s="948">
        <v>0</v>
      </c>
      <c r="G16" s="943"/>
      <c r="H16" s="954">
        <v>0</v>
      </c>
      <c r="I16" s="943"/>
      <c r="J16" s="948">
        <v>0</v>
      </c>
    </row>
    <row r="17" spans="1:10">
      <c r="A17" s="945">
        <v>350</v>
      </c>
      <c r="B17" s="956" t="s">
        <v>353</v>
      </c>
      <c r="C17" s="948">
        <v>8800</v>
      </c>
      <c r="D17" s="948">
        <v>0</v>
      </c>
      <c r="E17" s="953">
        <v>0</v>
      </c>
      <c r="F17" s="948">
        <v>0</v>
      </c>
      <c r="G17" s="943"/>
      <c r="H17" s="954">
        <v>0</v>
      </c>
      <c r="I17" s="943"/>
      <c r="J17" s="948">
        <v>0</v>
      </c>
    </row>
    <row r="18" spans="1:10">
      <c r="A18" s="945">
        <v>351</v>
      </c>
      <c r="B18" s="956" t="s">
        <v>354</v>
      </c>
      <c r="C18" s="948">
        <v>0</v>
      </c>
      <c r="D18" s="948">
        <v>0</v>
      </c>
      <c r="E18" s="953">
        <v>0</v>
      </c>
      <c r="F18" s="948">
        <v>0</v>
      </c>
      <c r="G18" s="943"/>
      <c r="H18" s="954">
        <v>0</v>
      </c>
      <c r="I18" s="943"/>
      <c r="J18" s="948">
        <v>0</v>
      </c>
    </row>
    <row r="19" spans="1:10">
      <c r="A19" s="945">
        <v>352.1</v>
      </c>
      <c r="B19" s="956" t="s">
        <v>450</v>
      </c>
      <c r="C19" s="948">
        <v>0</v>
      </c>
      <c r="D19" s="948">
        <v>0</v>
      </c>
      <c r="E19" s="953">
        <v>0</v>
      </c>
      <c r="F19" s="948">
        <v>0</v>
      </c>
      <c r="G19" s="943"/>
      <c r="H19" s="954">
        <v>0</v>
      </c>
      <c r="I19" s="943"/>
      <c r="J19" s="948">
        <v>0</v>
      </c>
    </row>
    <row r="20" spans="1:10">
      <c r="A20" s="945">
        <v>352.2</v>
      </c>
      <c r="B20" s="956" t="s">
        <v>451</v>
      </c>
      <c r="C20" s="948">
        <v>24004</v>
      </c>
      <c r="D20" s="948">
        <v>2259</v>
      </c>
      <c r="E20" s="953">
        <v>0.02</v>
      </c>
      <c r="F20" s="948">
        <v>200.03333333333333</v>
      </c>
      <c r="G20" s="943"/>
      <c r="H20" s="954">
        <v>2459.0333333333333</v>
      </c>
      <c r="I20" s="943">
        <v>2259</v>
      </c>
      <c r="J20" s="948">
        <v>200.0333333333333</v>
      </c>
    </row>
    <row r="21" spans="1:10">
      <c r="A21" s="945">
        <v>353</v>
      </c>
      <c r="B21" s="956" t="s">
        <v>1093</v>
      </c>
      <c r="C21" s="948">
        <v>3400</v>
      </c>
      <c r="D21" s="948">
        <v>0</v>
      </c>
      <c r="E21" s="953">
        <v>0.02</v>
      </c>
      <c r="F21" s="948">
        <v>28.333333333333332</v>
      </c>
      <c r="G21" s="943"/>
      <c r="H21" s="954">
        <v>28.333333333333332</v>
      </c>
      <c r="I21" s="943"/>
      <c r="J21" s="948">
        <v>28.333333333333332</v>
      </c>
    </row>
    <row r="22" spans="1:10">
      <c r="A22" s="945">
        <v>354</v>
      </c>
      <c r="B22" s="956" t="s">
        <v>452</v>
      </c>
      <c r="C22" s="948">
        <v>0</v>
      </c>
      <c r="D22" s="948">
        <v>0</v>
      </c>
      <c r="E22" s="953">
        <v>0</v>
      </c>
      <c r="F22" s="948">
        <v>0</v>
      </c>
      <c r="G22" s="943"/>
      <c r="H22" s="954">
        <v>0</v>
      </c>
      <c r="I22" s="943"/>
      <c r="J22" s="948">
        <v>0</v>
      </c>
    </row>
    <row r="23" spans="1:10">
      <c r="A23" s="945">
        <v>355</v>
      </c>
      <c r="B23" s="956" t="s">
        <v>453</v>
      </c>
      <c r="C23" s="948">
        <v>0</v>
      </c>
      <c r="D23" s="948">
        <v>0</v>
      </c>
      <c r="E23" s="953">
        <v>0</v>
      </c>
      <c r="F23" s="948">
        <v>0</v>
      </c>
      <c r="G23" s="943"/>
      <c r="H23" s="954">
        <v>0</v>
      </c>
      <c r="I23" s="943"/>
      <c r="J23" s="948">
        <v>0</v>
      </c>
    </row>
    <row r="24" spans="1:10">
      <c r="A24" s="945"/>
      <c r="B24" s="959" t="s">
        <v>360</v>
      </c>
      <c r="C24" s="943"/>
      <c r="D24" s="943"/>
      <c r="E24" s="943"/>
      <c r="F24" s="948">
        <v>0</v>
      </c>
      <c r="G24" s="943"/>
      <c r="H24" s="954">
        <v>0</v>
      </c>
      <c r="I24" s="943"/>
      <c r="J24" s="948">
        <v>0</v>
      </c>
    </row>
    <row r="25" spans="1:10">
      <c r="A25" s="945">
        <v>360</v>
      </c>
      <c r="B25" s="956" t="s">
        <v>353</v>
      </c>
      <c r="C25" s="948">
        <v>0</v>
      </c>
      <c r="D25" s="948">
        <v>0</v>
      </c>
      <c r="E25" s="953">
        <v>0</v>
      </c>
      <c r="F25" s="948">
        <v>0</v>
      </c>
      <c r="G25" s="943"/>
      <c r="H25" s="954">
        <v>0</v>
      </c>
      <c r="I25" s="943"/>
      <c r="J25" s="948">
        <v>0</v>
      </c>
    </row>
    <row r="26" spans="1:10">
      <c r="A26" s="945">
        <v>361</v>
      </c>
      <c r="B26" s="956" t="s">
        <v>354</v>
      </c>
      <c r="C26" s="948">
        <v>0</v>
      </c>
      <c r="D26" s="948">
        <v>0</v>
      </c>
      <c r="E26" s="953">
        <v>0</v>
      </c>
      <c r="F26" s="948">
        <v>0</v>
      </c>
      <c r="G26" s="943"/>
      <c r="H26" s="954">
        <v>0</v>
      </c>
      <c r="I26" s="943"/>
      <c r="J26" s="948">
        <v>0</v>
      </c>
    </row>
    <row r="27" spans="1:10">
      <c r="A27" s="945">
        <v>362</v>
      </c>
      <c r="B27" s="956" t="s">
        <v>454</v>
      </c>
      <c r="C27" s="948">
        <v>0</v>
      </c>
      <c r="D27" s="948">
        <v>0</v>
      </c>
      <c r="E27" s="953">
        <v>0</v>
      </c>
      <c r="F27" s="948">
        <v>0</v>
      </c>
      <c r="G27" s="943"/>
      <c r="H27" s="954">
        <v>0</v>
      </c>
      <c r="I27" s="943"/>
      <c r="J27" s="948">
        <v>0</v>
      </c>
    </row>
    <row r="28" spans="1:10">
      <c r="A28" s="945">
        <v>363</v>
      </c>
      <c r="B28" s="956" t="s">
        <v>455</v>
      </c>
      <c r="C28" s="948">
        <v>84708</v>
      </c>
      <c r="D28" s="948">
        <v>89419</v>
      </c>
      <c r="E28" s="953">
        <v>0.03</v>
      </c>
      <c r="F28" s="948">
        <v>1058.8499999999999</v>
      </c>
      <c r="G28" s="943"/>
      <c r="H28" s="954">
        <v>90477.85</v>
      </c>
      <c r="I28" s="943">
        <v>89419</v>
      </c>
      <c r="J28" s="948">
        <v>1058.8500000000058</v>
      </c>
    </row>
    <row r="29" spans="1:10">
      <c r="A29" s="945"/>
      <c r="B29" s="959" t="s">
        <v>456</v>
      </c>
      <c r="C29" s="943"/>
      <c r="D29" s="943"/>
      <c r="E29" s="943"/>
      <c r="F29" s="948">
        <v>0</v>
      </c>
      <c r="G29" s="943"/>
      <c r="H29" s="954">
        <v>0</v>
      </c>
      <c r="I29" s="943"/>
      <c r="J29" s="948">
        <v>0</v>
      </c>
    </row>
    <row r="30" spans="1:10">
      <c r="A30" s="945">
        <v>370</v>
      </c>
      <c r="B30" s="956" t="s">
        <v>353</v>
      </c>
      <c r="C30" s="948">
        <v>0</v>
      </c>
      <c r="D30" s="948">
        <v>0</v>
      </c>
      <c r="E30" s="953">
        <v>0</v>
      </c>
      <c r="F30" s="948">
        <v>0</v>
      </c>
      <c r="G30" s="943"/>
      <c r="H30" s="954">
        <v>0</v>
      </c>
      <c r="I30" s="943"/>
      <c r="J30" s="948">
        <v>0</v>
      </c>
    </row>
    <row r="31" spans="1:10">
      <c r="A31" s="945">
        <v>371</v>
      </c>
      <c r="B31" s="956" t="s">
        <v>354</v>
      </c>
      <c r="C31" s="948">
        <v>0</v>
      </c>
      <c r="D31" s="948">
        <v>0</v>
      </c>
      <c r="E31" s="953">
        <v>0</v>
      </c>
      <c r="F31" s="948">
        <v>0</v>
      </c>
      <c r="G31" s="943"/>
      <c r="H31" s="954">
        <v>0</v>
      </c>
      <c r="I31" s="943"/>
      <c r="J31" s="948">
        <v>0</v>
      </c>
    </row>
    <row r="32" spans="1:10">
      <c r="A32" s="945">
        <v>372</v>
      </c>
      <c r="B32" s="956" t="s">
        <v>457</v>
      </c>
      <c r="C32" s="948">
        <v>69635</v>
      </c>
      <c r="D32" s="948">
        <v>29816</v>
      </c>
      <c r="E32" s="953">
        <v>0.04</v>
      </c>
      <c r="F32" s="948">
        <v>1160.5833333333333</v>
      </c>
      <c r="G32" s="943"/>
      <c r="H32" s="954">
        <v>30976.583333333332</v>
      </c>
      <c r="I32" s="943">
        <v>29816</v>
      </c>
      <c r="J32" s="948">
        <v>1160.5833333333321</v>
      </c>
    </row>
    <row r="33" spans="1:10">
      <c r="A33" s="945">
        <v>373</v>
      </c>
      <c r="B33" s="956" t="s">
        <v>458</v>
      </c>
      <c r="C33" s="948">
        <v>5041</v>
      </c>
      <c r="D33" s="948">
        <v>-3407</v>
      </c>
      <c r="E33" s="953">
        <v>4.4999999999999998E-2</v>
      </c>
      <c r="F33" s="948">
        <v>94.518749999999997</v>
      </c>
      <c r="G33" s="948">
        <v>24.506719999999998</v>
      </c>
      <c r="H33" s="954">
        <v>-3287.97453</v>
      </c>
      <c r="I33" s="943">
        <v>-3407</v>
      </c>
      <c r="J33" s="948">
        <v>119.02547000000004</v>
      </c>
    </row>
    <row r="34" spans="1:10">
      <c r="A34" s="945">
        <v>373.1</v>
      </c>
      <c r="B34" s="957" t="s">
        <v>459</v>
      </c>
      <c r="C34" s="948">
        <v>0</v>
      </c>
      <c r="D34" s="948">
        <v>0</v>
      </c>
      <c r="E34" s="953">
        <v>0</v>
      </c>
      <c r="F34" s="948">
        <v>0</v>
      </c>
      <c r="G34" s="943"/>
      <c r="H34" s="954">
        <v>0</v>
      </c>
      <c r="I34" s="943"/>
      <c r="J34" s="948">
        <v>0</v>
      </c>
    </row>
    <row r="35" spans="1:10">
      <c r="A35" s="945">
        <v>374</v>
      </c>
      <c r="B35" s="956" t="s">
        <v>460</v>
      </c>
      <c r="C35" s="948">
        <v>0</v>
      </c>
      <c r="D35" s="948">
        <v>0</v>
      </c>
      <c r="E35" s="953">
        <v>0</v>
      </c>
      <c r="F35" s="948">
        <v>0</v>
      </c>
      <c r="G35" s="943"/>
      <c r="H35" s="954">
        <v>0</v>
      </c>
      <c r="I35" s="943"/>
      <c r="J35" s="948">
        <v>0</v>
      </c>
    </row>
    <row r="36" spans="1:10">
      <c r="A36" s="945">
        <v>375</v>
      </c>
      <c r="B36" s="956" t="s">
        <v>461</v>
      </c>
      <c r="C36" s="948">
        <v>0</v>
      </c>
      <c r="D36" s="948">
        <v>0</v>
      </c>
      <c r="E36" s="953">
        <v>0</v>
      </c>
      <c r="F36" s="948">
        <v>0</v>
      </c>
      <c r="G36" s="943"/>
      <c r="H36" s="954">
        <v>0</v>
      </c>
      <c r="I36" s="943"/>
      <c r="J36" s="948">
        <v>0</v>
      </c>
    </row>
    <row r="37" spans="1:10">
      <c r="A37" s="945">
        <v>376</v>
      </c>
      <c r="B37" s="956" t="s">
        <v>1094</v>
      </c>
      <c r="C37" s="948">
        <v>0</v>
      </c>
      <c r="D37" s="948">
        <v>0</v>
      </c>
      <c r="E37" s="953">
        <v>0</v>
      </c>
      <c r="F37" s="948">
        <v>0</v>
      </c>
      <c r="G37" s="943"/>
      <c r="H37" s="954">
        <v>0</v>
      </c>
      <c r="I37" s="943"/>
      <c r="J37" s="948">
        <v>0</v>
      </c>
    </row>
    <row r="38" spans="1:10">
      <c r="A38" s="945"/>
      <c r="B38" s="959" t="s">
        <v>462</v>
      </c>
      <c r="C38" s="943"/>
      <c r="D38" s="943"/>
      <c r="E38" s="943"/>
      <c r="F38" s="948">
        <v>0</v>
      </c>
      <c r="G38" s="943"/>
      <c r="H38" s="954">
        <v>0</v>
      </c>
      <c r="I38" s="943"/>
      <c r="J38" s="948">
        <v>0</v>
      </c>
    </row>
    <row r="39" spans="1:10">
      <c r="A39" s="945">
        <v>389</v>
      </c>
      <c r="B39" s="956" t="s">
        <v>353</v>
      </c>
      <c r="C39" s="948">
        <v>0</v>
      </c>
      <c r="D39" s="948">
        <v>0</v>
      </c>
      <c r="E39" s="953">
        <v>0</v>
      </c>
      <c r="F39" s="948">
        <v>0</v>
      </c>
      <c r="G39" s="943"/>
      <c r="H39" s="954">
        <v>0</v>
      </c>
      <c r="I39" s="943"/>
      <c r="J39" s="948">
        <v>0</v>
      </c>
    </row>
    <row r="40" spans="1:10">
      <c r="A40" s="945">
        <v>390</v>
      </c>
      <c r="B40" s="956" t="s">
        <v>354</v>
      </c>
      <c r="C40" s="948">
        <v>0</v>
      </c>
      <c r="D40" s="948">
        <v>0</v>
      </c>
      <c r="E40" s="953">
        <v>0</v>
      </c>
      <c r="F40" s="948">
        <v>0</v>
      </c>
      <c r="G40" s="943"/>
      <c r="H40" s="954">
        <v>0</v>
      </c>
      <c r="I40" s="943"/>
      <c r="J40" s="948">
        <v>0</v>
      </c>
    </row>
    <row r="41" spans="1:10">
      <c r="A41" s="945">
        <v>391</v>
      </c>
      <c r="B41" s="956" t="s">
        <v>463</v>
      </c>
      <c r="C41" s="948">
        <v>1585</v>
      </c>
      <c r="D41" s="948">
        <v>1876</v>
      </c>
      <c r="E41" s="953">
        <v>0.01</v>
      </c>
      <c r="F41" s="948">
        <v>6.604166666666667</v>
      </c>
      <c r="G41" s="943"/>
      <c r="H41" s="954">
        <v>1882.6041666666667</v>
      </c>
      <c r="I41" s="943">
        <v>1876</v>
      </c>
      <c r="J41" s="948">
        <v>6.6041666666667425</v>
      </c>
    </row>
    <row r="42" spans="1:10">
      <c r="A42" s="945">
        <v>391.1</v>
      </c>
      <c r="B42" s="958" t="s">
        <v>464</v>
      </c>
      <c r="C42" s="948">
        <v>0</v>
      </c>
      <c r="D42" s="948">
        <v>0</v>
      </c>
      <c r="E42" s="953">
        <v>0</v>
      </c>
      <c r="F42" s="948">
        <v>0</v>
      </c>
      <c r="G42" s="943"/>
      <c r="H42" s="954">
        <v>0</v>
      </c>
      <c r="I42" s="943"/>
      <c r="J42" s="948">
        <v>0</v>
      </c>
    </row>
    <row r="43" spans="1:10">
      <c r="A43" s="945">
        <v>392</v>
      </c>
      <c r="B43" s="956" t="s">
        <v>465</v>
      </c>
      <c r="C43" s="948">
        <v>8569</v>
      </c>
      <c r="D43" s="948">
        <v>8170</v>
      </c>
      <c r="E43" s="953">
        <v>7.0000000000000007E-2</v>
      </c>
      <c r="F43" s="948">
        <v>249.92916666666667</v>
      </c>
      <c r="G43" s="943"/>
      <c r="H43" s="954">
        <v>8419.9291666666668</v>
      </c>
      <c r="I43" s="943">
        <v>8170</v>
      </c>
      <c r="J43" s="948">
        <v>249.92916666666679</v>
      </c>
    </row>
    <row r="44" spans="1:10">
      <c r="A44" s="945">
        <v>393</v>
      </c>
      <c r="B44" s="956" t="s">
        <v>1095</v>
      </c>
      <c r="C44" s="948">
        <v>2811</v>
      </c>
      <c r="D44" s="948">
        <v>2453</v>
      </c>
      <c r="E44" s="953">
        <v>0.05</v>
      </c>
      <c r="F44" s="948">
        <v>58.5625</v>
      </c>
      <c r="G44" s="943"/>
      <c r="H44" s="954">
        <v>2511.5625</v>
      </c>
      <c r="I44" s="943">
        <v>2453</v>
      </c>
      <c r="J44" s="948">
        <v>58.5625</v>
      </c>
    </row>
    <row r="45" spans="1:10">
      <c r="A45" s="945">
        <v>394</v>
      </c>
      <c r="B45" s="956" t="s">
        <v>468</v>
      </c>
      <c r="C45" s="948">
        <v>0</v>
      </c>
      <c r="D45" s="948">
        <v>0</v>
      </c>
      <c r="E45" s="953">
        <v>0</v>
      </c>
      <c r="F45" s="948">
        <v>0</v>
      </c>
      <c r="G45" s="943"/>
      <c r="H45" s="954">
        <v>0</v>
      </c>
      <c r="I45" s="943"/>
      <c r="J45" s="948">
        <v>0</v>
      </c>
    </row>
    <row r="46" spans="1:10">
      <c r="A46" s="945">
        <v>395</v>
      </c>
      <c r="B46" s="956" t="s">
        <v>469</v>
      </c>
      <c r="C46" s="948">
        <v>0</v>
      </c>
      <c r="D46" s="948">
        <v>0</v>
      </c>
      <c r="E46" s="953">
        <v>0</v>
      </c>
      <c r="F46" s="948">
        <v>0</v>
      </c>
      <c r="G46" s="943"/>
      <c r="H46" s="954">
        <v>0</v>
      </c>
      <c r="I46" s="943"/>
      <c r="J46" s="948">
        <v>0</v>
      </c>
    </row>
    <row r="47" spans="1:10">
      <c r="A47" s="945">
        <v>396</v>
      </c>
      <c r="B47" s="956" t="s">
        <v>470</v>
      </c>
      <c r="C47" s="948">
        <v>0</v>
      </c>
      <c r="D47" s="948">
        <v>0</v>
      </c>
      <c r="E47" s="953">
        <v>0</v>
      </c>
      <c r="F47" s="948">
        <v>0</v>
      </c>
      <c r="G47" s="943"/>
      <c r="H47" s="954">
        <v>0</v>
      </c>
      <c r="I47" s="943"/>
      <c r="J47" s="948">
        <v>0</v>
      </c>
    </row>
    <row r="48" spans="1:10">
      <c r="A48" s="945">
        <v>397</v>
      </c>
      <c r="B48" s="956" t="s">
        <v>471</v>
      </c>
      <c r="C48" s="948">
        <v>0</v>
      </c>
      <c r="D48" s="948">
        <v>0</v>
      </c>
      <c r="E48" s="953">
        <v>0</v>
      </c>
      <c r="F48" s="948">
        <v>0</v>
      </c>
      <c r="G48" s="943"/>
      <c r="H48" s="954">
        <v>0</v>
      </c>
      <c r="I48" s="943"/>
      <c r="J48" s="948">
        <v>0</v>
      </c>
    </row>
    <row r="49" spans="1:10" ht="15.75" thickBot="1">
      <c r="A49" s="945"/>
      <c r="B49" s="960" t="s">
        <v>472</v>
      </c>
      <c r="C49" s="949">
        <v>211553</v>
      </c>
      <c r="D49" s="949">
        <v>133611</v>
      </c>
      <c r="E49" s="943"/>
      <c r="F49" s="949">
        <v>2857.4145833333337</v>
      </c>
      <c r="G49" s="949">
        <v>24.506719999999998</v>
      </c>
      <c r="H49" s="955">
        <v>136492.92130333334</v>
      </c>
      <c r="I49" s="955">
        <v>133611</v>
      </c>
      <c r="J49" s="955">
        <v>2881.9213033333381</v>
      </c>
    </row>
    <row r="50" spans="1:10" ht="15.75" thickTop="1">
      <c r="A50" s="943"/>
      <c r="B50" s="943"/>
      <c r="C50" s="943"/>
      <c r="D50" s="943"/>
      <c r="E50" s="943"/>
      <c r="F50" s="943"/>
      <c r="G50" s="943"/>
      <c r="H50" s="943"/>
      <c r="I50" s="943"/>
      <c r="J50" s="943"/>
    </row>
    <row r="56" spans="1:10" ht="17.25">
      <c r="A56" s="951" t="s">
        <v>1096</v>
      </c>
      <c r="B56" s="943"/>
      <c r="C56" s="943"/>
      <c r="D56" s="943"/>
      <c r="E56" s="943"/>
      <c r="F56" s="943"/>
      <c r="G56" s="943"/>
      <c r="H56" s="943"/>
      <c r="I56" s="943"/>
      <c r="J56" s="943"/>
    </row>
    <row r="57" spans="1:10" ht="17.25">
      <c r="A57" s="951" t="s">
        <v>1079</v>
      </c>
      <c r="B57" s="943"/>
      <c r="C57" s="943"/>
      <c r="D57" s="943"/>
      <c r="E57" s="943"/>
      <c r="F57" s="943"/>
      <c r="G57" s="943"/>
      <c r="H57" s="943"/>
      <c r="I57" s="943"/>
      <c r="J57" s="943"/>
    </row>
  </sheetData>
  <mergeCells count="1">
    <mergeCell ref="A5:H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1"/>
  <sheetViews>
    <sheetView showGridLines="0" zoomScaleNormal="100" zoomScaleSheetLayoutView="100" workbookViewId="0"/>
  </sheetViews>
  <sheetFormatPr defaultRowHeight="12.75"/>
  <cols>
    <col min="1" max="1" width="3.5703125" style="67" bestFit="1" customWidth="1"/>
    <col min="2" max="2" width="26.28515625" style="1" customWidth="1"/>
    <col min="3" max="3" width="5.42578125" style="1" customWidth="1"/>
    <col min="4" max="4" width="12" style="1" customWidth="1"/>
    <col min="5" max="5" width="3.85546875" style="1" customWidth="1"/>
    <col min="6" max="6" width="2.42578125" style="1" bestFit="1" customWidth="1"/>
    <col min="7" max="7" width="20" style="1" customWidth="1"/>
    <col min="8" max="8" width="3.42578125" style="1" customWidth="1"/>
    <col min="9" max="9" width="3.140625" style="1" customWidth="1"/>
    <col min="10" max="10" width="16.140625" style="1" customWidth="1"/>
    <col min="11" max="11" width="2.42578125" style="1" customWidth="1"/>
    <col min="12" max="12" width="5.42578125" style="1" customWidth="1"/>
    <col min="13" max="16384" width="9.140625" style="1"/>
  </cols>
  <sheetData>
    <row r="1" spans="1:12" ht="12.75" customHeight="1">
      <c r="A1" s="67">
        <v>1</v>
      </c>
      <c r="B1" s="1148" t="s">
        <v>149</v>
      </c>
      <c r="C1" s="1148"/>
      <c r="D1" s="1148"/>
      <c r="E1" s="1148"/>
      <c r="F1" s="1148"/>
      <c r="G1" s="1148"/>
      <c r="H1" s="1148"/>
      <c r="I1" s="1148"/>
      <c r="J1" s="52">
        <f>IF(Cover!D13&gt;0, Cover!D13, "")</f>
        <v>2011</v>
      </c>
      <c r="K1" s="53"/>
    </row>
    <row r="2" spans="1:12" ht="18" customHeight="1">
      <c r="A2" s="67">
        <v>2</v>
      </c>
      <c r="B2" s="69" t="s">
        <v>150</v>
      </c>
      <c r="C2" s="1149" t="str">
        <f>IF(Cover!A1&gt;0, Cover!A1, "")</f>
        <v>Algonquin Water Resources of Missouri, LLC dba Liberty Utilities</v>
      </c>
      <c r="D2" s="1149"/>
      <c r="E2" s="1149"/>
      <c r="F2" s="1149"/>
      <c r="G2" s="1149"/>
      <c r="H2" s="1149"/>
      <c r="I2" s="1149"/>
      <c r="J2" s="1149"/>
      <c r="K2" s="54"/>
    </row>
    <row r="3" spans="1:12" ht="8.1" customHeight="1">
      <c r="B3" s="68"/>
      <c r="C3" s="55"/>
      <c r="D3" s="55"/>
      <c r="E3" s="55"/>
      <c r="F3" s="55"/>
      <c r="G3" s="55"/>
      <c r="H3" s="55"/>
      <c r="I3" s="55"/>
      <c r="J3" s="55"/>
      <c r="K3" s="55"/>
    </row>
    <row r="4" spans="1:12">
      <c r="A4" s="117"/>
      <c r="B4" s="69" t="s">
        <v>151</v>
      </c>
      <c r="C4" s="1150"/>
      <c r="D4" s="1150"/>
      <c r="E4" s="1150"/>
      <c r="F4" s="1150"/>
      <c r="G4" s="1150"/>
      <c r="H4" s="1150"/>
      <c r="I4" s="1150"/>
      <c r="J4" s="1150"/>
      <c r="K4" s="55"/>
    </row>
    <row r="5" spans="1:12">
      <c r="A5" s="117"/>
      <c r="B5" s="21" t="s">
        <v>152</v>
      </c>
      <c r="C5" s="56"/>
      <c r="D5" s="56"/>
      <c r="E5" s="56"/>
      <c r="F5" s="56"/>
      <c r="G5" s="56"/>
      <c r="H5" s="56"/>
      <c r="I5" s="56"/>
      <c r="J5" s="56"/>
      <c r="K5" s="57"/>
    </row>
    <row r="6" spans="1:12">
      <c r="A6" s="117">
        <v>3</v>
      </c>
      <c r="B6" s="70" t="s">
        <v>153</v>
      </c>
      <c r="C6" s="1150" t="s">
        <v>827</v>
      </c>
      <c r="D6" s="1150"/>
      <c r="E6" s="1150"/>
      <c r="F6" s="1150"/>
      <c r="G6" s="1150"/>
      <c r="H6" s="1150"/>
      <c r="I6" s="1150"/>
      <c r="J6" s="1150"/>
      <c r="K6" s="61"/>
    </row>
    <row r="7" spans="1:12" ht="8.1" customHeight="1">
      <c r="A7" s="117"/>
      <c r="B7" s="21"/>
      <c r="C7" s="56"/>
      <c r="D7" s="56"/>
      <c r="E7" s="56"/>
      <c r="F7" s="56"/>
      <c r="G7" s="56"/>
      <c r="H7" s="56"/>
      <c r="I7" s="56"/>
      <c r="J7" s="56"/>
      <c r="K7" s="57"/>
      <c r="L7" s="21"/>
    </row>
    <row r="8" spans="1:12">
      <c r="A8" s="117">
        <v>4</v>
      </c>
      <c r="B8" s="69" t="s">
        <v>154</v>
      </c>
      <c r="C8" s="1150" t="s">
        <v>828</v>
      </c>
      <c r="D8" s="1150"/>
      <c r="E8" s="1150"/>
      <c r="F8" s="1150"/>
      <c r="G8" s="1150"/>
      <c r="H8" s="1150"/>
      <c r="I8" s="1150"/>
      <c r="J8" s="1150"/>
      <c r="K8" s="61"/>
    </row>
    <row r="9" spans="1:12" ht="8.1" customHeight="1">
      <c r="A9" s="117"/>
      <c r="B9" s="21"/>
      <c r="C9" s="279"/>
      <c r="D9" s="279"/>
      <c r="E9" s="279"/>
      <c r="F9" s="279"/>
      <c r="G9" s="21"/>
      <c r="H9" s="59"/>
      <c r="I9" s="59"/>
      <c r="J9" s="57"/>
      <c r="K9" s="57"/>
    </row>
    <row r="10" spans="1:12" ht="23.25" customHeight="1">
      <c r="A10" s="117">
        <v>5</v>
      </c>
      <c r="B10" s="74" t="s">
        <v>155</v>
      </c>
      <c r="C10" s="1146" t="s">
        <v>829</v>
      </c>
      <c r="D10" s="1146"/>
      <c r="E10" s="1146"/>
      <c r="F10" s="1146"/>
      <c r="G10" s="138" t="s">
        <v>540</v>
      </c>
      <c r="H10" s="1143" t="s">
        <v>834</v>
      </c>
      <c r="I10" s="1143"/>
      <c r="J10" s="1143"/>
      <c r="K10" s="280"/>
    </row>
    <row r="11" spans="1:12" ht="32.25" customHeight="1">
      <c r="A11" s="281"/>
      <c r="B11" s="1152" t="s">
        <v>156</v>
      </c>
      <c r="C11" s="1152"/>
      <c r="D11" s="1152"/>
      <c r="E11" s="1152"/>
      <c r="F11" s="1152"/>
      <c r="G11" s="1152"/>
      <c r="H11" s="1152"/>
      <c r="I11" s="1152"/>
      <c r="J11" s="1152"/>
      <c r="K11" s="68"/>
    </row>
    <row r="12" spans="1:12" ht="18" customHeight="1">
      <c r="A12" s="117">
        <v>6</v>
      </c>
      <c r="B12" s="1143" t="s">
        <v>830</v>
      </c>
      <c r="C12" s="1143"/>
      <c r="D12" s="1143"/>
      <c r="E12" s="57"/>
      <c r="F12" s="1143" t="s">
        <v>835</v>
      </c>
      <c r="G12" s="1143"/>
      <c r="H12" s="1143"/>
      <c r="I12" s="1143"/>
      <c r="J12" s="1143"/>
      <c r="K12" s="61"/>
    </row>
    <row r="13" spans="1:12">
      <c r="A13" s="117"/>
      <c r="B13" s="1144" t="s">
        <v>157</v>
      </c>
      <c r="C13" s="1144"/>
      <c r="D13" s="1144"/>
      <c r="E13" s="57"/>
      <c r="F13" s="1144" t="s">
        <v>157</v>
      </c>
      <c r="G13" s="1144"/>
      <c r="H13" s="1144"/>
      <c r="I13" s="1144"/>
      <c r="J13" s="1144"/>
      <c r="K13" s="61"/>
    </row>
    <row r="14" spans="1:12" ht="18" customHeight="1">
      <c r="A14" s="117">
        <f>SUM(A12+1)</f>
        <v>7</v>
      </c>
      <c r="B14" s="1143" t="s">
        <v>827</v>
      </c>
      <c r="C14" s="1143"/>
      <c r="D14" s="1143"/>
      <c r="E14" s="57"/>
      <c r="F14" s="1143" t="s">
        <v>827</v>
      </c>
      <c r="G14" s="1143"/>
      <c r="H14" s="1143"/>
      <c r="I14" s="1143"/>
      <c r="J14" s="1143"/>
      <c r="K14" s="61"/>
    </row>
    <row r="15" spans="1:12" ht="9.9499999999999993" customHeight="1">
      <c r="A15" s="117"/>
      <c r="B15" s="1144" t="s">
        <v>158</v>
      </c>
      <c r="C15" s="1144"/>
      <c r="D15" s="1144"/>
      <c r="E15" s="57"/>
      <c r="F15" s="1144" t="s">
        <v>158</v>
      </c>
      <c r="G15" s="1144"/>
      <c r="H15" s="1144"/>
      <c r="I15" s="1144"/>
      <c r="J15" s="1144"/>
      <c r="K15" s="61"/>
    </row>
    <row r="16" spans="1:12" ht="18" customHeight="1">
      <c r="A16" s="117" t="s">
        <v>159</v>
      </c>
      <c r="B16" s="1143"/>
      <c r="C16" s="1143"/>
      <c r="D16" s="1143"/>
      <c r="E16" s="57"/>
      <c r="F16" s="1143"/>
      <c r="G16" s="1143"/>
      <c r="H16" s="1143"/>
      <c r="I16" s="1143"/>
      <c r="J16" s="1143"/>
      <c r="K16" s="61"/>
    </row>
    <row r="17" spans="1:11" ht="12.75" customHeight="1">
      <c r="A17" s="117"/>
      <c r="B17" s="1151" t="s">
        <v>160</v>
      </c>
      <c r="C17" s="1151"/>
      <c r="D17" s="1151"/>
      <c r="E17" s="57"/>
      <c r="F17" s="1151" t="s">
        <v>160</v>
      </c>
      <c r="G17" s="1151"/>
      <c r="H17" s="1151"/>
      <c r="I17" s="1151"/>
      <c r="J17" s="1151"/>
      <c r="K17" s="62"/>
    </row>
    <row r="18" spans="1:11" ht="18" customHeight="1">
      <c r="A18" s="117">
        <v>8</v>
      </c>
      <c r="B18" s="63" t="s">
        <v>831</v>
      </c>
      <c r="C18" s="63" t="s">
        <v>832</v>
      </c>
      <c r="D18" s="64">
        <v>85392</v>
      </c>
      <c r="E18" s="57"/>
      <c r="F18" s="1143" t="s">
        <v>831</v>
      </c>
      <c r="G18" s="1143"/>
      <c r="H18" s="1143" t="s">
        <v>836</v>
      </c>
      <c r="I18" s="1143"/>
      <c r="J18" s="64">
        <v>85392</v>
      </c>
      <c r="K18" s="282"/>
    </row>
    <row r="19" spans="1:11" ht="12.75" customHeight="1">
      <c r="A19" s="117"/>
      <c r="B19" s="60" t="s">
        <v>161</v>
      </c>
      <c r="C19" s="61" t="s">
        <v>162</v>
      </c>
      <c r="D19" s="61" t="s">
        <v>163</v>
      </c>
      <c r="E19" s="57"/>
      <c r="F19" s="1144" t="s">
        <v>161</v>
      </c>
      <c r="G19" s="1144"/>
      <c r="H19" s="1144" t="s">
        <v>162</v>
      </c>
      <c r="I19" s="1144"/>
      <c r="J19" s="61" t="s">
        <v>163</v>
      </c>
      <c r="K19" s="61"/>
    </row>
    <row r="20" spans="1:11" ht="18" customHeight="1">
      <c r="A20" s="117">
        <v>9</v>
      </c>
      <c r="B20" s="1146" t="s">
        <v>833</v>
      </c>
      <c r="C20" s="1146"/>
      <c r="D20" s="1146"/>
      <c r="E20" s="57"/>
      <c r="F20" s="1146" t="s">
        <v>837</v>
      </c>
      <c r="G20" s="1146"/>
      <c r="H20" s="1146"/>
      <c r="I20" s="1146"/>
      <c r="J20" s="1146"/>
      <c r="K20" s="283"/>
    </row>
    <row r="21" spans="1:11" ht="12.75" customHeight="1">
      <c r="A21" s="117"/>
      <c r="B21" s="1144" t="s">
        <v>164</v>
      </c>
      <c r="C21" s="1144"/>
      <c r="D21" s="1144"/>
      <c r="E21" s="57"/>
      <c r="F21" s="1144" t="s">
        <v>164</v>
      </c>
      <c r="G21" s="1144"/>
      <c r="H21" s="1144"/>
      <c r="I21" s="1144"/>
      <c r="J21" s="1144"/>
      <c r="K21" s="61"/>
    </row>
    <row r="22" spans="1:11" ht="18" customHeight="1">
      <c r="A22" s="117">
        <v>10</v>
      </c>
      <c r="B22" s="1143" t="s">
        <v>834</v>
      </c>
      <c r="C22" s="1143"/>
      <c r="D22" s="1143"/>
      <c r="E22" s="57"/>
      <c r="F22" s="1143" t="s">
        <v>838</v>
      </c>
      <c r="G22" s="1143"/>
      <c r="H22" s="1143"/>
      <c r="I22" s="1143"/>
      <c r="J22" s="1143"/>
      <c r="K22" s="61"/>
    </row>
    <row r="23" spans="1:11" ht="12.75" customHeight="1">
      <c r="A23" s="117"/>
      <c r="B23" s="1144" t="s">
        <v>165</v>
      </c>
      <c r="C23" s="1144"/>
      <c r="D23" s="1144"/>
      <c r="E23" s="57"/>
      <c r="F23" s="1144" t="s">
        <v>165</v>
      </c>
      <c r="G23" s="1144"/>
      <c r="H23" s="1144"/>
      <c r="I23" s="1144"/>
      <c r="J23" s="1144"/>
      <c r="K23" s="61"/>
    </row>
    <row r="24" spans="1:11" ht="8.25" customHeight="1">
      <c r="A24" s="117"/>
      <c r="B24" s="21"/>
      <c r="C24" s="57"/>
      <c r="D24" s="57"/>
      <c r="E24" s="57"/>
      <c r="F24" s="21"/>
      <c r="G24" s="57"/>
      <c r="H24" s="57"/>
      <c r="I24" s="57"/>
      <c r="J24" s="57"/>
      <c r="K24" s="57"/>
    </row>
    <row r="25" spans="1:11" ht="42.75" customHeight="1">
      <c r="A25" s="117"/>
      <c r="B25" s="1145" t="s">
        <v>744</v>
      </c>
      <c r="C25" s="1145"/>
      <c r="D25" s="1145"/>
      <c r="E25" s="57"/>
      <c r="F25" s="1145" t="s">
        <v>745</v>
      </c>
      <c r="G25" s="1145"/>
      <c r="H25" s="1145"/>
      <c r="I25" s="1145"/>
      <c r="J25" s="1145"/>
      <c r="K25" s="57"/>
    </row>
    <row r="26" spans="1:11" ht="18" customHeight="1">
      <c r="A26" s="117">
        <v>11</v>
      </c>
      <c r="B26" s="1143" t="s">
        <v>1042</v>
      </c>
      <c r="C26" s="1143"/>
      <c r="D26" s="1143"/>
      <c r="E26" s="57"/>
      <c r="F26" s="1143" t="s">
        <v>1042</v>
      </c>
      <c r="G26" s="1143"/>
      <c r="H26" s="1143"/>
      <c r="I26" s="1143"/>
      <c r="J26" s="1143"/>
      <c r="K26" s="61"/>
    </row>
    <row r="27" spans="1:11" ht="12.75" customHeight="1">
      <c r="A27" s="117"/>
      <c r="B27" s="1144" t="s">
        <v>157</v>
      </c>
      <c r="C27" s="1144"/>
      <c r="D27" s="1144"/>
      <c r="E27" s="57"/>
      <c r="F27" s="1144" t="s">
        <v>157</v>
      </c>
      <c r="G27" s="1144"/>
      <c r="H27" s="1144"/>
      <c r="I27" s="1144"/>
      <c r="J27" s="1144"/>
      <c r="K27" s="61"/>
    </row>
    <row r="28" spans="1:11" ht="18" customHeight="1">
      <c r="A28" s="117">
        <v>12</v>
      </c>
      <c r="B28" s="1143" t="s">
        <v>1044</v>
      </c>
      <c r="C28" s="1143"/>
      <c r="D28" s="1143"/>
      <c r="E28" s="57"/>
      <c r="F28" s="1143" t="s">
        <v>1044</v>
      </c>
      <c r="G28" s="1143"/>
      <c r="H28" s="1143"/>
      <c r="I28" s="1143"/>
      <c r="J28" s="1143"/>
      <c r="K28" s="61"/>
    </row>
    <row r="29" spans="1:11">
      <c r="A29" s="117"/>
      <c r="B29" s="1144" t="s">
        <v>158</v>
      </c>
      <c r="C29" s="1144"/>
      <c r="D29" s="1144"/>
      <c r="E29" s="57"/>
      <c r="F29" s="1144" t="s">
        <v>158</v>
      </c>
      <c r="G29" s="1144"/>
      <c r="H29" s="1144"/>
      <c r="I29" s="1144"/>
      <c r="J29" s="1144"/>
      <c r="K29" s="61"/>
    </row>
    <row r="30" spans="1:11" ht="18" customHeight="1">
      <c r="A30" s="117" t="s">
        <v>166</v>
      </c>
      <c r="B30" s="1143"/>
      <c r="C30" s="1143"/>
      <c r="D30" s="1143"/>
      <c r="E30" s="57"/>
      <c r="F30" s="1143"/>
      <c r="G30" s="1143"/>
      <c r="H30" s="1143"/>
      <c r="I30" s="1143"/>
      <c r="J30" s="1143"/>
      <c r="K30" s="61"/>
    </row>
    <row r="31" spans="1:11">
      <c r="A31" s="117"/>
      <c r="B31" s="1144" t="s">
        <v>160</v>
      </c>
      <c r="C31" s="1144"/>
      <c r="D31" s="1144"/>
      <c r="E31" s="57"/>
      <c r="F31" s="1144" t="s">
        <v>160</v>
      </c>
      <c r="G31" s="1144"/>
      <c r="H31" s="1144"/>
      <c r="I31" s="1144"/>
      <c r="J31" s="1144"/>
      <c r="K31" s="61"/>
    </row>
    <row r="32" spans="1:11" ht="18" customHeight="1">
      <c r="A32" s="117">
        <v>13</v>
      </c>
      <c r="B32" s="63" t="s">
        <v>1045</v>
      </c>
      <c r="C32" s="63" t="s">
        <v>1046</v>
      </c>
      <c r="D32" s="63">
        <v>72601</v>
      </c>
      <c r="E32" s="57"/>
      <c r="F32" s="1143" t="s">
        <v>1045</v>
      </c>
      <c r="G32" s="1143"/>
      <c r="H32" s="1143" t="s">
        <v>1048</v>
      </c>
      <c r="I32" s="1143"/>
      <c r="J32" s="63">
        <v>72601</v>
      </c>
      <c r="K32" s="61"/>
    </row>
    <row r="33" spans="1:12" s="71" customFormat="1">
      <c r="A33" s="284"/>
      <c r="B33" s="65" t="s">
        <v>161</v>
      </c>
      <c r="C33" s="66" t="s">
        <v>162</v>
      </c>
      <c r="D33" s="66" t="s">
        <v>163</v>
      </c>
      <c r="E33" s="66"/>
      <c r="F33" s="1147" t="s">
        <v>161</v>
      </c>
      <c r="G33" s="1147"/>
      <c r="H33" s="1147" t="s">
        <v>162</v>
      </c>
      <c r="I33" s="1147"/>
      <c r="J33" s="66" t="s">
        <v>163</v>
      </c>
      <c r="K33" s="66"/>
    </row>
    <row r="34" spans="1:12" ht="18" customHeight="1">
      <c r="A34" s="117">
        <v>14</v>
      </c>
      <c r="B34" s="1146" t="s">
        <v>1047</v>
      </c>
      <c r="C34" s="1146"/>
      <c r="D34" s="1146"/>
      <c r="E34" s="57"/>
      <c r="F34" s="1146" t="s">
        <v>1047</v>
      </c>
      <c r="G34" s="1146"/>
      <c r="H34" s="1146"/>
      <c r="I34" s="1146"/>
      <c r="J34" s="1146"/>
      <c r="K34" s="283"/>
    </row>
    <row r="35" spans="1:12">
      <c r="A35" s="117"/>
      <c r="B35" s="1144" t="s">
        <v>164</v>
      </c>
      <c r="C35" s="1144"/>
      <c r="D35" s="1144"/>
      <c r="E35" s="57"/>
      <c r="F35" s="1144" t="s">
        <v>164</v>
      </c>
      <c r="G35" s="1144"/>
      <c r="H35" s="1144"/>
      <c r="I35" s="1144"/>
      <c r="J35" s="1144"/>
      <c r="K35" s="61"/>
    </row>
    <row r="36" spans="1:12" ht="18" customHeight="1">
      <c r="A36" s="117">
        <v>15</v>
      </c>
      <c r="B36" s="1143"/>
      <c r="C36" s="1143"/>
      <c r="D36" s="1143"/>
      <c r="E36" s="57"/>
      <c r="F36" s="1143"/>
      <c r="G36" s="1143"/>
      <c r="H36" s="1143"/>
      <c r="I36" s="1143"/>
      <c r="J36" s="1143"/>
      <c r="K36" s="61"/>
    </row>
    <row r="37" spans="1:12" ht="12.75" customHeight="1">
      <c r="A37" s="21"/>
      <c r="B37" s="1144" t="s">
        <v>165</v>
      </c>
      <c r="C37" s="1144"/>
      <c r="D37" s="1144"/>
      <c r="E37" s="57"/>
      <c r="F37" s="1144" t="s">
        <v>165</v>
      </c>
      <c r="G37" s="1144"/>
      <c r="H37" s="1144"/>
      <c r="I37" s="1144"/>
      <c r="J37" s="1144"/>
      <c r="K37" s="61"/>
    </row>
    <row r="38" spans="1:12" ht="12.75" customHeight="1">
      <c r="A38" s="117">
        <v>16</v>
      </c>
      <c r="B38" s="1143">
        <v>9795</v>
      </c>
      <c r="C38" s="1143"/>
      <c r="D38" s="1143"/>
      <c r="E38" s="57"/>
      <c r="F38" s="1143">
        <v>9795</v>
      </c>
      <c r="G38" s="1143"/>
      <c r="H38" s="1143"/>
      <c r="I38" s="1143"/>
      <c r="J38" s="1143"/>
      <c r="K38" s="61"/>
    </row>
    <row r="39" spans="1:12" ht="12.75" customHeight="1">
      <c r="A39" s="21"/>
      <c r="B39" s="1144" t="s">
        <v>721</v>
      </c>
      <c r="C39" s="1144"/>
      <c r="D39" s="1144"/>
      <c r="E39" s="57"/>
      <c r="F39" s="1144" t="s">
        <v>721</v>
      </c>
      <c r="G39" s="1144"/>
      <c r="H39" s="1144"/>
      <c r="I39" s="1144"/>
      <c r="J39" s="1144"/>
      <c r="K39" s="61"/>
    </row>
    <row r="40" spans="1:12" ht="20.25" customHeight="1">
      <c r="A40" s="117" t="s">
        <v>10</v>
      </c>
      <c r="B40" s="57" t="s">
        <v>167</v>
      </c>
      <c r="C40" s="57"/>
      <c r="D40" s="57"/>
      <c r="E40" s="57"/>
      <c r="F40" s="57"/>
      <c r="G40" s="57"/>
      <c r="H40" s="57"/>
      <c r="I40" s="57"/>
      <c r="J40" s="57"/>
      <c r="K40" s="57"/>
      <c r="L40" s="7"/>
    </row>
    <row r="41" spans="1:12">
      <c r="A41" s="117"/>
      <c r="B41" s="285" t="s">
        <v>168</v>
      </c>
      <c r="C41" s="286">
        <f>IF(Cover!D13&gt;0, Cover!D13, "")</f>
        <v>2011</v>
      </c>
      <c r="D41" s="57"/>
      <c r="E41" s="57"/>
      <c r="F41" s="57"/>
      <c r="G41" s="21"/>
      <c r="H41" s="21"/>
      <c r="I41" s="57"/>
      <c r="J41" s="57"/>
      <c r="K41" s="57"/>
      <c r="L41" s="7"/>
    </row>
    <row r="42" spans="1:12" ht="18" customHeight="1">
      <c r="A42" s="117"/>
      <c r="B42" s="287" t="s">
        <v>169</v>
      </c>
      <c r="C42" s="287"/>
      <c r="D42" s="287"/>
      <c r="E42" s="287"/>
      <c r="F42" s="288" t="s">
        <v>170</v>
      </c>
      <c r="G42" s="289" t="s">
        <v>171</v>
      </c>
      <c r="H42" s="290" t="s">
        <v>170</v>
      </c>
      <c r="I42" s="290" t="s">
        <v>170</v>
      </c>
      <c r="J42" s="289" t="s">
        <v>172</v>
      </c>
      <c r="K42" s="290" t="s">
        <v>170</v>
      </c>
      <c r="L42" s="72"/>
    </row>
    <row r="43" spans="1:12" ht="18" customHeight="1">
      <c r="A43" s="117">
        <f>A38+1</f>
        <v>17</v>
      </c>
      <c r="B43" s="291" t="s">
        <v>173</v>
      </c>
      <c r="C43" s="291"/>
      <c r="D43" s="291"/>
      <c r="E43" s="291"/>
      <c r="F43" s="705"/>
      <c r="G43" s="292">
        <f>'Page W-2'!G15+'Page W-2'!G23</f>
        <v>541104.82000000007</v>
      </c>
      <c r="H43" s="705"/>
      <c r="I43" s="794"/>
      <c r="J43" s="75"/>
      <c r="K43" s="705"/>
      <c r="L43" s="73"/>
    </row>
    <row r="44" spans="1:12" ht="18" customHeight="1">
      <c r="A44" s="117">
        <f>A43+1</f>
        <v>18</v>
      </c>
      <c r="B44" s="293" t="s">
        <v>174</v>
      </c>
      <c r="C44" s="57"/>
      <c r="D44" s="57"/>
      <c r="E44" s="57"/>
      <c r="F44" s="795"/>
      <c r="G44" s="292">
        <f>SUM('Page W-2'!G31)</f>
        <v>1244.51</v>
      </c>
      <c r="H44" s="795"/>
      <c r="I44" s="796"/>
      <c r="J44" s="76"/>
      <c r="K44" s="797"/>
      <c r="L44" s="73"/>
    </row>
    <row r="45" spans="1:12" ht="18" customHeight="1">
      <c r="A45" s="117">
        <f>A44+1</f>
        <v>19</v>
      </c>
      <c r="B45" s="294" t="s">
        <v>748</v>
      </c>
      <c r="C45" s="61"/>
      <c r="D45" s="61"/>
      <c r="E45" s="61"/>
      <c r="F45" s="705"/>
      <c r="G45" s="292">
        <f>SUM(G43:G44)</f>
        <v>542349.33000000007</v>
      </c>
      <c r="H45" s="705"/>
      <c r="I45" s="794"/>
      <c r="J45" s="295">
        <f>SUM(J43:J44)</f>
        <v>0</v>
      </c>
      <c r="K45" s="705"/>
      <c r="L45" s="73"/>
    </row>
    <row r="46" spans="1:12" ht="13.5" customHeight="1">
      <c r="A46" s="117"/>
      <c r="B46" s="296" t="s">
        <v>746</v>
      </c>
      <c r="C46" s="57"/>
      <c r="D46" s="57"/>
      <c r="E46" s="57"/>
      <c r="F46" s="57"/>
      <c r="G46" s="57"/>
      <c r="H46" s="57"/>
      <c r="I46" s="57"/>
      <c r="J46" s="57"/>
      <c r="K46" s="57"/>
      <c r="L46" s="73"/>
    </row>
    <row r="47" spans="1:12" ht="8.1" customHeight="1">
      <c r="A47" s="117"/>
      <c r="B47" s="296"/>
      <c r="C47" s="57"/>
      <c r="D47" s="57"/>
      <c r="E47" s="57"/>
      <c r="F47" s="57"/>
      <c r="G47" s="57"/>
      <c r="H47" s="57"/>
      <c r="I47" s="57"/>
      <c r="J47" s="57"/>
      <c r="K47" s="57"/>
      <c r="L47" s="73"/>
    </row>
    <row r="48" spans="1:12" ht="18" customHeight="1">
      <c r="A48" s="117"/>
      <c r="B48" s="287" t="s">
        <v>175</v>
      </c>
      <c r="C48" s="287"/>
      <c r="D48" s="287"/>
      <c r="E48" s="287"/>
      <c r="F48" s="288" t="s">
        <v>170</v>
      </c>
      <c r="G48" s="289" t="s">
        <v>171</v>
      </c>
      <c r="H48" s="288" t="s">
        <v>170</v>
      </c>
      <c r="I48" s="288" t="s">
        <v>170</v>
      </c>
      <c r="J48" s="289" t="s">
        <v>172</v>
      </c>
      <c r="K48" s="288" t="s">
        <v>170</v>
      </c>
      <c r="L48" s="72"/>
    </row>
    <row r="49" spans="1:12" ht="18" customHeight="1">
      <c r="A49" s="117">
        <f>A45+1</f>
        <v>20</v>
      </c>
      <c r="B49" s="291" t="s">
        <v>173</v>
      </c>
      <c r="C49" s="291"/>
      <c r="D49" s="291"/>
      <c r="E49" s="291"/>
      <c r="F49" s="705"/>
      <c r="G49" s="292">
        <f>SUM('Page S-2'!G20+'Page S-2'!G15)</f>
        <v>223665.82</v>
      </c>
      <c r="H49" s="705"/>
      <c r="I49" s="794"/>
      <c r="J49" s="75"/>
      <c r="K49" s="705"/>
      <c r="L49" s="73"/>
    </row>
    <row r="50" spans="1:12" ht="18" customHeight="1">
      <c r="A50" s="117">
        <f>A49+1</f>
        <v>21</v>
      </c>
      <c r="B50" s="293" t="s">
        <v>174</v>
      </c>
      <c r="C50" s="57"/>
      <c r="D50" s="57"/>
      <c r="E50" s="57"/>
      <c r="F50" s="705"/>
      <c r="G50" s="292">
        <f>SUM('Page S-2'!G28)</f>
        <v>0</v>
      </c>
      <c r="H50" s="705"/>
      <c r="I50" s="794"/>
      <c r="J50" s="76"/>
      <c r="K50" s="705"/>
      <c r="L50" s="73"/>
    </row>
    <row r="51" spans="1:12" ht="18" customHeight="1">
      <c r="A51" s="117">
        <f>A50+1</f>
        <v>22</v>
      </c>
      <c r="B51" s="294" t="s">
        <v>749</v>
      </c>
      <c r="C51" s="61"/>
      <c r="D51" s="61"/>
      <c r="E51" s="61"/>
      <c r="F51" s="705"/>
      <c r="G51" s="292">
        <f>SUM(G49:G50)</f>
        <v>223665.82</v>
      </c>
      <c r="H51" s="705"/>
      <c r="I51" s="794"/>
      <c r="J51" s="295">
        <f>SUM(J49:J50)</f>
        <v>0</v>
      </c>
      <c r="K51" s="705"/>
      <c r="L51" s="73"/>
    </row>
    <row r="52" spans="1:12" ht="12" customHeight="1">
      <c r="A52" s="117"/>
      <c r="B52" s="296" t="s">
        <v>747</v>
      </c>
      <c r="C52" s="57"/>
      <c r="D52" s="57"/>
      <c r="E52" s="57"/>
      <c r="F52" s="57"/>
      <c r="G52" s="57"/>
      <c r="H52" s="57"/>
      <c r="I52" s="57"/>
      <c r="J52" s="57"/>
      <c r="K52" s="56"/>
      <c r="L52" s="73"/>
    </row>
    <row r="53" spans="1:12" s="17" customFormat="1" ht="18" customHeight="1">
      <c r="A53" s="274"/>
      <c r="B53" s="275" t="s">
        <v>712</v>
      </c>
      <c r="G53" s="1153"/>
      <c r="H53" s="1154"/>
      <c r="I53" s="1154"/>
      <c r="J53" s="1155"/>
    </row>
    <row r="54" spans="1:12" s="17" customFormat="1">
      <c r="A54" s="276"/>
      <c r="B54" s="277" t="s">
        <v>713</v>
      </c>
      <c r="C54" s="226"/>
      <c r="D54" s="226"/>
      <c r="E54" s="226"/>
      <c r="F54" s="226"/>
      <c r="G54" s="278"/>
      <c r="H54" s="278"/>
      <c r="I54" s="18"/>
      <c r="J54" s="77" t="s">
        <v>13</v>
      </c>
    </row>
    <row r="55" spans="1:12" s="17" customFormat="1" ht="18" customHeight="1">
      <c r="A55" s="92"/>
      <c r="G55" s="78"/>
      <c r="H55" s="79"/>
      <c r="I55" s="79"/>
      <c r="J55" s="79"/>
      <c r="K55" s="79"/>
      <c r="L55" s="79"/>
    </row>
    <row r="56" spans="1:12" s="17" customFormat="1">
      <c r="A56" s="92"/>
    </row>
    <row r="57" spans="1:12" s="17" customFormat="1">
      <c r="A57" s="92"/>
    </row>
    <row r="58" spans="1:12" s="17" customFormat="1">
      <c r="A58" s="92"/>
    </row>
    <row r="59" spans="1:12" s="17" customFormat="1">
      <c r="A59" s="92"/>
    </row>
    <row r="80" spans="10:10">
      <c r="J80" s="1" t="s">
        <v>14</v>
      </c>
    </row>
    <row r="81" spans="10:10">
      <c r="J81" s="1" t="s">
        <v>15</v>
      </c>
    </row>
  </sheetData>
  <sheetProtection password="C0F1" sheet="1" formatCells="0" formatColumns="0" formatRows="0" insertColumns="0" insertRows="0"/>
  <customSheetViews>
    <customSheetView guid="{1F4AFEE5-5BDD-4100-B0E9-57B262CA123C}" scale="130" showPageBreaks="1" showGridLines="0" fitToPage="1" printArea="1" view="pageBreakPreview" topLeftCell="A40">
      <selection activeCell="G45" sqref="G45"/>
      <pageMargins left="0.5" right="0.5" top="0.75" bottom="0.5" header="0.3" footer="0.3"/>
      <printOptions horizontalCentered="1"/>
      <pageSetup scale="86" orientation="portrait" r:id="rId1"/>
      <headerFooter>
        <oddFooter>&amp;C&amp;A</oddFooter>
      </headerFooter>
    </customSheetView>
  </customSheetViews>
  <mergeCells count="63">
    <mergeCell ref="G53:J53"/>
    <mergeCell ref="F38:J38"/>
    <mergeCell ref="F39:J39"/>
    <mergeCell ref="B12:D12"/>
    <mergeCell ref="F12:J12"/>
    <mergeCell ref="F19:G19"/>
    <mergeCell ref="H19:I19"/>
    <mergeCell ref="B20:D20"/>
    <mergeCell ref="F20:J20"/>
    <mergeCell ref="B38:D38"/>
    <mergeCell ref="B39:D39"/>
    <mergeCell ref="B30:D30"/>
    <mergeCell ref="F30:J30"/>
    <mergeCell ref="F27:J27"/>
    <mergeCell ref="B34:D34"/>
    <mergeCell ref="F29:J29"/>
    <mergeCell ref="H10:J10"/>
    <mergeCell ref="B26:D26"/>
    <mergeCell ref="F26:J26"/>
    <mergeCell ref="C10:F10"/>
    <mergeCell ref="B16:D16"/>
    <mergeCell ref="B15:D15"/>
    <mergeCell ref="B17:D17"/>
    <mergeCell ref="F17:J17"/>
    <mergeCell ref="B21:D21"/>
    <mergeCell ref="F13:J13"/>
    <mergeCell ref="B14:D14"/>
    <mergeCell ref="F14:J14"/>
    <mergeCell ref="H18:I18"/>
    <mergeCell ref="F15:J15"/>
    <mergeCell ref="F21:J21"/>
    <mergeCell ref="B11:J11"/>
    <mergeCell ref="B1:I1"/>
    <mergeCell ref="C2:J2"/>
    <mergeCell ref="C4:J4"/>
    <mergeCell ref="C6:J6"/>
    <mergeCell ref="C8:J8"/>
    <mergeCell ref="B36:D36"/>
    <mergeCell ref="B28:D28"/>
    <mergeCell ref="F23:J23"/>
    <mergeCell ref="B29:D29"/>
    <mergeCell ref="F28:J28"/>
    <mergeCell ref="F35:J35"/>
    <mergeCell ref="F33:G33"/>
    <mergeCell ref="H33:I33"/>
    <mergeCell ref="H32:I32"/>
    <mergeCell ref="B27:D27"/>
    <mergeCell ref="F18:G18"/>
    <mergeCell ref="F16:J16"/>
    <mergeCell ref="B13:D13"/>
    <mergeCell ref="B37:D37"/>
    <mergeCell ref="F37:J37"/>
    <mergeCell ref="B25:D25"/>
    <mergeCell ref="F25:J25"/>
    <mergeCell ref="B22:D22"/>
    <mergeCell ref="F22:J22"/>
    <mergeCell ref="F34:J34"/>
    <mergeCell ref="B23:D23"/>
    <mergeCell ref="F36:J36"/>
    <mergeCell ref="F32:G32"/>
    <mergeCell ref="B31:D31"/>
    <mergeCell ref="F31:J31"/>
    <mergeCell ref="B35:D35"/>
  </mergeCells>
  <dataValidations count="1">
    <dataValidation type="list" allowBlank="1" showInputMessage="1" prompt="This field is to be used when filed under seal." sqref="G53:J53">
      <formula1>$J$79:$J$81</formula1>
    </dataValidation>
  </dataValidations>
  <printOptions horizontalCentered="1"/>
  <pageMargins left="0.5" right="0.5" top="0.75" bottom="0.5" header="0.3" footer="0.3"/>
  <pageSetup scale="85" orientation="portrait" r:id="rId2"/>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40</vt:i4>
      </vt:variant>
    </vt:vector>
  </HeadingPairs>
  <TitlesOfParts>
    <vt:vector size="95" baseType="lpstr">
      <vt:lpstr>Cover</vt:lpstr>
      <vt:lpstr>General Instructions</vt:lpstr>
      <vt:lpstr>Detailed Instructions</vt:lpstr>
      <vt:lpstr>Noel Assets</vt:lpstr>
      <vt:lpstr>KMB Water Assets</vt:lpstr>
      <vt:lpstr>KMB Water Deprec</vt:lpstr>
      <vt:lpstr>KMB Sewer Assets</vt:lpstr>
      <vt:lpstr>KMB Sewer Deprec</vt:lpstr>
      <vt:lpstr>Page 1</vt:lpstr>
      <vt:lpstr>Page 2</vt:lpstr>
      <vt:lpstr>Page 2a</vt:lpstr>
      <vt:lpstr>Page 3</vt:lpstr>
      <vt:lpstr>Page 4</vt:lpstr>
      <vt:lpstr>Page 4a</vt:lpstr>
      <vt:lpstr>Page 5</vt:lpstr>
      <vt:lpstr>Page 5a</vt:lpstr>
      <vt:lpstr>Page 6</vt:lpstr>
      <vt:lpstr>Page 7</vt:lpstr>
      <vt:lpstr>Page 8</vt:lpstr>
      <vt:lpstr>Page 8a</vt:lpstr>
      <vt:lpstr>Page 9</vt:lpstr>
      <vt:lpstr>Page 9b</vt:lpstr>
      <vt:lpstr>Page 10</vt:lpstr>
      <vt:lpstr>Page 11</vt:lpstr>
      <vt:lpstr>Page W-1</vt:lpstr>
      <vt:lpstr>Page W-1a</vt:lpstr>
      <vt:lpstr>Page W-2</vt:lpstr>
      <vt:lpstr>Page W-2a</vt:lpstr>
      <vt:lpstr>Page W-3</vt:lpstr>
      <vt:lpstr>Page W-3a</vt:lpstr>
      <vt:lpstr>Page W-4</vt:lpstr>
      <vt:lpstr>Page W-5</vt:lpstr>
      <vt:lpstr>Page W-5a</vt:lpstr>
      <vt:lpstr>Page W-6</vt:lpstr>
      <vt:lpstr>Page W-6a</vt:lpstr>
      <vt:lpstr>Page W-7 (Part 1)</vt:lpstr>
      <vt:lpstr>Page W-7 (part 1a)</vt:lpstr>
      <vt:lpstr>Page W-7 (part 1b)</vt:lpstr>
      <vt:lpstr>Page W-7 (Part 2)</vt:lpstr>
      <vt:lpstr>Page W-7 (Part 2a)</vt:lpstr>
      <vt:lpstr>Page W-8</vt:lpstr>
      <vt:lpstr>Page W-9</vt:lpstr>
      <vt:lpstr>Page S-1</vt:lpstr>
      <vt:lpstr>Page S-1a</vt:lpstr>
      <vt:lpstr>Page S-2</vt:lpstr>
      <vt:lpstr>Page S-2a</vt:lpstr>
      <vt:lpstr>Page S-3</vt:lpstr>
      <vt:lpstr>Page S-3a</vt:lpstr>
      <vt:lpstr>Page S-4</vt:lpstr>
      <vt:lpstr>Page S-4a</vt:lpstr>
      <vt:lpstr>Page S-5</vt:lpstr>
      <vt:lpstr>Page S-5a</vt:lpstr>
      <vt:lpstr>Page S-6</vt:lpstr>
      <vt:lpstr>Sheet1</vt:lpstr>
      <vt:lpstr>Verification Page</vt:lpstr>
      <vt:lpstr>Cover!Print_Area</vt:lpstr>
      <vt:lpstr>'General Instructions'!Print_Area</vt:lpstr>
      <vt:lpstr>'Page 1'!Print_Area</vt:lpstr>
      <vt:lpstr>'Page 10'!Print_Area</vt:lpstr>
      <vt:lpstr>'Page 11'!Print_Area</vt:lpstr>
      <vt:lpstr>'Page 2'!Print_Area</vt:lpstr>
      <vt:lpstr>'Page 4'!Print_Area</vt:lpstr>
      <vt:lpstr>'Page 4a'!Print_Area</vt:lpstr>
      <vt:lpstr>'Page 5'!Print_Area</vt:lpstr>
      <vt:lpstr>'Page 5a'!Print_Area</vt:lpstr>
      <vt:lpstr>'Page 6'!Print_Area</vt:lpstr>
      <vt:lpstr>'Page 7'!Print_Area</vt:lpstr>
      <vt:lpstr>'Page 8'!Print_Area</vt:lpstr>
      <vt:lpstr>'Page 9'!Print_Area</vt:lpstr>
      <vt:lpstr>'Page S-1'!Print_Area</vt:lpstr>
      <vt:lpstr>'Page S-1a'!Print_Area</vt:lpstr>
      <vt:lpstr>'Page S-2'!Print_Area</vt:lpstr>
      <vt:lpstr>'Page S-2a'!Print_Area</vt:lpstr>
      <vt:lpstr>'Page S-3'!Print_Area</vt:lpstr>
      <vt:lpstr>'Page S-3a'!Print_Area</vt:lpstr>
      <vt:lpstr>'Page S-4'!Print_Area</vt:lpstr>
      <vt:lpstr>'Page S-4a'!Print_Area</vt:lpstr>
      <vt:lpstr>'Page S-5'!Print_Area</vt:lpstr>
      <vt:lpstr>'Page S-5a'!Print_Area</vt:lpstr>
      <vt:lpstr>'Page S-6'!Print_Area</vt:lpstr>
      <vt:lpstr>'Page W-1'!Print_Area</vt:lpstr>
      <vt:lpstr>'Page W-1a'!Print_Area</vt:lpstr>
      <vt:lpstr>'Page W-2'!Print_Area</vt:lpstr>
      <vt:lpstr>'Page W-2a'!Print_Area</vt:lpstr>
      <vt:lpstr>'Page W-3'!Print_Area</vt:lpstr>
      <vt:lpstr>'Page W-3a'!Print_Area</vt:lpstr>
      <vt:lpstr>'Page W-4'!Print_Area</vt:lpstr>
      <vt:lpstr>'Page W-5'!Print_Area</vt:lpstr>
      <vt:lpstr>'Page W-5a'!Print_Area</vt:lpstr>
      <vt:lpstr>'Page W-6'!Print_Area</vt:lpstr>
      <vt:lpstr>'Page W-6a'!Print_Area</vt:lpstr>
      <vt:lpstr>'Page W-7 (Part 1)'!Print_Area</vt:lpstr>
      <vt:lpstr>'Page W-7 (Part 2)'!Print_Area</vt:lpstr>
      <vt:lpstr>'Page W-8'!Print_Area</vt:lpstr>
      <vt:lpstr>'Page W-9'!Print_Area</vt:lpstr>
    </vt:vector>
  </TitlesOfParts>
  <Company>MOPSC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sennn1</dc:creator>
  <cp:lastModifiedBy>Christopher Krygier</cp:lastModifiedBy>
  <cp:lastPrinted>2013-03-12T20:29:25Z</cp:lastPrinted>
  <dcterms:created xsi:type="dcterms:W3CDTF">2011-06-15T18:11:00Z</dcterms:created>
  <dcterms:modified xsi:type="dcterms:W3CDTF">2013-03-12T20:35:30Z</dcterms:modified>
</cp:coreProperties>
</file>