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E:\CorpAcctg\MEEIA\Metro MEEIA DSIM RIDER\20231201 Filing\"/>
    </mc:Choice>
  </mc:AlternateContent>
  <xr:revisionPtr revIDLastSave="0" documentId="13_ncr:1_{8FDE3D3A-ED79-42E2-95B9-8B548826528C}" xr6:coauthVersionLast="47" xr6:coauthVersionMax="47" xr10:uidLastSave="{00000000-0000-0000-0000-000000000000}"/>
  <bookViews>
    <workbookView xWindow="28680" yWindow="-120" windowWidth="29040" windowHeight="15840" tabRatio="847" activeTab="1" xr2:uid="{00000000-000D-0000-FFFF-FFFF00000000}"/>
  </bookViews>
  <sheets>
    <sheet name="Index Table of Contents" sheetId="32" r:id="rId1"/>
    <sheet name="Tariff Tables" sheetId="5"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 Cycle 3" sheetId="28" r:id="rId12"/>
    <sheet name="EOR Cycle 2" sheetId="23" r:id="rId13"/>
    <sheet name="EOR Cycle 3" sheetId="29" r:id="rId14"/>
    <sheet name="OA Cycle 2" sheetId="10" r:id="rId15"/>
    <sheet name="OA Cycle 3" sheetId="30" r:id="rId16"/>
    <sheet name="OAR Cycle 2" sheetId="13"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4">'PCR Cycle 2'!$A$1:$O$67</definedName>
    <definedName name="_xlnm.Print_Area" localSheetId="5">'PCR Cycle 3'!$A$1:$O$71</definedName>
    <definedName name="solver_adj" localSheetId="4" hidden="1">'PCR Cycle 2'!$F$50</definedName>
    <definedName name="solver_adj" localSheetId="5" hidden="1">'PCR Cycle 3'!$F$51</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2'!$F$55</definedName>
    <definedName name="solver_opt" localSheetId="5" hidden="1">'PCR Cycle 3'!$F$59</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3" i="5" l="1"/>
  <c r="X22" i="5"/>
  <c r="J4" i="5"/>
  <c r="J6" i="5"/>
  <c r="D9" i="18" l="1"/>
  <c r="D8" i="18"/>
  <c r="D7" i="18"/>
  <c r="D6" i="18"/>
  <c r="D5" i="18"/>
  <c r="D10" i="18" s="1"/>
  <c r="O29" i="31" l="1"/>
  <c r="O27" i="31"/>
  <c r="O26" i="31"/>
  <c r="O25" i="31"/>
  <c r="O24" i="31"/>
  <c r="O23" i="31"/>
  <c r="O13" i="31"/>
  <c r="O26" i="13"/>
  <c r="O24" i="13"/>
  <c r="O23" i="13"/>
  <c r="O16" i="13"/>
  <c r="P29" i="29"/>
  <c r="P32" i="23"/>
  <c r="P30" i="23"/>
  <c r="P29" i="23"/>
  <c r="P28" i="23"/>
  <c r="P27" i="23"/>
  <c r="P26" i="23"/>
  <c r="P16" i="23"/>
  <c r="P36" i="24"/>
  <c r="P35" i="22"/>
  <c r="P40" i="15"/>
  <c r="P39" i="16"/>
  <c r="P16" i="16"/>
  <c r="P19" i="15"/>
  <c r="P18" i="15"/>
  <c r="P17" i="15"/>
  <c r="P16" i="15"/>
  <c r="G15" i="8" l="1"/>
  <c r="G14" i="8"/>
  <c r="G13" i="8"/>
  <c r="G12" i="8"/>
  <c r="G11" i="8"/>
  <c r="G9" i="8"/>
  <c r="G8" i="8"/>
  <c r="G7" i="8"/>
  <c r="E14" i="8"/>
  <c r="D14" i="8"/>
  <c r="C14" i="8"/>
  <c r="E13" i="8"/>
  <c r="D13" i="8"/>
  <c r="C13" i="8"/>
  <c r="E12" i="8"/>
  <c r="D12" i="8"/>
  <c r="C12" i="8"/>
  <c r="E11" i="8"/>
  <c r="E15" i="8" s="1"/>
  <c r="D11" i="8"/>
  <c r="D15" i="8" s="1"/>
  <c r="C11" i="8"/>
  <c r="C15" i="8" s="1"/>
  <c r="D9" i="8"/>
  <c r="E8" i="8"/>
  <c r="D8" i="8"/>
  <c r="C8" i="8"/>
  <c r="E7" i="8"/>
  <c r="E9" i="8" s="1"/>
  <c r="D7" i="8"/>
  <c r="C7" i="8"/>
  <c r="C9" i="8" s="1"/>
  <c r="B14" i="8"/>
  <c r="B13" i="8"/>
  <c r="B12" i="8"/>
  <c r="B11" i="8"/>
  <c r="B8" i="8"/>
  <c r="B7" i="8"/>
  <c r="L30" i="23" l="1"/>
  <c r="L29" i="23"/>
  <c r="L28" i="23"/>
  <c r="L27" i="23"/>
  <c r="L26" i="23"/>
  <c r="K30" i="23"/>
  <c r="K29" i="23"/>
  <c r="K28" i="23"/>
  <c r="K27" i="23"/>
  <c r="K26" i="23"/>
  <c r="J30" i="23"/>
  <c r="I30" i="23"/>
  <c r="J29" i="23"/>
  <c r="I29" i="23"/>
  <c r="J28" i="23"/>
  <c r="I28" i="23"/>
  <c r="J27" i="23"/>
  <c r="I27" i="23"/>
  <c r="H30" i="23"/>
  <c r="H29" i="23"/>
  <c r="H28" i="23"/>
  <c r="H27" i="23"/>
  <c r="J26" i="23"/>
  <c r="I26" i="23"/>
  <c r="H26" i="23"/>
  <c r="G30" i="23"/>
  <c r="F30" i="23"/>
  <c r="G29" i="23"/>
  <c r="F29" i="23"/>
  <c r="G28" i="23"/>
  <c r="F28" i="23"/>
  <c r="G27" i="23"/>
  <c r="F27" i="23"/>
  <c r="E30" i="23"/>
  <c r="E29" i="23"/>
  <c r="E28" i="23"/>
  <c r="E27" i="23"/>
  <c r="G26" i="23"/>
  <c r="F26" i="23"/>
  <c r="E26" i="23"/>
  <c r="C79" i="28" l="1"/>
  <c r="D79" i="28"/>
  <c r="C85" i="28" l="1"/>
  <c r="D85" i="28"/>
  <c r="C84" i="28"/>
  <c r="D84" i="28"/>
  <c r="C86" i="28"/>
  <c r="D86" i="28"/>
  <c r="C83" i="28" l="1"/>
  <c r="D83" i="28"/>
  <c r="E79" i="28" l="1"/>
  <c r="E84" i="28" l="1"/>
  <c r="E86" i="28"/>
  <c r="E85" i="28" l="1"/>
  <c r="E83" i="28" l="1"/>
  <c r="B86" i="28" l="1"/>
  <c r="B85" i="28"/>
  <c r="B84" i="28"/>
  <c r="B83" i="28"/>
  <c r="B79" i="28"/>
  <c r="E74" i="28" l="1"/>
  <c r="D74" i="28"/>
  <c r="C74" i="28"/>
  <c r="B74" i="28"/>
  <c r="E73" i="28"/>
  <c r="D73" i="28"/>
  <c r="C73" i="28"/>
  <c r="B73" i="28"/>
  <c r="E72" i="28"/>
  <c r="D72" i="28"/>
  <c r="C72" i="28"/>
  <c r="B72" i="28"/>
  <c r="E71" i="28"/>
  <c r="D71" i="28"/>
  <c r="C71" i="28"/>
  <c r="B71" i="28"/>
  <c r="E67" i="28"/>
  <c r="D67" i="28"/>
  <c r="C67" i="28"/>
  <c r="B67" i="28"/>
  <c r="B26" i="28"/>
  <c r="B14" i="28" s="1"/>
  <c r="B25" i="28"/>
  <c r="B13" i="28" s="1"/>
  <c r="B24" i="28"/>
  <c r="B12" i="28" s="1"/>
  <c r="B23" i="28"/>
  <c r="B11" i="28" s="1"/>
  <c r="B8" i="28" s="1"/>
  <c r="B19" i="28"/>
  <c r="B7" i="28" s="1"/>
  <c r="D19" i="28" l="1"/>
  <c r="D24" i="28" l="1"/>
  <c r="D23" i="28" l="1"/>
  <c r="D25" i="28" l="1"/>
  <c r="D36" i="28" l="1"/>
  <c r="D31" i="28" l="1"/>
  <c r="D26" i="28"/>
  <c r="D35" i="28" l="1"/>
  <c r="D37" i="28" l="1"/>
  <c r="D38" i="28" l="1"/>
  <c r="D43" i="28" l="1"/>
  <c r="D48" i="28"/>
  <c r="D47" i="28" l="1"/>
  <c r="D49" i="28" l="1"/>
  <c r="D60" i="28" l="1"/>
  <c r="D12" i="28" s="1"/>
  <c r="D55" i="28"/>
  <c r="D7" i="28" s="1"/>
  <c r="D50" i="28"/>
  <c r="C25" i="28"/>
  <c r="C26" i="28"/>
  <c r="C19" i="28" l="1"/>
  <c r="D59" i="28"/>
  <c r="D11" i="28" s="1"/>
  <c r="C24" i="28"/>
  <c r="E26" i="28" l="1"/>
  <c r="C23" i="28"/>
  <c r="D61" i="28" l="1"/>
  <c r="D13" i="28" s="1"/>
  <c r="E25" i="28"/>
  <c r="E24" i="28"/>
  <c r="E19" i="28" l="1"/>
  <c r="D62" i="28" l="1"/>
  <c r="D14" i="28" s="1"/>
  <c r="D8" i="28" s="1"/>
  <c r="E23" i="28"/>
  <c r="C37" i="28" l="1"/>
  <c r="C36" i="28"/>
  <c r="C31" i="28"/>
  <c r="C38" i="28" l="1"/>
  <c r="E38" i="28" l="1"/>
  <c r="E36" i="28"/>
  <c r="E37" i="28"/>
  <c r="C35" i="28"/>
  <c r="E31" i="28" l="1"/>
  <c r="E35" i="28" l="1"/>
  <c r="C48" i="28" l="1"/>
  <c r="C49" i="28"/>
  <c r="E50" i="28" l="1"/>
  <c r="E49" i="28"/>
  <c r="E48" i="28"/>
  <c r="E43" i="28"/>
  <c r="C50" i="28"/>
  <c r="C43" i="28"/>
  <c r="C47" i="28" l="1"/>
  <c r="E47" i="28" l="1"/>
  <c r="C62" i="28" l="1"/>
  <c r="C14" i="28" s="1"/>
  <c r="C60" i="28" l="1"/>
  <c r="C12" i="28" s="1"/>
  <c r="C55" i="28"/>
  <c r="C7" i="28" s="1"/>
  <c r="C61" i="28" l="1"/>
  <c r="C13" i="28" s="1"/>
  <c r="C59" i="28"/>
  <c r="C11" i="28" s="1"/>
  <c r="C8" i="28" s="1"/>
  <c r="E62" i="28"/>
  <c r="E14" i="28" s="1"/>
  <c r="E61" i="28" l="1"/>
  <c r="E13" i="28" s="1"/>
  <c r="E59" i="28"/>
  <c r="E11" i="28" s="1"/>
  <c r="E55" i="28"/>
  <c r="E7" i="28" s="1"/>
  <c r="E60" i="28"/>
  <c r="E12" i="28" s="1"/>
  <c r="E8" i="28" l="1"/>
  <c r="E56" i="28"/>
  <c r="B62" i="28"/>
  <c r="F62" i="28" s="1"/>
  <c r="G62" i="28" s="1"/>
  <c r="B61" i="28"/>
  <c r="F61" i="28" s="1"/>
  <c r="G61" i="28" s="1"/>
  <c r="D56" i="28"/>
  <c r="B60" i="28"/>
  <c r="F60" i="28" s="1"/>
  <c r="G60" i="28" s="1"/>
  <c r="F59" i="28"/>
  <c r="G59" i="28" s="1"/>
  <c r="E63" i="28"/>
  <c r="D63" i="28"/>
  <c r="C63" i="28"/>
  <c r="B59" i="28"/>
  <c r="B63" i="28" s="1"/>
  <c r="C56" i="28"/>
  <c r="C57" i="28" s="1"/>
  <c r="B56" i="28"/>
  <c r="B55" i="28"/>
  <c r="B57" i="28" s="1"/>
  <c r="G63" i="28" l="1"/>
  <c r="D57" i="28"/>
  <c r="E57" i="28"/>
  <c r="F56" i="28"/>
  <c r="G56" i="28" s="1"/>
  <c r="F63" i="28"/>
  <c r="F55" i="28"/>
  <c r="G55" i="28" s="1"/>
  <c r="G57" i="28" l="1"/>
  <c r="F57" i="28"/>
  <c r="E27" i="24" l="1"/>
  <c r="E25" i="24"/>
  <c r="E23" i="24"/>
  <c r="E24" i="24"/>
  <c r="E26" i="24" l="1"/>
  <c r="F26" i="24"/>
  <c r="F23" i="24"/>
  <c r="F27" i="24"/>
  <c r="F25" i="24"/>
  <c r="E33" i="24"/>
  <c r="F24" i="24"/>
  <c r="E32" i="24"/>
  <c r="E30" i="24" l="1"/>
  <c r="E34" i="24"/>
  <c r="G23" i="24"/>
  <c r="G25" i="24"/>
  <c r="G27" i="24"/>
  <c r="G26" i="24"/>
  <c r="F33" i="24"/>
  <c r="G24" i="24"/>
  <c r="F34" i="24"/>
  <c r="E31" i="24"/>
  <c r="F30" i="24" l="1"/>
  <c r="F32" i="24"/>
  <c r="H27" i="24"/>
  <c r="H23" i="24"/>
  <c r="H26" i="24"/>
  <c r="H25" i="24"/>
  <c r="G32" i="24"/>
  <c r="G34" i="24"/>
  <c r="G30" i="24"/>
  <c r="F31" i="24"/>
  <c r="H24" i="24"/>
  <c r="G33" i="24" l="1"/>
  <c r="H32" i="24"/>
  <c r="H33" i="24"/>
  <c r="I26" i="24"/>
  <c r="I27" i="24"/>
  <c r="I23" i="24"/>
  <c r="H34" i="24"/>
  <c r="I25" i="24"/>
  <c r="I24" i="24"/>
  <c r="H30" i="24"/>
  <c r="G31" i="24"/>
  <c r="I32" i="24" l="1"/>
  <c r="I34" i="24"/>
  <c r="I33" i="24"/>
  <c r="J25" i="24"/>
  <c r="J27" i="24"/>
  <c r="J23" i="24"/>
  <c r="J26" i="24"/>
  <c r="J24" i="24"/>
  <c r="H31" i="24"/>
  <c r="J32" i="24" l="1"/>
  <c r="J34" i="24"/>
  <c r="I30" i="24"/>
  <c r="I31" i="24"/>
  <c r="J30" i="24"/>
  <c r="J33" i="24" l="1"/>
  <c r="J31" i="24"/>
  <c r="G72" i="8" l="1"/>
  <c r="G71" i="8"/>
  <c r="G70" i="8"/>
  <c r="G69" i="8"/>
  <c r="G65" i="8"/>
  <c r="G61" i="8"/>
  <c r="G60" i="8"/>
  <c r="G59" i="8"/>
  <c r="G58" i="8"/>
  <c r="G54" i="8"/>
  <c r="G50" i="8"/>
  <c r="G49" i="8"/>
  <c r="G48" i="8"/>
  <c r="G47" i="8"/>
  <c r="G44" i="8"/>
  <c r="G43" i="8"/>
  <c r="I20" i="31" l="1"/>
  <c r="I19" i="31"/>
  <c r="I18" i="31"/>
  <c r="I17" i="31"/>
  <c r="I16" i="31"/>
  <c r="H20" i="31"/>
  <c r="H19" i="31"/>
  <c r="H18" i="31"/>
  <c r="H17" i="31"/>
  <c r="H16" i="31"/>
  <c r="G20" i="31"/>
  <c r="G19" i="31"/>
  <c r="G18" i="31"/>
  <c r="G17" i="31"/>
  <c r="G16" i="31"/>
  <c r="F20" i="31"/>
  <c r="F19" i="31"/>
  <c r="F18" i="31"/>
  <c r="F17" i="31"/>
  <c r="F16" i="31"/>
  <c r="E20" i="31"/>
  <c r="E19" i="31"/>
  <c r="E18" i="31"/>
  <c r="E17" i="31"/>
  <c r="E16" i="31"/>
  <c r="D20" i="31"/>
  <c r="D19" i="31"/>
  <c r="D18" i="31"/>
  <c r="D17" i="31"/>
  <c r="D16" i="31"/>
  <c r="I20" i="13"/>
  <c r="I19" i="13"/>
  <c r="H20" i="13"/>
  <c r="H19" i="13"/>
  <c r="G20" i="13"/>
  <c r="G19" i="13"/>
  <c r="F20" i="13"/>
  <c r="F19" i="13"/>
  <c r="E20" i="13"/>
  <c r="E19" i="13"/>
  <c r="D20" i="13"/>
  <c r="D19" i="13"/>
  <c r="J20" i="29"/>
  <c r="J19" i="29"/>
  <c r="J18" i="29"/>
  <c r="J17" i="29"/>
  <c r="J16" i="29"/>
  <c r="I20" i="29"/>
  <c r="I19" i="29"/>
  <c r="I18" i="29"/>
  <c r="I17" i="29"/>
  <c r="I16" i="29"/>
  <c r="H20" i="29"/>
  <c r="H19" i="29"/>
  <c r="H18" i="29"/>
  <c r="H17" i="29"/>
  <c r="H16" i="29"/>
  <c r="G20" i="29"/>
  <c r="G19" i="29"/>
  <c r="G18" i="29"/>
  <c r="G17" i="29"/>
  <c r="G16" i="29"/>
  <c r="F20" i="29"/>
  <c r="F19" i="29"/>
  <c r="F18" i="29"/>
  <c r="F17" i="29"/>
  <c r="F16" i="29"/>
  <c r="E20" i="29"/>
  <c r="E19" i="29"/>
  <c r="E18" i="29"/>
  <c r="E17" i="29"/>
  <c r="E16" i="29"/>
  <c r="J23" i="23"/>
  <c r="J22" i="23"/>
  <c r="J21" i="23"/>
  <c r="J20" i="23"/>
  <c r="J19" i="23"/>
  <c r="I23" i="23"/>
  <c r="I22" i="23"/>
  <c r="I21" i="23"/>
  <c r="I20" i="23"/>
  <c r="I19" i="23"/>
  <c r="H23" i="23"/>
  <c r="H22" i="23"/>
  <c r="H21" i="23"/>
  <c r="H20" i="23"/>
  <c r="H19" i="23"/>
  <c r="G23" i="23"/>
  <c r="G22" i="23"/>
  <c r="G21" i="23"/>
  <c r="G20" i="23"/>
  <c r="G19" i="23"/>
  <c r="F23" i="23"/>
  <c r="F22" i="23"/>
  <c r="F21" i="23"/>
  <c r="F20" i="23"/>
  <c r="F19" i="23"/>
  <c r="E23" i="23"/>
  <c r="E22" i="23"/>
  <c r="E21" i="23"/>
  <c r="E20" i="23"/>
  <c r="E19" i="23"/>
  <c r="J20" i="24"/>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J23" i="16" l="1"/>
  <c r="J22" i="16"/>
  <c r="J21" i="16"/>
  <c r="J20" i="16"/>
  <c r="J19" i="16"/>
  <c r="I23" i="16"/>
  <c r="I22" i="16"/>
  <c r="I21" i="16"/>
  <c r="I20" i="16"/>
  <c r="I19" i="16"/>
  <c r="H23" i="16"/>
  <c r="H22" i="16"/>
  <c r="H21" i="16"/>
  <c r="H20" i="16"/>
  <c r="H19" i="16"/>
  <c r="G23" i="16"/>
  <c r="G22" i="16"/>
  <c r="G21" i="16"/>
  <c r="G20" i="16"/>
  <c r="G19" i="16"/>
  <c r="F23" i="16"/>
  <c r="F22" i="16"/>
  <c r="F21" i="16"/>
  <c r="F20" i="16"/>
  <c r="F19" i="16"/>
  <c r="E23" i="16"/>
  <c r="E22" i="16"/>
  <c r="E21" i="16"/>
  <c r="E20" i="16"/>
  <c r="E19" i="16"/>
  <c r="G19" i="22" l="1"/>
  <c r="G18" i="22"/>
  <c r="G17" i="22"/>
  <c r="G16" i="22"/>
  <c r="G15" i="22"/>
  <c r="J33" i="22" l="1"/>
  <c r="J32" i="22"/>
  <c r="J31" i="22"/>
  <c r="J30" i="22"/>
  <c r="J29" i="22"/>
  <c r="I33" i="22"/>
  <c r="I32" i="22"/>
  <c r="I31" i="22"/>
  <c r="I30" i="22"/>
  <c r="I29" i="22"/>
  <c r="H33" i="22"/>
  <c r="H32" i="22"/>
  <c r="H31" i="22"/>
  <c r="H30" i="22"/>
  <c r="H29" i="22"/>
  <c r="G33" i="22"/>
  <c r="G32" i="22"/>
  <c r="G31" i="22"/>
  <c r="G30" i="22"/>
  <c r="G29" i="22"/>
  <c r="F33" i="22"/>
  <c r="F32" i="22"/>
  <c r="F31" i="22"/>
  <c r="F30" i="22"/>
  <c r="F29" i="22"/>
  <c r="E33" i="22"/>
  <c r="E32" i="22"/>
  <c r="E31" i="22"/>
  <c r="E30" i="22"/>
  <c r="E29" i="22"/>
  <c r="L19" i="22"/>
  <c r="L18" i="22"/>
  <c r="L17" i="22"/>
  <c r="L16" i="22"/>
  <c r="L15" i="22"/>
  <c r="K19" i="22"/>
  <c r="K18" i="22"/>
  <c r="K17" i="22"/>
  <c r="P17" i="22" s="1"/>
  <c r="K16" i="22"/>
  <c r="P16" i="22" s="1"/>
  <c r="K15" i="22"/>
  <c r="P15" i="22" s="1"/>
  <c r="J19" i="22"/>
  <c r="J18" i="22"/>
  <c r="J17" i="22"/>
  <c r="J16" i="22"/>
  <c r="J15" i="22"/>
  <c r="P18" i="22" l="1"/>
  <c r="I19" i="22"/>
  <c r="I18" i="22"/>
  <c r="I17" i="22"/>
  <c r="I16" i="22"/>
  <c r="I15" i="22"/>
  <c r="H19" i="22"/>
  <c r="H18" i="22"/>
  <c r="H17" i="22"/>
  <c r="H16" i="22"/>
  <c r="H15" i="22"/>
  <c r="F19" i="22" l="1"/>
  <c r="F18" i="22"/>
  <c r="F17" i="22"/>
  <c r="F16" i="22"/>
  <c r="F15" i="22"/>
  <c r="E19" i="22" l="1"/>
  <c r="E18" i="22"/>
  <c r="E17" i="22"/>
  <c r="E16" i="22"/>
  <c r="E15" i="22"/>
  <c r="J38" i="15" l="1"/>
  <c r="J37" i="15"/>
  <c r="J36" i="15"/>
  <c r="J35" i="15"/>
  <c r="J34" i="15"/>
  <c r="I38" i="15"/>
  <c r="I37" i="15"/>
  <c r="I36" i="15"/>
  <c r="I35" i="15"/>
  <c r="I34" i="15"/>
  <c r="H38" i="15"/>
  <c r="H37" i="15"/>
  <c r="H36" i="15"/>
  <c r="H35" i="15"/>
  <c r="H34" i="15"/>
  <c r="G38" i="15"/>
  <c r="G37" i="15"/>
  <c r="G36" i="15"/>
  <c r="G35" i="15"/>
  <c r="G34" i="15"/>
  <c r="F38" i="15"/>
  <c r="F37" i="15"/>
  <c r="F36" i="15"/>
  <c r="F35" i="15"/>
  <c r="F34" i="15"/>
  <c r="E38" i="15" l="1"/>
  <c r="E37" i="15"/>
  <c r="E36" i="15"/>
  <c r="E35" i="15"/>
  <c r="E34" i="15"/>
  <c r="J50" i="15" l="1"/>
  <c r="I50" i="15"/>
  <c r="H50" i="15"/>
  <c r="G50" i="15"/>
  <c r="F50" i="15"/>
  <c r="E50" i="15"/>
  <c r="M31" i="15" l="1"/>
  <c r="M30" i="15"/>
  <c r="M29" i="15"/>
  <c r="M28" i="15"/>
  <c r="M27" i="15"/>
  <c r="L31" i="15"/>
  <c r="L30" i="15"/>
  <c r="L29" i="15"/>
  <c r="L28" i="15"/>
  <c r="L27" i="15"/>
  <c r="K27" i="15"/>
  <c r="K28" i="15"/>
  <c r="P28" i="15" s="1"/>
  <c r="K29" i="15"/>
  <c r="K30" i="15"/>
  <c r="P30" i="15" s="1"/>
  <c r="K31" i="15"/>
  <c r="P31" i="15" s="1"/>
  <c r="P29" i="15" l="1"/>
  <c r="P27" i="15"/>
  <c r="J31" i="15"/>
  <c r="J30" i="15"/>
  <c r="J29" i="15"/>
  <c r="J28" i="15"/>
  <c r="J27" i="15"/>
  <c r="I31" i="15"/>
  <c r="I30" i="15"/>
  <c r="I29" i="15"/>
  <c r="I28" i="15"/>
  <c r="I27" i="15"/>
  <c r="H31" i="15" l="1"/>
  <c r="H30" i="15"/>
  <c r="H29" i="15"/>
  <c r="H28" i="15"/>
  <c r="H27" i="15"/>
  <c r="G31" i="15"/>
  <c r="G30" i="15"/>
  <c r="G29" i="15"/>
  <c r="G28" i="15"/>
  <c r="G27" i="15"/>
  <c r="F31" i="15"/>
  <c r="F30" i="15"/>
  <c r="F29" i="15"/>
  <c r="F28" i="15"/>
  <c r="F27" i="15"/>
  <c r="E31" i="15"/>
  <c r="E30" i="15"/>
  <c r="E29" i="15"/>
  <c r="E28" i="15"/>
  <c r="E27" i="15"/>
  <c r="B9" i="18" l="1"/>
  <c r="B8" i="18"/>
  <c r="B7" i="18"/>
  <c r="B6" i="18"/>
  <c r="B5" i="18"/>
  <c r="A1" i="32" l="1"/>
  <c r="F17" i="5" l="1"/>
  <c r="F16" i="5"/>
  <c r="F15" i="5"/>
  <c r="F14" i="5"/>
  <c r="F13" i="5"/>
  <c r="F94" i="8" l="1"/>
  <c r="G94" i="8" s="1"/>
  <c r="F93" i="8"/>
  <c r="G93" i="8" s="1"/>
  <c r="F92" i="8"/>
  <c r="G92" i="8" s="1"/>
  <c r="F91" i="8" l="1"/>
  <c r="G91" i="8" s="1"/>
  <c r="F88" i="8"/>
  <c r="F95" i="8" l="1"/>
  <c r="G88" i="8" l="1"/>
  <c r="G95" i="8"/>
  <c r="F87" i="8" l="1"/>
  <c r="G87" i="8" s="1"/>
  <c r="G89" i="8" l="1"/>
  <c r="F89" i="8"/>
  <c r="B50" i="28" l="1"/>
  <c r="B49" i="28"/>
  <c r="B48" i="28"/>
  <c r="B47" i="28"/>
  <c r="B43" i="28"/>
  <c r="B51" i="28" l="1"/>
  <c r="B44" i="28"/>
  <c r="B45" i="28" l="1"/>
  <c r="D51" i="28" l="1"/>
  <c r="D44" i="28"/>
  <c r="D45" i="28" l="1"/>
  <c r="F49" i="28" l="1"/>
  <c r="F48" i="28"/>
  <c r="F50" i="28"/>
  <c r="C44" i="28"/>
  <c r="C51" i="28"/>
  <c r="G50" i="28" l="1"/>
  <c r="G48" i="28"/>
  <c r="G49" i="28"/>
  <c r="F43" i="28"/>
  <c r="C45" i="28"/>
  <c r="G43" i="28" l="1"/>
  <c r="E51" i="28"/>
  <c r="E44" i="28"/>
  <c r="F47" i="28"/>
  <c r="G47" i="28" l="1"/>
  <c r="G51" i="28" s="1"/>
  <c r="F51" i="28"/>
  <c r="E45" i="28"/>
  <c r="F44" i="28"/>
  <c r="G44" i="28" s="1"/>
  <c r="G45" i="28" l="1"/>
  <c r="F45" i="28"/>
  <c r="B87" i="28" l="1"/>
  <c r="F86" i="28"/>
  <c r="G86" i="28" s="1"/>
  <c r="F85" i="28"/>
  <c r="G85" i="28" s="1"/>
  <c r="E80" i="28"/>
  <c r="B80" i="28"/>
  <c r="B81" i="28" s="1"/>
  <c r="B75" i="28"/>
  <c r="F74" i="28"/>
  <c r="F73" i="28"/>
  <c r="F72" i="28"/>
  <c r="D68" i="28"/>
  <c r="B68" i="28"/>
  <c r="F67" i="28"/>
  <c r="G67" i="28" l="1"/>
  <c r="H23" i="29"/>
  <c r="J23" i="29"/>
  <c r="K23" i="29"/>
  <c r="P23" i="29" s="1"/>
  <c r="L23" i="29"/>
  <c r="I23" i="29"/>
  <c r="G74" i="28"/>
  <c r="L27" i="29"/>
  <c r="I27" i="29"/>
  <c r="J27" i="29"/>
  <c r="H27" i="29"/>
  <c r="K27" i="29"/>
  <c r="G73" i="28"/>
  <c r="I26" i="29"/>
  <c r="J26" i="29"/>
  <c r="L26" i="29"/>
  <c r="H26" i="29"/>
  <c r="K26" i="29"/>
  <c r="P26" i="29" s="1"/>
  <c r="G72" i="28"/>
  <c r="H25" i="29"/>
  <c r="L25" i="29"/>
  <c r="J25" i="29"/>
  <c r="I25" i="29"/>
  <c r="K25" i="29"/>
  <c r="B69" i="28"/>
  <c r="F79" i="28"/>
  <c r="G79" i="28" s="1"/>
  <c r="C87" i="28"/>
  <c r="D87" i="28"/>
  <c r="F84" i="28"/>
  <c r="G84" i="28" s="1"/>
  <c r="E81" i="28"/>
  <c r="C75" i="28"/>
  <c r="E75" i="28"/>
  <c r="F83" i="28"/>
  <c r="G83" i="28" s="1"/>
  <c r="E87" i="28"/>
  <c r="D69" i="28"/>
  <c r="C80" i="28"/>
  <c r="D80" i="28"/>
  <c r="D81" i="28" s="1"/>
  <c r="F71" i="28"/>
  <c r="C68" i="28"/>
  <c r="D75" i="28"/>
  <c r="E68" i="28"/>
  <c r="P25" i="29" l="1"/>
  <c r="G71" i="28"/>
  <c r="K24" i="29"/>
  <c r="P24" i="29" s="1"/>
  <c r="I24" i="29"/>
  <c r="J24" i="29"/>
  <c r="L24" i="29"/>
  <c r="H24" i="29"/>
  <c r="P27" i="29"/>
  <c r="C69" i="28"/>
  <c r="E69" i="28"/>
  <c r="G75" i="28"/>
  <c r="F80" i="28"/>
  <c r="G80" i="28" s="1"/>
  <c r="C81" i="28"/>
  <c r="G87" i="28"/>
  <c r="F87" i="28"/>
  <c r="F68" i="28"/>
  <c r="G68" i="28" s="1"/>
  <c r="F75" i="28"/>
  <c r="G69" i="28" l="1"/>
  <c r="G81" i="28"/>
  <c r="F81" i="28"/>
  <c r="F69" i="28"/>
  <c r="D44" i="15" l="1"/>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G83" i="8" s="1"/>
  <c r="F82" i="8"/>
  <c r="G82" i="8" s="1"/>
  <c r="F81" i="8"/>
  <c r="G81" i="8" s="1"/>
  <c r="C78" i="8"/>
  <c r="B78" i="8"/>
  <c r="D77" i="8"/>
  <c r="D78" i="8" s="1"/>
  <c r="C77" i="8"/>
  <c r="F76" i="8"/>
  <c r="G76" i="8" s="1"/>
  <c r="E84" i="8" l="1"/>
  <c r="F80" i="8"/>
  <c r="G80" i="8" s="1"/>
  <c r="F77" i="8"/>
  <c r="F78" i="8" s="1"/>
  <c r="E78" i="8" l="1"/>
  <c r="F84" i="8"/>
  <c r="G84" i="8" l="1"/>
  <c r="G77" i="8"/>
  <c r="G78" i="8" s="1"/>
  <c r="C11" i="12" l="1"/>
  <c r="C12" i="12"/>
  <c r="C13" i="12"/>
  <c r="C10" i="12"/>
  <c r="C6" i="12"/>
  <c r="B11" i="12"/>
  <c r="B12" i="12"/>
  <c r="B13" i="12"/>
  <c r="B10" i="12"/>
  <c r="B6" i="12"/>
  <c r="C36" i="31" l="1"/>
  <c r="C32" i="31"/>
  <c r="I36" i="31"/>
  <c r="H36" i="31"/>
  <c r="G36" i="31"/>
  <c r="F36" i="31"/>
  <c r="E36" i="31"/>
  <c r="I32" i="31"/>
  <c r="H32" i="31"/>
  <c r="G32" i="31"/>
  <c r="F32" i="31"/>
  <c r="E32" i="31"/>
  <c r="K13" i="31"/>
  <c r="J13" i="31"/>
  <c r="I13" i="31"/>
  <c r="H13" i="31"/>
  <c r="G13" i="31"/>
  <c r="F13" i="31"/>
  <c r="E13" i="31"/>
  <c r="D13" i="31"/>
  <c r="E12" i="31"/>
  <c r="F12" i="31" s="1"/>
  <c r="G12" i="31" s="1"/>
  <c r="H12" i="31" s="1"/>
  <c r="I12" i="31" s="1"/>
  <c r="J12" i="31" s="1"/>
  <c r="K12" i="31" s="1"/>
  <c r="L12" i="31" s="1"/>
  <c r="D12" i="31"/>
  <c r="C11" i="31"/>
  <c r="B11" i="31"/>
  <c r="E8" i="31"/>
  <c r="E4" i="31"/>
  <c r="A1" i="31"/>
  <c r="E10" i="30"/>
  <c r="D11" i="30"/>
  <c r="B7" i="30" s="1"/>
  <c r="B11" i="30"/>
  <c r="B5" i="30" s="1"/>
  <c r="A2" i="30"/>
  <c r="A1" i="30"/>
  <c r="E5" i="19"/>
  <c r="D5" i="19"/>
  <c r="E9" i="31" l="1"/>
  <c r="B12" i="30"/>
  <c r="D12" i="30"/>
  <c r="E9" i="30"/>
  <c r="D32" i="31"/>
  <c r="D36" i="31"/>
  <c r="B6" i="10"/>
  <c r="B5" i="10"/>
  <c r="E11" i="30" l="1"/>
  <c r="E12" i="30" s="1"/>
  <c r="G4" i="31" l="1"/>
  <c r="C39" i="31"/>
  <c r="D39" i="31" s="1"/>
  <c r="D73" i="8" l="1"/>
  <c r="C73" i="8"/>
  <c r="B73" i="8"/>
  <c r="F72" i="8"/>
  <c r="F71" i="8"/>
  <c r="F70" i="8"/>
  <c r="F69" i="8"/>
  <c r="C67" i="8"/>
  <c r="B67" i="8"/>
  <c r="D66" i="8"/>
  <c r="D67" i="8" s="1"/>
  <c r="C66" i="8"/>
  <c r="F73" i="8" l="1"/>
  <c r="E73" i="8"/>
  <c r="F66" i="8"/>
  <c r="G73" i="8" l="1"/>
  <c r="G66" i="8"/>
  <c r="E67" i="8" l="1"/>
  <c r="F65" i="8"/>
  <c r="F67" i="8" l="1"/>
  <c r="G67" i="8"/>
  <c r="I45" i="31" l="1"/>
  <c r="H45" i="31"/>
  <c r="H8" i="29" l="1"/>
  <c r="H7" i="29"/>
  <c r="H6" i="29"/>
  <c r="H5" i="29"/>
  <c r="B55" i="29"/>
  <c r="C55" i="29" s="1"/>
  <c r="C36" i="29"/>
  <c r="C43" i="29" s="1"/>
  <c r="C35" i="29"/>
  <c r="C42" i="29" s="1"/>
  <c r="C34" i="29"/>
  <c r="C41" i="29" s="1"/>
  <c r="C33" i="29"/>
  <c r="C40" i="29" s="1"/>
  <c r="C32" i="29"/>
  <c r="C39" i="29" s="1"/>
  <c r="E12" i="29"/>
  <c r="F12" i="29" s="1"/>
  <c r="G12" i="29" s="1"/>
  <c r="H12" i="29" s="1"/>
  <c r="I12" i="29" s="1"/>
  <c r="J12" i="29" s="1"/>
  <c r="K12" i="29" s="1"/>
  <c r="L12" i="29" s="1"/>
  <c r="M12" i="29" s="1"/>
  <c r="C11" i="29"/>
  <c r="B11" i="29"/>
  <c r="H4" i="29"/>
  <c r="A1" i="29"/>
  <c r="F45" i="29" l="1"/>
  <c r="E45" i="31"/>
  <c r="G45" i="29"/>
  <c r="F45" i="31"/>
  <c r="E45" i="29"/>
  <c r="D45" i="31"/>
  <c r="H45" i="29"/>
  <c r="G45" i="31"/>
  <c r="H9" i="29"/>
  <c r="D47" i="31" l="1"/>
  <c r="E39" i="31" l="1"/>
  <c r="E47" i="31"/>
  <c r="F47" i="31" l="1"/>
  <c r="F39" i="31"/>
  <c r="G47" i="31" l="1"/>
  <c r="G39" i="31"/>
  <c r="H47" i="31" l="1"/>
  <c r="H39" i="31"/>
  <c r="I39" i="31" l="1"/>
  <c r="I47" i="31"/>
  <c r="J17" i="31" l="1"/>
  <c r="M20" i="29"/>
  <c r="M36" i="29" s="1"/>
  <c r="L17" i="31"/>
  <c r="L33" i="31" s="1"/>
  <c r="M19" i="29" l="1"/>
  <c r="M35" i="29" s="1"/>
  <c r="L19" i="31"/>
  <c r="L35" i="31" s="1"/>
  <c r="K19" i="29"/>
  <c r="J19" i="31"/>
  <c r="K18" i="29"/>
  <c r="J18" i="31"/>
  <c r="J33" i="31"/>
  <c r="M18" i="29"/>
  <c r="M34" i="29" s="1"/>
  <c r="L18" i="31"/>
  <c r="L34" i="31" s="1"/>
  <c r="M16" i="29"/>
  <c r="M32" i="29" s="1"/>
  <c r="L16" i="31"/>
  <c r="K17" i="29"/>
  <c r="K16" i="29"/>
  <c r="P16" i="29" s="1"/>
  <c r="J16" i="31"/>
  <c r="O16" i="31" s="1"/>
  <c r="M17" i="29"/>
  <c r="M33" i="29" s="1"/>
  <c r="L20" i="31"/>
  <c r="L36" i="31" s="1"/>
  <c r="L16" i="29"/>
  <c r="K16" i="31"/>
  <c r="K20" i="29"/>
  <c r="J34" i="31" l="1"/>
  <c r="J35" i="31"/>
  <c r="E4" i="29"/>
  <c r="J20" i="31"/>
  <c r="J32" i="31"/>
  <c r="D4" i="31"/>
  <c r="K32" i="31"/>
  <c r="L32" i="31"/>
  <c r="L20" i="29"/>
  <c r="P20" i="29" s="1"/>
  <c r="K17" i="31"/>
  <c r="O17" i="31" s="1"/>
  <c r="K33" i="31" l="1"/>
  <c r="D5" i="31"/>
  <c r="F5" i="31" s="1"/>
  <c r="L19" i="29"/>
  <c r="K19" i="31"/>
  <c r="O19" i="31" s="1"/>
  <c r="L18" i="29"/>
  <c r="K18" i="31"/>
  <c r="O18" i="31" s="1"/>
  <c r="F4" i="31"/>
  <c r="J39" i="31"/>
  <c r="L17" i="29"/>
  <c r="P17" i="29" s="1"/>
  <c r="K20" i="31"/>
  <c r="O20" i="31" s="1"/>
  <c r="J36" i="31"/>
  <c r="E8" i="29"/>
  <c r="E7" i="29" l="1"/>
  <c r="P19" i="29"/>
  <c r="E6" i="29"/>
  <c r="P18" i="29"/>
  <c r="E5" i="29"/>
  <c r="E9" i="29" s="1"/>
  <c r="K34" i="31"/>
  <c r="D6" i="31"/>
  <c r="F6" i="31" s="1"/>
  <c r="K35" i="31"/>
  <c r="D7" i="31"/>
  <c r="F7" i="31" s="1"/>
  <c r="K36" i="31"/>
  <c r="D8" i="31"/>
  <c r="F8" i="31" l="1"/>
  <c r="F9" i="31" s="1"/>
  <c r="D9" i="31"/>
  <c r="B62" i="8"/>
  <c r="B56" i="8"/>
  <c r="F54" i="8" l="1"/>
  <c r="F59" i="8" l="1"/>
  <c r="F61" i="8" l="1"/>
  <c r="F60" i="8" l="1"/>
  <c r="E62" i="8"/>
  <c r="E56" i="8"/>
  <c r="D62" i="8" l="1"/>
  <c r="D55" i="8"/>
  <c r="D56" i="8" s="1"/>
  <c r="C62" i="8"/>
  <c r="C55" i="8"/>
  <c r="F58" i="8"/>
  <c r="F62" i="8" l="1"/>
  <c r="F55" i="8"/>
  <c r="C56" i="8"/>
  <c r="G62" i="8" l="1"/>
  <c r="G55" i="8"/>
  <c r="F56" i="8"/>
  <c r="G56" i="8" l="1"/>
  <c r="L11" i="15"/>
  <c r="L10" i="15"/>
  <c r="L9" i="15"/>
  <c r="L8" i="15"/>
  <c r="D14" i="30" l="1"/>
  <c r="B14" i="30" s="1"/>
  <c r="D17" i="30"/>
  <c r="B17" i="30" s="1"/>
  <c r="D15" i="30"/>
  <c r="B15" i="30" s="1"/>
  <c r="D16" i="30"/>
  <c r="B16" i="30" s="1"/>
  <c r="B18" i="30" l="1"/>
  <c r="D18" i="30"/>
  <c r="C41" i="31" l="1"/>
  <c r="G6" i="31"/>
  <c r="C40" i="31"/>
  <c r="G5" i="31"/>
  <c r="B55" i="31"/>
  <c r="C55" i="31" s="1"/>
  <c r="G8" i="31"/>
  <c r="C43" i="31"/>
  <c r="G7" i="31"/>
  <c r="C42" i="31"/>
  <c r="D15" i="28" l="1"/>
  <c r="D43" i="3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C15" i="28"/>
  <c r="G51" i="31" l="1"/>
  <c r="G48" i="31"/>
  <c r="G50" i="31"/>
  <c r="G49" i="31"/>
  <c r="F53" i="31"/>
  <c r="G42" i="31"/>
  <c r="E52" i="31"/>
  <c r="F55" i="31"/>
  <c r="G40" i="31"/>
  <c r="G43" i="31"/>
  <c r="H51" i="31" s="1"/>
  <c r="G41" i="31"/>
  <c r="H50" i="31" l="1"/>
  <c r="H48" i="31"/>
  <c r="H49" i="31"/>
  <c r="H43" i="31"/>
  <c r="F52" i="31"/>
  <c r="G55" i="31"/>
  <c r="H40" i="31"/>
  <c r="G53" i="31"/>
  <c r="H42" i="31"/>
  <c r="H41" i="31"/>
  <c r="E15" i="28"/>
  <c r="H53" i="31" l="1"/>
  <c r="I42" i="31"/>
  <c r="I50" i="31"/>
  <c r="G52" i="31"/>
  <c r="H55" i="31"/>
  <c r="I40" i="31"/>
  <c r="I48" i="31"/>
  <c r="I49" i="31"/>
  <c r="I41" i="31"/>
  <c r="I51" i="31"/>
  <c r="I43" i="31"/>
  <c r="J41" i="31" l="1"/>
  <c r="J40" i="31"/>
  <c r="H52" i="31"/>
  <c r="I55" i="31"/>
  <c r="I52" i="31" s="1"/>
  <c r="J43" i="31"/>
  <c r="I53" i="31"/>
  <c r="J42" i="31"/>
  <c r="B20" i="28"/>
  <c r="B38" i="28" l="1"/>
  <c r="B37" i="28"/>
  <c r="B36" i="28"/>
  <c r="B35" i="28"/>
  <c r="B31" i="28"/>
  <c r="F26" i="28"/>
  <c r="D20" i="28"/>
  <c r="C20" i="28"/>
  <c r="F24" i="28"/>
  <c r="E27" i="28"/>
  <c r="D27" i="28"/>
  <c r="C27" i="28"/>
  <c r="F23" i="28"/>
  <c r="E20" i="28"/>
  <c r="F19" i="28"/>
  <c r="A2" i="28"/>
  <c r="A1" i="28"/>
  <c r="B15" i="28" l="1"/>
  <c r="G19" i="28"/>
  <c r="G23" i="28"/>
  <c r="G26" i="28"/>
  <c r="G24" i="28"/>
  <c r="D21" i="28"/>
  <c r="E21" i="28"/>
  <c r="C21" i="28"/>
  <c r="D39" i="28"/>
  <c r="C39" i="28"/>
  <c r="F36" i="28"/>
  <c r="E39" i="28"/>
  <c r="E32" i="28"/>
  <c r="D32" i="28"/>
  <c r="F35" i="28"/>
  <c r="C32" i="28"/>
  <c r="F31" i="28"/>
  <c r="F38" i="28"/>
  <c r="F37" i="28"/>
  <c r="B32" i="28"/>
  <c r="B9" i="28" s="1"/>
  <c r="F20" i="28"/>
  <c r="F25" i="28"/>
  <c r="B27" i="28"/>
  <c r="B39" i="28"/>
  <c r="B21" i="28"/>
  <c r="F13" i="28"/>
  <c r="G25" i="29" l="1"/>
  <c r="G34" i="29" s="1"/>
  <c r="F25" i="29"/>
  <c r="E25" i="29"/>
  <c r="G36" i="28"/>
  <c r="G12" i="28" s="1"/>
  <c r="E23" i="29"/>
  <c r="E32" i="29" s="1"/>
  <c r="G23" i="29"/>
  <c r="G32" i="29" s="1"/>
  <c r="F23" i="29"/>
  <c r="G31" i="28"/>
  <c r="G7" i="28" s="1"/>
  <c r="E26" i="29"/>
  <c r="E35" i="29" s="1"/>
  <c r="G26" i="29"/>
  <c r="F26" i="29"/>
  <c r="F35" i="29" s="1"/>
  <c r="G37" i="28"/>
  <c r="G14" i="28"/>
  <c r="E27" i="29"/>
  <c r="G27" i="29"/>
  <c r="F27" i="29"/>
  <c r="G38" i="28"/>
  <c r="F24" i="29"/>
  <c r="F33" i="29" s="1"/>
  <c r="E24" i="29"/>
  <c r="E33" i="29" s="1"/>
  <c r="E40" i="29" s="1"/>
  <c r="G24" i="29"/>
  <c r="G33" i="29" s="1"/>
  <c r="G35" i="28"/>
  <c r="G39" i="28" s="1"/>
  <c r="E33" i="28"/>
  <c r="G36" i="29"/>
  <c r="E34" i="29"/>
  <c r="E41" i="29" s="1"/>
  <c r="C33" i="28"/>
  <c r="D33" i="28"/>
  <c r="F34" i="29"/>
  <c r="E36" i="29"/>
  <c r="E51" i="29" s="1"/>
  <c r="K33" i="29"/>
  <c r="H33" i="29"/>
  <c r="L33" i="29"/>
  <c r="I33" i="29"/>
  <c r="J33" i="29"/>
  <c r="F36" i="29"/>
  <c r="J35" i="29"/>
  <c r="L35" i="29"/>
  <c r="I35" i="29"/>
  <c r="L32" i="29"/>
  <c r="H32" i="29"/>
  <c r="J32" i="29"/>
  <c r="I32" i="29"/>
  <c r="G25" i="28"/>
  <c r="G13" i="28" s="1"/>
  <c r="G35" i="29"/>
  <c r="L34" i="29"/>
  <c r="J34" i="29"/>
  <c r="I34" i="29"/>
  <c r="H34" i="29"/>
  <c r="L36" i="29"/>
  <c r="K36" i="29"/>
  <c r="J36" i="29"/>
  <c r="I36" i="29"/>
  <c r="K34" i="29"/>
  <c r="C9" i="28"/>
  <c r="E9" i="28"/>
  <c r="D9" i="28"/>
  <c r="F32" i="29"/>
  <c r="F12" i="28"/>
  <c r="F27" i="28"/>
  <c r="F21" i="28"/>
  <c r="F11" i="28"/>
  <c r="F14" i="28"/>
  <c r="F32" i="28"/>
  <c r="G32" i="28" s="1"/>
  <c r="F39" i="28"/>
  <c r="B33" i="28"/>
  <c r="F7" i="28"/>
  <c r="G11" i="28" l="1"/>
  <c r="E48" i="29"/>
  <c r="E49" i="29"/>
  <c r="E43" i="29"/>
  <c r="F51" i="29" s="1"/>
  <c r="K13" i="29"/>
  <c r="P13" i="29" s="1"/>
  <c r="K32" i="29"/>
  <c r="F8" i="29"/>
  <c r="G8" i="29" s="1"/>
  <c r="G13" i="29"/>
  <c r="F13" i="29"/>
  <c r="F4" i="29"/>
  <c r="G4" i="29" s="1"/>
  <c r="G20" i="28"/>
  <c r="F6" i="29"/>
  <c r="G6" i="29" s="1"/>
  <c r="E13" i="29"/>
  <c r="F40" i="29"/>
  <c r="F5" i="29"/>
  <c r="G5" i="29" s="1"/>
  <c r="H36" i="29"/>
  <c r="F48" i="29"/>
  <c r="E42" i="29"/>
  <c r="E50" i="29"/>
  <c r="F41" i="29"/>
  <c r="F49" i="29"/>
  <c r="E47" i="29"/>
  <c r="E39" i="29"/>
  <c r="G33" i="28"/>
  <c r="L13" i="29"/>
  <c r="J13" i="29"/>
  <c r="G27" i="28"/>
  <c r="I13" i="29"/>
  <c r="F7" i="29"/>
  <c r="G7" i="29" s="1"/>
  <c r="H35" i="29"/>
  <c r="H13" i="29"/>
  <c r="K35" i="29"/>
  <c r="F15" i="28"/>
  <c r="F33" i="28"/>
  <c r="F8" i="28"/>
  <c r="F9" i="28" s="1"/>
  <c r="G8" i="28" l="1"/>
  <c r="G9" i="28" s="1"/>
  <c r="G15" i="28"/>
  <c r="F43" i="29"/>
  <c r="G51" i="29"/>
  <c r="E53" i="29"/>
  <c r="G43" i="29"/>
  <c r="G48" i="29"/>
  <c r="G21" i="28"/>
  <c r="F39" i="29"/>
  <c r="F47" i="29"/>
  <c r="G41" i="29"/>
  <c r="G49" i="29"/>
  <c r="G40" i="29"/>
  <c r="F50" i="29"/>
  <c r="F42" i="29"/>
  <c r="E55" i="29"/>
  <c r="E52" i="29" s="1"/>
  <c r="G9" i="29"/>
  <c r="F9" i="29"/>
  <c r="H43" i="29" l="1"/>
  <c r="H51" i="29"/>
  <c r="I43" i="29" s="1"/>
  <c r="G42" i="29"/>
  <c r="G50" i="29"/>
  <c r="H40" i="29"/>
  <c r="H48" i="29"/>
  <c r="H41" i="29"/>
  <c r="H49" i="29"/>
  <c r="F53" i="29"/>
  <c r="F55" i="29"/>
  <c r="F52" i="29" s="1"/>
  <c r="G39" i="29"/>
  <c r="G47" i="29"/>
  <c r="I41" i="29" l="1"/>
  <c r="I40" i="29"/>
  <c r="G53" i="29"/>
  <c r="G55" i="29"/>
  <c r="G52" i="29" s="1"/>
  <c r="H47" i="29"/>
  <c r="H39" i="29"/>
  <c r="H50" i="29"/>
  <c r="H42" i="29"/>
  <c r="D42" i="22"/>
  <c r="D41" i="22"/>
  <c r="D40" i="22"/>
  <c r="D39" i="22"/>
  <c r="D38" i="22"/>
  <c r="H53" i="29" l="1"/>
  <c r="H55" i="29"/>
  <c r="H52" i="29" s="1"/>
  <c r="I42" i="29"/>
  <c r="I39" i="29"/>
  <c r="D9" i="10"/>
  <c r="B10" i="10" l="1"/>
  <c r="B11" i="10" s="1"/>
  <c r="D8" i="10"/>
  <c r="C10" i="10"/>
  <c r="C11" i="10" s="1"/>
  <c r="B43" i="13" l="1"/>
  <c r="F50" i="8" l="1"/>
  <c r="F49" i="8"/>
  <c r="F48" i="8"/>
  <c r="E51" i="8"/>
  <c r="D51" i="8"/>
  <c r="C51" i="8"/>
  <c r="B51" i="8"/>
  <c r="B45" i="8"/>
  <c r="F47" i="8" l="1"/>
  <c r="F51" i="8" l="1"/>
  <c r="G51" i="8"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2" i="10"/>
  <c r="A1" i="10"/>
  <c r="A1" i="23"/>
  <c r="A2" i="8"/>
  <c r="A1" i="8"/>
  <c r="A1" i="24"/>
  <c r="A1" i="16"/>
  <c r="A1" i="19"/>
  <c r="A1" i="12"/>
  <c r="A1" i="22"/>
  <c r="A1" i="15"/>
  <c r="A2" i="12"/>
  <c r="A1" i="5"/>
  <c r="C42" i="16"/>
  <c r="B15" i="8" l="1"/>
  <c r="B61" i="22"/>
  <c r="B9" i="8" l="1"/>
  <c r="Q16" i="22"/>
  <c r="Q18" i="22" l="1"/>
  <c r="Q17" i="22"/>
  <c r="Q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C46" i="24"/>
  <c r="E12" i="24"/>
  <c r="F12" i="24" s="1"/>
  <c r="G12" i="24" s="1"/>
  <c r="H12" i="24" s="1"/>
  <c r="I12" i="24" s="1"/>
  <c r="J12" i="24" s="1"/>
  <c r="K12" i="24" s="1"/>
  <c r="L12" i="24" s="1"/>
  <c r="M12" i="24" s="1"/>
  <c r="I8" i="24"/>
  <c r="I4" i="24"/>
  <c r="D46" i="24" l="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C17" i="10" l="1"/>
  <c r="L12" i="15"/>
  <c r="B27" i="8"/>
  <c r="L12" i="16"/>
  <c r="B21" i="8" l="1"/>
  <c r="D42" i="16" l="1"/>
  <c r="D16" i="16"/>
  <c r="B56" i="16" l="1"/>
  <c r="B57" i="15"/>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44"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E48" i="15" s="1"/>
  <c r="C43" i="15"/>
  <c r="C47" i="15" s="1"/>
  <c r="D47" i="15" s="1"/>
  <c r="M24" i="15"/>
  <c r="M23" i="15"/>
  <c r="J43" i="15"/>
  <c r="I43" i="15"/>
  <c r="H43" i="15"/>
  <c r="G43" i="15"/>
  <c r="F43" i="15"/>
  <c r="E43" i="15"/>
  <c r="I5" i="15"/>
  <c r="I4" i="15"/>
  <c r="E47" i="15" l="1"/>
  <c r="D48" i="15"/>
  <c r="E53" i="15"/>
  <c r="E52" i="15"/>
  <c r="I6" i="15"/>
  <c r="I6" i="16"/>
  <c r="F47" i="15" l="1"/>
  <c r="E57" i="15"/>
  <c r="E54" i="15" s="1"/>
  <c r="F48" i="15"/>
  <c r="E55" i="15"/>
  <c r="D10" i="10" l="1"/>
  <c r="D11" i="10" s="1"/>
  <c r="B17" i="10" l="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33" i="8"/>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P17" i="24" s="1"/>
  <c r="K20" i="16"/>
  <c r="P20" i="16" s="1"/>
  <c r="J20" i="13"/>
  <c r="O20" i="13" s="1"/>
  <c r="F5" i="15"/>
  <c r="K36" i="15"/>
  <c r="K24" i="22"/>
  <c r="P24" i="22" s="1"/>
  <c r="K21" i="23"/>
  <c r="P21" i="23" s="1"/>
  <c r="K18" i="24"/>
  <c r="K21" i="16"/>
  <c r="K25" i="22"/>
  <c r="P25" i="22" s="1"/>
  <c r="K22" i="23"/>
  <c r="P22" i="23" s="1"/>
  <c r="K19" i="24"/>
  <c r="K37" i="15"/>
  <c r="K22" i="16"/>
  <c r="P22" i="16" s="1"/>
  <c r="K26" i="22"/>
  <c r="K23" i="23"/>
  <c r="K20" i="24"/>
  <c r="K23" i="16"/>
  <c r="K38" i="15"/>
  <c r="P38" i="15" s="1"/>
  <c r="P23" i="23" l="1"/>
  <c r="P18" i="24"/>
  <c r="P23" i="22"/>
  <c r="P21" i="16"/>
  <c r="P20" i="23"/>
  <c r="P35" i="15"/>
  <c r="P23" i="16"/>
  <c r="P20" i="24"/>
  <c r="P36" i="15"/>
  <c r="P37" i="15"/>
  <c r="P19" i="24"/>
  <c r="M44" i="15"/>
  <c r="E5" i="15"/>
  <c r="H5" i="15" s="1"/>
  <c r="K44" i="15"/>
  <c r="K32" i="22"/>
  <c r="P32" i="22" s="1"/>
  <c r="F7" i="22"/>
  <c r="E5" i="24"/>
  <c r="K33" i="22"/>
  <c r="F8" i="22"/>
  <c r="K30" i="22"/>
  <c r="P30" i="22" s="1"/>
  <c r="F5" i="22"/>
  <c r="M43" i="16"/>
  <c r="J30" i="13"/>
  <c r="D5" i="13"/>
  <c r="F5" i="13" s="1"/>
  <c r="L43" i="16"/>
  <c r="E5" i="16"/>
  <c r="H5" i="16" s="1"/>
  <c r="K43" i="16"/>
  <c r="E7" i="24"/>
  <c r="K31" i="22"/>
  <c r="P31" i="22" s="1"/>
  <c r="F6" i="22"/>
  <c r="E5" i="23"/>
  <c r="E6" i="24"/>
  <c r="E8" i="24"/>
  <c r="L44" i="15"/>
  <c r="E5" i="22" l="1"/>
  <c r="H5" i="22" s="1"/>
  <c r="K39" i="22"/>
  <c r="E7" i="22"/>
  <c r="H7" i="22" s="1"/>
  <c r="K41" i="22"/>
  <c r="E8" i="22"/>
  <c r="H8" i="22" s="1"/>
  <c r="K42" i="22"/>
  <c r="E6" i="22"/>
  <c r="H6" i="22" s="1"/>
  <c r="K40" i="22"/>
  <c r="G7" i="5" l="1"/>
  <c r="G5" i="5"/>
  <c r="G8" i="5"/>
  <c r="Z16" i="5" l="1"/>
  <c r="AA16" i="5"/>
  <c r="Z17" i="5"/>
  <c r="AA17" i="5"/>
  <c r="AA14" i="5"/>
  <c r="Z14" i="5"/>
  <c r="G4" i="5"/>
  <c r="V17" i="5"/>
  <c r="T17" i="5"/>
  <c r="K22" i="22"/>
  <c r="K19" i="23"/>
  <c r="P19" i="23" s="1"/>
  <c r="K19" i="16"/>
  <c r="P19" i="16" s="1"/>
  <c r="K16" i="24"/>
  <c r="P16" i="24" s="1"/>
  <c r="J19" i="13"/>
  <c r="K34" i="15"/>
  <c r="F4" i="15"/>
  <c r="F6" i="15" s="1"/>
  <c r="V14" i="5"/>
  <c r="T14" i="5"/>
  <c r="V16" i="5"/>
  <c r="T16" i="5"/>
  <c r="G6" i="5"/>
  <c r="M22" i="22"/>
  <c r="M29" i="22" s="1"/>
  <c r="M38" i="22" s="1"/>
  <c r="M16" i="24"/>
  <c r="M19" i="23"/>
  <c r="M19" i="16"/>
  <c r="L19" i="13"/>
  <c r="M34" i="15"/>
  <c r="M43" i="15" s="1"/>
  <c r="L22" i="22"/>
  <c r="L29" i="22" s="1"/>
  <c r="K19" i="13"/>
  <c r="L16" i="24"/>
  <c r="L19" i="23"/>
  <c r="L19" i="16"/>
  <c r="L34" i="15"/>
  <c r="P22" i="22" l="1"/>
  <c r="P34" i="15"/>
  <c r="O19" i="13"/>
  <c r="Z15" i="5"/>
  <c r="AA13" i="5"/>
  <c r="Z13" i="5"/>
  <c r="V13" i="5"/>
  <c r="AA15" i="5"/>
  <c r="E4" i="24"/>
  <c r="E4" i="16"/>
  <c r="K42" i="16"/>
  <c r="M42" i="16"/>
  <c r="B10" i="18"/>
  <c r="E4" i="23"/>
  <c r="V15" i="5"/>
  <c r="T15" i="5"/>
  <c r="L38" i="22"/>
  <c r="M35" i="23"/>
  <c r="M39" i="24"/>
  <c r="T13" i="5"/>
  <c r="K29" i="22"/>
  <c r="P29" i="22" s="1"/>
  <c r="F4" i="22"/>
  <c r="F9" i="22" s="1"/>
  <c r="K29" i="13"/>
  <c r="E4" i="15"/>
  <c r="K43" i="15"/>
  <c r="L43" i="15"/>
  <c r="L42" i="16"/>
  <c r="L29" i="13"/>
  <c r="J29" i="13"/>
  <c r="D4" i="13"/>
  <c r="E6" i="16" l="1"/>
  <c r="H4" i="16"/>
  <c r="E9" i="24"/>
  <c r="E6" i="15"/>
  <c r="H4" i="15"/>
  <c r="H6" i="15" s="1"/>
  <c r="D6" i="13"/>
  <c r="F4" i="13"/>
  <c r="E6" i="23"/>
  <c r="E4" i="22"/>
  <c r="K38" i="22"/>
  <c r="H6" i="16" l="1"/>
  <c r="E9" i="22"/>
  <c r="H4" i="22"/>
  <c r="F6" i="13"/>
  <c r="H9" i="22" l="1"/>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L35" i="23" l="1"/>
  <c r="E35" i="23"/>
  <c r="F35" i="23"/>
  <c r="G35" i="23"/>
  <c r="E13" i="5" l="1"/>
  <c r="E50" i="23"/>
  <c r="E42" i="23"/>
  <c r="I35" i="23"/>
  <c r="H35" i="23"/>
  <c r="F4" i="23"/>
  <c r="G4" i="23" s="1"/>
  <c r="K35" i="23"/>
  <c r="J35" i="23"/>
  <c r="U13" i="5" l="1"/>
  <c r="F42" i="23"/>
  <c r="F12" i="8" l="1"/>
  <c r="F36" i="8"/>
  <c r="G36" i="8" l="1"/>
  <c r="E37" i="23"/>
  <c r="G37" i="23"/>
  <c r="F37" i="23"/>
  <c r="H37" i="23"/>
  <c r="F14" i="8"/>
  <c r="F38" i="8"/>
  <c r="G38" i="8" l="1"/>
  <c r="G39" i="23"/>
  <c r="E39" i="23"/>
  <c r="F39" i="23"/>
  <c r="H39" i="23"/>
  <c r="U15" i="5"/>
  <c r="E15" i="5"/>
  <c r="I37" i="23"/>
  <c r="L37" i="23"/>
  <c r="J37" i="23"/>
  <c r="E52" i="23"/>
  <c r="E44" i="23"/>
  <c r="U17" i="5" l="1"/>
  <c r="E17" i="5"/>
  <c r="I39" i="23"/>
  <c r="K37" i="23"/>
  <c r="E46" i="23"/>
  <c r="E54" i="23"/>
  <c r="L39" i="23"/>
  <c r="F44" i="23"/>
  <c r="J39" i="23"/>
  <c r="K39" i="23" l="1"/>
  <c r="F46" i="23"/>
  <c r="F13" i="8"/>
  <c r="F37" i="8"/>
  <c r="G37" i="8" l="1"/>
  <c r="F38" i="23"/>
  <c r="G38" i="23"/>
  <c r="E38" i="23"/>
  <c r="H38" i="23"/>
  <c r="E39" i="8"/>
  <c r="E16" i="5" l="1"/>
  <c r="L38" i="23"/>
  <c r="I38" i="23"/>
  <c r="J38" i="23"/>
  <c r="E53" i="23"/>
  <c r="E45" i="23"/>
  <c r="E45" i="8"/>
  <c r="K38" i="23"/>
  <c r="E33" i="8"/>
  <c r="U16" i="5" l="1"/>
  <c r="F45" i="23"/>
  <c r="D45" i="8" l="1"/>
  <c r="C45" i="8" l="1"/>
  <c r="F44" i="8"/>
  <c r="F45" i="8" l="1"/>
  <c r="D39" i="8"/>
  <c r="C39" i="8"/>
  <c r="F35" i="8"/>
  <c r="G35" i="8" l="1"/>
  <c r="C33" i="8"/>
  <c r="F32" i="8"/>
  <c r="D33" i="8"/>
  <c r="G45" i="8"/>
  <c r="F11" i="8"/>
  <c r="F15" i="8" s="1"/>
  <c r="F39" i="8"/>
  <c r="G32" i="8" l="1"/>
  <c r="U14" i="5"/>
  <c r="F8" i="8"/>
  <c r="F9" i="8" s="1"/>
  <c r="E14" i="5"/>
  <c r="F33" i="8"/>
  <c r="G36" i="23"/>
  <c r="G16" i="23"/>
  <c r="E36" i="23"/>
  <c r="E16" i="23"/>
  <c r="F36" i="23"/>
  <c r="F16" i="23"/>
  <c r="G39" i="8"/>
  <c r="G33" i="8" l="1"/>
  <c r="E43" i="23"/>
  <c r="E51" i="23"/>
  <c r="L16" i="23"/>
  <c r="L36" i="23"/>
  <c r="H36" i="23"/>
  <c r="F5" i="23"/>
  <c r="H16" i="23"/>
  <c r="K36" i="23"/>
  <c r="K16" i="23"/>
  <c r="J36" i="23"/>
  <c r="J16" i="23"/>
  <c r="I36" i="23"/>
  <c r="I16" i="23"/>
  <c r="F43" i="23" l="1"/>
  <c r="E58" i="23"/>
  <c r="E55" i="23" s="1"/>
  <c r="E56" i="23"/>
  <c r="F6" i="23"/>
  <c r="G5" i="23"/>
  <c r="G6" i="23" s="1"/>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K50" i="15"/>
  <c r="J48" i="23"/>
  <c r="I36" i="13"/>
  <c r="J51" i="22"/>
  <c r="J49" i="16"/>
  <c r="J52" i="24"/>
  <c r="F52" i="24"/>
  <c r="E36" i="13"/>
  <c r="F49" i="16"/>
  <c r="F48" i="23"/>
  <c r="F52" i="23" s="1"/>
  <c r="F51" i="22"/>
  <c r="F53" i="15"/>
  <c r="F52" i="15"/>
  <c r="H52" i="24"/>
  <c r="H48" i="23"/>
  <c r="H49" i="16"/>
  <c r="H51" i="22"/>
  <c r="G36" i="13"/>
  <c r="F36" i="13"/>
  <c r="G48" i="23"/>
  <c r="G49" i="16"/>
  <c r="G51" i="22"/>
  <c r="G52" i="24"/>
  <c r="K45" i="29" l="1"/>
  <c r="J45" i="31"/>
  <c r="J53" i="29"/>
  <c r="K42" i="29"/>
  <c r="K50" i="29"/>
  <c r="K39" i="29"/>
  <c r="K47" i="29"/>
  <c r="K49" i="29"/>
  <c r="K41" i="29"/>
  <c r="K43" i="29"/>
  <c r="K51" i="29"/>
  <c r="K40" i="29"/>
  <c r="K48" i="29"/>
  <c r="I52" i="29"/>
  <c r="J55" i="29"/>
  <c r="F58" i="24"/>
  <c r="F54" i="24"/>
  <c r="F57" i="24"/>
  <c r="F56" i="24"/>
  <c r="F55" i="24"/>
  <c r="E39" i="13"/>
  <c r="E38" i="13"/>
  <c r="G48" i="15"/>
  <c r="G53" i="15"/>
  <c r="G52" i="15"/>
  <c r="G47" i="15"/>
  <c r="F55" i="15"/>
  <c r="F57" i="15"/>
  <c r="F54" i="15" s="1"/>
  <c r="F57" i="22"/>
  <c r="F56" i="22"/>
  <c r="F53" i="22"/>
  <c r="F54" i="22"/>
  <c r="F55" i="22"/>
  <c r="F50" i="23"/>
  <c r="F54" i="23"/>
  <c r="F53" i="23"/>
  <c r="F51" i="23"/>
  <c r="F51" i="16"/>
  <c r="F52" i="16"/>
  <c r="L50" i="15"/>
  <c r="K48" i="23"/>
  <c r="J36" i="13"/>
  <c r="K52" i="24"/>
  <c r="K49" i="16"/>
  <c r="K51" i="22"/>
  <c r="H52" i="15" l="1"/>
  <c r="H53" i="15"/>
  <c r="J49" i="31"/>
  <c r="J50" i="31"/>
  <c r="J48" i="31"/>
  <c r="H47" i="15"/>
  <c r="L45" i="29"/>
  <c r="L48" i="29" s="1"/>
  <c r="I5" i="29" s="1"/>
  <c r="J5" i="29" s="1"/>
  <c r="Z23" i="5" s="1"/>
  <c r="K45" i="31"/>
  <c r="J47" i="31"/>
  <c r="J51" i="31"/>
  <c r="L41" i="29"/>
  <c r="K53" i="29"/>
  <c r="J52" i="29"/>
  <c r="K55" i="29"/>
  <c r="L39" i="29"/>
  <c r="L40" i="29"/>
  <c r="L43" i="29"/>
  <c r="L42" i="29"/>
  <c r="E41" i="13"/>
  <c r="E43" i="13"/>
  <c r="E40" i="13" s="1"/>
  <c r="F33" i="13"/>
  <c r="F38" i="13"/>
  <c r="G57" i="22"/>
  <c r="G49" i="22"/>
  <c r="F34" i="13"/>
  <c r="F39" i="13"/>
  <c r="H48" i="15"/>
  <c r="F60" i="24"/>
  <c r="G47" i="24"/>
  <c r="G55" i="24"/>
  <c r="G53" i="23"/>
  <c r="G45" i="23"/>
  <c r="G52" i="23"/>
  <c r="G44" i="23"/>
  <c r="G55" i="22"/>
  <c r="G47" i="22"/>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K36" i="13"/>
  <c r="L49" i="16"/>
  <c r="L51" i="22"/>
  <c r="L52" i="24"/>
  <c r="G43" i="23"/>
  <c r="G51" i="23"/>
  <c r="G48" i="22"/>
  <c r="G56" i="22"/>
  <c r="G58" i="24"/>
  <c r="G50" i="24"/>
  <c r="L47" i="29" l="1"/>
  <c r="L50" i="29"/>
  <c r="L51" i="29"/>
  <c r="L49" i="29"/>
  <c r="K40" i="31"/>
  <c r="K48" i="31"/>
  <c r="H5" i="31" s="1"/>
  <c r="I5" i="31" s="1"/>
  <c r="K50" i="31"/>
  <c r="H7" i="31" s="1"/>
  <c r="I7" i="31" s="1"/>
  <c r="K42" i="31"/>
  <c r="K41" i="31"/>
  <c r="K49" i="31"/>
  <c r="H6" i="31" s="1"/>
  <c r="I6" i="31" s="1"/>
  <c r="G38" i="13"/>
  <c r="G39" i="13"/>
  <c r="K51" i="31"/>
  <c r="H8" i="31" s="1"/>
  <c r="I8" i="31" s="1"/>
  <c r="K43" i="31"/>
  <c r="J53" i="31"/>
  <c r="J55" i="31"/>
  <c r="J52" i="31" s="1"/>
  <c r="K39" i="31"/>
  <c r="K47" i="31"/>
  <c r="D15" i="20"/>
  <c r="K52" i="29"/>
  <c r="M48" i="29"/>
  <c r="P48" i="29" s="1"/>
  <c r="M40" i="29"/>
  <c r="K5" i="29" s="1"/>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57" i="15"/>
  <c r="H54" i="15" s="1"/>
  <c r="H55" i="15"/>
  <c r="I47" i="15"/>
  <c r="I52" i="15"/>
  <c r="H43" i="23"/>
  <c r="H51" i="23"/>
  <c r="H46" i="23"/>
  <c r="H54" i="23"/>
  <c r="G61" i="22"/>
  <c r="G58" i="22" s="1"/>
  <c r="G59" i="22"/>
  <c r="H47" i="16"/>
  <c r="H52" i="16"/>
  <c r="H48" i="24"/>
  <c r="H56" i="24"/>
  <c r="H56" i="22"/>
  <c r="H48" i="22"/>
  <c r="G62" i="24"/>
  <c r="G59" i="24" s="1"/>
  <c r="H45" i="23"/>
  <c r="H53" i="23"/>
  <c r="I7" i="29" l="1"/>
  <c r="J7" i="29" s="1"/>
  <c r="Z25" i="5" s="1"/>
  <c r="M42" i="29"/>
  <c r="K7" i="29" s="1"/>
  <c r="M47" i="29"/>
  <c r="P47" i="29" s="1"/>
  <c r="M39" i="29"/>
  <c r="I4" i="29"/>
  <c r="I6" i="29"/>
  <c r="J6" i="29" s="1"/>
  <c r="Z24" i="5" s="1"/>
  <c r="I8" i="29"/>
  <c r="J8" i="29" s="1"/>
  <c r="Z26" i="5" s="1"/>
  <c r="P51" i="29"/>
  <c r="O49" i="31"/>
  <c r="AA25" i="5"/>
  <c r="E17" i="20" s="1"/>
  <c r="AA26" i="5"/>
  <c r="E18" i="20" s="1"/>
  <c r="AA23" i="5"/>
  <c r="E15" i="20" s="1"/>
  <c r="AA24" i="5"/>
  <c r="E16" i="20" s="1"/>
  <c r="D17" i="20"/>
  <c r="M50" i="29"/>
  <c r="P50" i="29" s="1"/>
  <c r="M41" i="29"/>
  <c r="K6" i="29" s="1"/>
  <c r="D18" i="20"/>
  <c r="M43" i="29"/>
  <c r="K8" i="29" s="1"/>
  <c r="M51" i="29"/>
  <c r="L53" i="29"/>
  <c r="L55" i="29"/>
  <c r="L52" i="29" s="1"/>
  <c r="D16" i="20"/>
  <c r="M49" i="29"/>
  <c r="P49" i="29" s="1"/>
  <c r="H39" i="13"/>
  <c r="H38" i="13"/>
  <c r="L41" i="31"/>
  <c r="J6" i="31" s="1"/>
  <c r="L49" i="31"/>
  <c r="L42" i="31"/>
  <c r="J7" i="31" s="1"/>
  <c r="L50" i="31"/>
  <c r="O50" i="31" s="1"/>
  <c r="L40" i="31"/>
  <c r="J5" i="31" s="1"/>
  <c r="L48" i="31"/>
  <c r="O48" i="31" s="1"/>
  <c r="G41" i="13"/>
  <c r="L43" i="31"/>
  <c r="J8" i="31" s="1"/>
  <c r="L51" i="31"/>
  <c r="O51" i="31" s="1"/>
  <c r="L39" i="31"/>
  <c r="L47" i="31"/>
  <c r="O47" i="31" s="1"/>
  <c r="K53" i="31"/>
  <c r="H4" i="31"/>
  <c r="K55" i="31"/>
  <c r="K52" i="31" s="1"/>
  <c r="J4" i="29"/>
  <c r="Z22" i="5" s="1"/>
  <c r="I9" i="29"/>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M55" i="29" l="1"/>
  <c r="M52" i="29" s="1"/>
  <c r="M53" i="29"/>
  <c r="I38" i="13"/>
  <c r="H9" i="31"/>
  <c r="I4" i="31"/>
  <c r="AA22" i="5" s="1"/>
  <c r="L53" i="31"/>
  <c r="L55" i="31"/>
  <c r="L52" i="31" s="1"/>
  <c r="I34" i="13"/>
  <c r="I39" i="13"/>
  <c r="J9" i="29"/>
  <c r="K4" i="29"/>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K48" i="15"/>
  <c r="K53" i="15"/>
  <c r="J44" i="23"/>
  <c r="J52" i="23"/>
  <c r="J47" i="24"/>
  <c r="J55" i="24"/>
  <c r="J57" i="22"/>
  <c r="J49" i="22"/>
  <c r="I54" i="16"/>
  <c r="I56" i="16"/>
  <c r="I53" i="16" s="1"/>
  <c r="I33" i="13"/>
  <c r="J56" i="22"/>
  <c r="J48" i="22"/>
  <c r="J46" i="22"/>
  <c r="J54" i="22"/>
  <c r="J43" i="23"/>
  <c r="J51" i="23"/>
  <c r="J50" i="23"/>
  <c r="J42" i="23"/>
  <c r="K47" i="15"/>
  <c r="K52" i="15"/>
  <c r="J46" i="24"/>
  <c r="J54" i="24"/>
  <c r="H41" i="13"/>
  <c r="H43" i="13"/>
  <c r="H40" i="13" s="1"/>
  <c r="J47" i="22"/>
  <c r="J55" i="22"/>
  <c r="I59" i="22"/>
  <c r="I61" i="22"/>
  <c r="I58" i="22" s="1"/>
  <c r="J38" i="13" l="1"/>
  <c r="J34" i="13"/>
  <c r="J4" i="31"/>
  <c r="I9" i="31"/>
  <c r="J39" i="13"/>
  <c r="D14" i="20"/>
  <c r="J62" i="24"/>
  <c r="J59" i="24" s="1"/>
  <c r="K53" i="23"/>
  <c r="K45" i="23"/>
  <c r="K55" i="15"/>
  <c r="K57" i="15"/>
  <c r="K54" i="15" s="1"/>
  <c r="K44" i="23"/>
  <c r="K52" i="23"/>
  <c r="K46" i="22"/>
  <c r="K54" i="22"/>
  <c r="L52" i="15"/>
  <c r="J4" i="15" s="1"/>
  <c r="L47" i="15"/>
  <c r="K48" i="22"/>
  <c r="K56" i="22"/>
  <c r="L53" i="15"/>
  <c r="P53" i="15" s="1"/>
  <c r="L48" i="15"/>
  <c r="K49" i="22"/>
  <c r="K57" i="22"/>
  <c r="J56" i="16"/>
  <c r="J53" i="16" s="1"/>
  <c r="J54" i="16"/>
  <c r="K54" i="23"/>
  <c r="K46" i="23"/>
  <c r="K55" i="22"/>
  <c r="K47" i="22"/>
  <c r="K42" i="23"/>
  <c r="K50" i="23"/>
  <c r="J56" i="23"/>
  <c r="J58" i="23"/>
  <c r="J55" i="23" s="1"/>
  <c r="K46" i="16"/>
  <c r="K51" i="16"/>
  <c r="I43" i="13"/>
  <c r="I40" i="13" s="1"/>
  <c r="I41" i="13"/>
  <c r="J60" i="24"/>
  <c r="K47" i="16"/>
  <c r="K52" i="16"/>
  <c r="K45" i="22"/>
  <c r="K53" i="22"/>
  <c r="K43" i="23"/>
  <c r="K51" i="23"/>
  <c r="J33" i="13"/>
  <c r="J61" i="22"/>
  <c r="J58" i="22" s="1"/>
  <c r="J59" i="22"/>
  <c r="P55" i="22" l="1"/>
  <c r="P52" i="15"/>
  <c r="P54" i="22"/>
  <c r="K38" i="13"/>
  <c r="K39" i="13"/>
  <c r="H5" i="13" s="1"/>
  <c r="I5" i="13" s="1"/>
  <c r="I11" i="13" s="1"/>
  <c r="F25" i="5" s="1"/>
  <c r="E14" i="20"/>
  <c r="K34" i="13"/>
  <c r="M48" i="15"/>
  <c r="L47" i="16"/>
  <c r="L52" i="16"/>
  <c r="J5" i="16" s="1"/>
  <c r="K5" i="16" s="1"/>
  <c r="K58" i="23"/>
  <c r="K55" i="23" s="1"/>
  <c r="K56" i="23"/>
  <c r="L56" i="22"/>
  <c r="J7" i="22" s="1"/>
  <c r="K7" i="22" s="1"/>
  <c r="X25" i="5" s="1"/>
  <c r="L48" i="22"/>
  <c r="L42" i="23"/>
  <c r="L50" i="23"/>
  <c r="M47" i="15"/>
  <c r="L52" i="23"/>
  <c r="L44" i="23"/>
  <c r="K4" i="15"/>
  <c r="L55" i="15"/>
  <c r="L57" i="15"/>
  <c r="M57" i="15" s="1"/>
  <c r="K33" i="13"/>
  <c r="J41" i="13"/>
  <c r="J43" i="13"/>
  <c r="J40" i="13" s="1"/>
  <c r="K54" i="16"/>
  <c r="K56" i="16"/>
  <c r="K53" i="16" s="1"/>
  <c r="L57" i="22"/>
  <c r="P57" i="22" s="1"/>
  <c r="L49" i="22"/>
  <c r="L46" i="23"/>
  <c r="L54" i="23"/>
  <c r="L45" i="23"/>
  <c r="L53" i="23"/>
  <c r="K59" i="22"/>
  <c r="K61" i="22"/>
  <c r="K58" i="22" s="1"/>
  <c r="L53" i="22"/>
  <c r="P53" i="22" s="1"/>
  <c r="L45" i="22"/>
  <c r="L47" i="22"/>
  <c r="L55" i="22"/>
  <c r="L43" i="23"/>
  <c r="L51" i="23"/>
  <c r="L46" i="16"/>
  <c r="L51" i="16"/>
  <c r="J5" i="15"/>
  <c r="K5" i="15" s="1"/>
  <c r="L46" i="22"/>
  <c r="L54" i="22"/>
  <c r="J5" i="22" s="1"/>
  <c r="K5" i="22" s="1"/>
  <c r="P56" i="22" l="1"/>
  <c r="L39" i="13"/>
  <c r="O39" i="13" s="1"/>
  <c r="I10" i="13"/>
  <c r="F24" i="5" s="1"/>
  <c r="L34" i="13"/>
  <c r="J5" i="13" s="1"/>
  <c r="I8" i="13"/>
  <c r="V23" i="5" s="1"/>
  <c r="E6" i="20" s="1"/>
  <c r="E24" i="20" s="1"/>
  <c r="I9" i="13"/>
  <c r="F23" i="5" s="1"/>
  <c r="L54" i="15"/>
  <c r="M48" i="22"/>
  <c r="L7" i="22" s="1"/>
  <c r="J6" i="15"/>
  <c r="I5" i="23"/>
  <c r="J5" i="23" s="1"/>
  <c r="J10" i="23" s="1"/>
  <c r="U25" i="5" s="1"/>
  <c r="M54" i="15"/>
  <c r="L59" i="22"/>
  <c r="L61" i="22"/>
  <c r="M61" i="22" s="1"/>
  <c r="J4" i="22"/>
  <c r="J4" i="16"/>
  <c r="L56" i="16"/>
  <c r="L53" i="16" s="1"/>
  <c r="L54" i="16"/>
  <c r="M46" i="22"/>
  <c r="L5" i="22" s="1"/>
  <c r="M54" i="23"/>
  <c r="P54" i="23" s="1"/>
  <c r="M46" i="23"/>
  <c r="M51" i="23"/>
  <c r="P51" i="23" s="1"/>
  <c r="M43" i="23"/>
  <c r="I4" i="23"/>
  <c r="L56" i="23"/>
  <c r="L58" i="23"/>
  <c r="L55" i="23" s="1"/>
  <c r="J6" i="22"/>
  <c r="K6" i="22" s="1"/>
  <c r="H4" i="13"/>
  <c r="K41" i="13"/>
  <c r="K43" i="13"/>
  <c r="K40" i="13" s="1"/>
  <c r="M50" i="23"/>
  <c r="P50" i="23" s="1"/>
  <c r="M42" i="23"/>
  <c r="K10" i="16"/>
  <c r="T25" i="5" s="1"/>
  <c r="K8" i="16"/>
  <c r="K11" i="16"/>
  <c r="T26" i="5" s="1"/>
  <c r="K9" i="16"/>
  <c r="T24" i="5" s="1"/>
  <c r="V26" i="5"/>
  <c r="E9" i="20" s="1"/>
  <c r="E27" i="20" s="1"/>
  <c r="X23" i="5"/>
  <c r="M44" i="23"/>
  <c r="M52" i="23"/>
  <c r="P52" i="23" s="1"/>
  <c r="M47" i="22"/>
  <c r="M49" i="22"/>
  <c r="L38" i="13"/>
  <c r="O38" i="13" s="1"/>
  <c r="L33" i="13"/>
  <c r="M52" i="16"/>
  <c r="P52" i="16" s="1"/>
  <c r="M47" i="16"/>
  <c r="L5" i="16" s="1"/>
  <c r="M53" i="23"/>
  <c r="P53" i="23" s="1"/>
  <c r="M45" i="23"/>
  <c r="M51" i="16"/>
  <c r="P51" i="16" s="1"/>
  <c r="M46" i="16"/>
  <c r="K8" i="15"/>
  <c r="S23" i="5" s="1"/>
  <c r="K10" i="15"/>
  <c r="K11" i="15"/>
  <c r="S26" i="5" s="1"/>
  <c r="K9" i="15"/>
  <c r="S24" i="5" s="1"/>
  <c r="L5" i="15"/>
  <c r="M45" i="22"/>
  <c r="J8" i="22"/>
  <c r="K8" i="22" s="1"/>
  <c r="S22" i="5"/>
  <c r="K6" i="15"/>
  <c r="L4" i="15"/>
  <c r="V25" i="5"/>
  <c r="E8" i="20" s="1"/>
  <c r="E26" i="20" s="1"/>
  <c r="X26" i="5" l="1"/>
  <c r="X24" i="5"/>
  <c r="E25" i="5"/>
  <c r="I12" i="13"/>
  <c r="F26" i="5" s="1"/>
  <c r="V24" i="5"/>
  <c r="E7" i="20" s="1"/>
  <c r="E25" i="20" s="1"/>
  <c r="T23" i="5"/>
  <c r="J9" i="23"/>
  <c r="U24" i="5" s="1"/>
  <c r="J8" i="23"/>
  <c r="U23" i="5" s="1"/>
  <c r="J11" i="23"/>
  <c r="U26" i="5" s="1"/>
  <c r="K5" i="23"/>
  <c r="J4" i="23"/>
  <c r="I6" i="23"/>
  <c r="B9" i="20"/>
  <c r="C25" i="5"/>
  <c r="S25" i="5"/>
  <c r="C7" i="20"/>
  <c r="M58" i="22"/>
  <c r="C9" i="20"/>
  <c r="H6" i="13"/>
  <c r="I4" i="13"/>
  <c r="K12" i="16"/>
  <c r="M6" i="5"/>
  <c r="F6" i="5"/>
  <c r="B7" i="20"/>
  <c r="B5" i="20"/>
  <c r="M54" i="16"/>
  <c r="M56" i="16"/>
  <c r="M53" i="16" s="1"/>
  <c r="C8" i="20"/>
  <c r="F5" i="5"/>
  <c r="M5" i="5"/>
  <c r="J6" i="16"/>
  <c r="K4" i="16"/>
  <c r="K12" i="15"/>
  <c r="C24" i="5"/>
  <c r="L6" i="22"/>
  <c r="K4" i="22"/>
  <c r="J9" i="22"/>
  <c r="L41" i="13"/>
  <c r="L43" i="13"/>
  <c r="L40" i="13" s="1"/>
  <c r="M7" i="5"/>
  <c r="F7" i="5"/>
  <c r="C26" i="5"/>
  <c r="L8" i="22"/>
  <c r="C23" i="5"/>
  <c r="M56" i="23"/>
  <c r="M58" i="23"/>
  <c r="M55" i="23" s="1"/>
  <c r="L58" i="22"/>
  <c r="F8" i="5" l="1"/>
  <c r="L7" i="5"/>
  <c r="U31" i="5" s="1"/>
  <c r="E26" i="5"/>
  <c r="D9" i="20"/>
  <c r="D27" i="20" s="1"/>
  <c r="M8" i="5"/>
  <c r="V32" i="5" s="1"/>
  <c r="E24" i="5"/>
  <c r="D7" i="20"/>
  <c r="D25" i="20" s="1"/>
  <c r="V22" i="5"/>
  <c r="F22" i="5"/>
  <c r="E31" i="20"/>
  <c r="V30" i="5"/>
  <c r="E30" i="20"/>
  <c r="V29" i="5"/>
  <c r="E32" i="20"/>
  <c r="V31" i="5"/>
  <c r="L6" i="5"/>
  <c r="K4" i="23"/>
  <c r="E22" i="5"/>
  <c r="E23" i="5"/>
  <c r="J12" i="23"/>
  <c r="E7" i="5"/>
  <c r="T22" i="5"/>
  <c r="L4" i="16"/>
  <c r="K6" i="16"/>
  <c r="C6" i="20"/>
  <c r="L4" i="22"/>
  <c r="K9" i="22"/>
  <c r="C22" i="5"/>
  <c r="B6" i="20"/>
  <c r="U22" i="5"/>
  <c r="J6" i="23"/>
  <c r="B8" i="20"/>
  <c r="I6" i="13"/>
  <c r="J4" i="13"/>
  <c r="D8" i="20"/>
  <c r="D26" i="20" s="1"/>
  <c r="E6" i="5" l="1"/>
  <c r="L8" i="5"/>
  <c r="E8" i="5"/>
  <c r="E33" i="20"/>
  <c r="E5" i="20"/>
  <c r="E23" i="20" s="1"/>
  <c r="U32" i="5"/>
  <c r="L4" i="5"/>
  <c r="U28" i="5" s="1"/>
  <c r="E5" i="5"/>
  <c r="D6" i="20"/>
  <c r="D24" i="20" s="1"/>
  <c r="L5" i="5"/>
  <c r="U29" i="5" s="1"/>
  <c r="U30" i="5"/>
  <c r="D32" i="20"/>
  <c r="F7" i="20"/>
  <c r="F9" i="20"/>
  <c r="D31" i="20"/>
  <c r="F8" i="20"/>
  <c r="E4" i="5"/>
  <c r="C5" i="20"/>
  <c r="D5" i="20"/>
  <c r="D23" i="20" s="1"/>
  <c r="M4" i="5"/>
  <c r="V28" i="5" s="1"/>
  <c r="F4" i="5"/>
  <c r="D33" i="20"/>
  <c r="E29" i="20" l="1"/>
  <c r="F6" i="20"/>
  <c r="D30" i="20"/>
  <c r="D29" i="20"/>
  <c r="F5" i="20"/>
  <c r="E10" i="19" l="1"/>
  <c r="E8" i="19" l="1"/>
  <c r="E9" i="19"/>
  <c r="E6" i="19"/>
  <c r="E7" i="19" l="1"/>
  <c r="E11" i="19" s="1"/>
  <c r="K23" i="24" l="1"/>
  <c r="K25" i="24" l="1"/>
  <c r="K24" i="24"/>
  <c r="L23" i="24" l="1"/>
  <c r="K27" i="24"/>
  <c r="K26" i="24"/>
  <c r="K30" i="24"/>
  <c r="L25" i="24"/>
  <c r="N25" i="24" s="1"/>
  <c r="F6" i="24" s="1"/>
  <c r="L24" i="24"/>
  <c r="N24" i="24" s="1"/>
  <c r="F5" i="24" s="1"/>
  <c r="P27" i="24" l="1"/>
  <c r="N23" i="24"/>
  <c r="F4" i="24" s="1"/>
  <c r="P23" i="24"/>
  <c r="P25" i="24"/>
  <c r="P24" i="24"/>
  <c r="K39" i="24"/>
  <c r="K34" i="24"/>
  <c r="L27" i="24"/>
  <c r="N27" i="24" s="1"/>
  <c r="F8" i="24" s="1"/>
  <c r="L26" i="24"/>
  <c r="N26" i="24" s="1"/>
  <c r="F7" i="24" s="1"/>
  <c r="K33" i="24"/>
  <c r="K31" i="24"/>
  <c r="P26" i="24" l="1"/>
  <c r="F9" i="24"/>
  <c r="K32" i="24"/>
  <c r="K42" i="24"/>
  <c r="K43" i="24"/>
  <c r="K40" i="24"/>
  <c r="K46" i="24"/>
  <c r="K54" i="24"/>
  <c r="L31" i="24"/>
  <c r="L40" i="24" s="1"/>
  <c r="P31" i="24" l="1"/>
  <c r="K49" i="24"/>
  <c r="K57" i="24"/>
  <c r="L33" i="24"/>
  <c r="P33" i="24" s="1"/>
  <c r="K41" i="24"/>
  <c r="L32" i="24"/>
  <c r="L41" i="24" s="1"/>
  <c r="G5" i="24"/>
  <c r="H5" i="24" s="1"/>
  <c r="K55" i="24"/>
  <c r="K47" i="24"/>
  <c r="L30" i="24"/>
  <c r="P30" i="24" s="1"/>
  <c r="K50" i="24"/>
  <c r="K58" i="24"/>
  <c r="K13" i="24"/>
  <c r="P32" i="24" l="1"/>
  <c r="L34" i="24"/>
  <c r="P34" i="24" s="1"/>
  <c r="G6" i="24"/>
  <c r="H6" i="24" s="1"/>
  <c r="L39" i="24"/>
  <c r="G4" i="24"/>
  <c r="K56" i="24"/>
  <c r="K48" i="24"/>
  <c r="L55" i="24"/>
  <c r="J5" i="24" s="1"/>
  <c r="K5" i="24" s="1"/>
  <c r="L47" i="24"/>
  <c r="L42" i="24"/>
  <c r="L57" i="24" s="1"/>
  <c r="J7" i="24" s="1"/>
  <c r="G7" i="24"/>
  <c r="H7" i="24" s="1"/>
  <c r="P55" i="24" l="1"/>
  <c r="K62" i="24"/>
  <c r="K59" i="24" s="1"/>
  <c r="P57" i="24"/>
  <c r="K7" i="24"/>
  <c r="L49" i="24"/>
  <c r="M49" i="24" s="1"/>
  <c r="L7" i="24" s="1"/>
  <c r="D25" i="5"/>
  <c r="Y25" i="5"/>
  <c r="Y23" i="5"/>
  <c r="D23" i="5"/>
  <c r="L54" i="24"/>
  <c r="L46" i="24"/>
  <c r="M47" i="24"/>
  <c r="L5" i="24" s="1"/>
  <c r="L48" i="24"/>
  <c r="L56" i="24"/>
  <c r="J6" i="24" s="1"/>
  <c r="K6" i="24" s="1"/>
  <c r="L43" i="24"/>
  <c r="G8" i="24"/>
  <c r="H8" i="24" s="1"/>
  <c r="K60" i="24"/>
  <c r="H4" i="24"/>
  <c r="L13" i="24"/>
  <c r="P13" i="24" s="1"/>
  <c r="P56" i="24" l="1"/>
  <c r="G9" i="24"/>
  <c r="D24" i="5"/>
  <c r="Y24" i="5"/>
  <c r="H9" i="24"/>
  <c r="L50" i="24"/>
  <c r="L58" i="24"/>
  <c r="M54" i="24"/>
  <c r="P54" i="24" s="1"/>
  <c r="M46" i="24"/>
  <c r="M48" i="24"/>
  <c r="L6" i="24" s="1"/>
  <c r="J4" i="24"/>
  <c r="K4" i="24" s="1"/>
  <c r="J8" i="24" l="1"/>
  <c r="K8" i="24" s="1"/>
  <c r="L62" i="24"/>
  <c r="L59" i="24" s="1"/>
  <c r="Y22" i="5"/>
  <c r="L4" i="24"/>
  <c r="D22" i="5"/>
  <c r="K9" i="24"/>
  <c r="M60" i="24"/>
  <c r="Y26" i="5"/>
  <c r="D26" i="5"/>
  <c r="M50" i="24"/>
  <c r="L8" i="24" s="1"/>
  <c r="M58" i="24"/>
  <c r="P58" i="24" s="1"/>
  <c r="J9" i="24"/>
  <c r="L60" i="24"/>
  <c r="M62" i="24" l="1"/>
  <c r="M59" i="24" s="1"/>
  <c r="B6" i="19"/>
  <c r="D6" i="19" l="1"/>
  <c r="B7" i="19"/>
  <c r="B8" i="19"/>
  <c r="C6" i="19" l="1"/>
  <c r="B9" i="19"/>
  <c r="B10" i="19"/>
  <c r="B11" i="19" l="1"/>
  <c r="Y13" i="5"/>
  <c r="D13" i="5"/>
  <c r="D10" i="19"/>
  <c r="C10" i="19" s="1"/>
  <c r="D7" i="19"/>
  <c r="C7" i="19" l="1"/>
  <c r="D8" i="19"/>
  <c r="C8" i="19" s="1"/>
  <c r="D9" i="19"/>
  <c r="C9" i="19" s="1"/>
  <c r="C11" i="19" s="1"/>
  <c r="Y17" i="5"/>
  <c r="D17" i="5"/>
  <c r="K4" i="5"/>
  <c r="T28" i="5" s="1"/>
  <c r="D4" i="5"/>
  <c r="C14" i="20"/>
  <c r="C18" i="20" l="1"/>
  <c r="C23" i="20"/>
  <c r="D16" i="5"/>
  <c r="Y16" i="5"/>
  <c r="Y15" i="5"/>
  <c r="D15" i="5"/>
  <c r="D11" i="19"/>
  <c r="K8" i="5"/>
  <c r="T32" i="5" s="1"/>
  <c r="D8" i="5"/>
  <c r="Y14" i="5"/>
  <c r="D14" i="5"/>
  <c r="C17" i="20" l="1"/>
  <c r="K7" i="5"/>
  <c r="T31" i="5" s="1"/>
  <c r="D7" i="5"/>
  <c r="C29" i="20"/>
  <c r="K6" i="5"/>
  <c r="T30" i="5" s="1"/>
  <c r="D6" i="5"/>
  <c r="C16" i="20"/>
  <c r="K5" i="5"/>
  <c r="T29" i="5" s="1"/>
  <c r="D5" i="5"/>
  <c r="C27" i="20"/>
  <c r="C15" i="20"/>
  <c r="C33" i="20" l="1"/>
  <c r="C26" i="20"/>
  <c r="C24" i="20"/>
  <c r="C25" i="20"/>
  <c r="C32" i="20" l="1"/>
  <c r="C31" i="20"/>
  <c r="C30" i="20"/>
  <c r="E9" i="18" l="1"/>
  <c r="C9" i="18" s="1"/>
  <c r="E8" i="18"/>
  <c r="C8" i="18" s="1"/>
  <c r="E7" i="18"/>
  <c r="C7" i="18" s="1"/>
  <c r="C16" i="5" l="1"/>
  <c r="X16" i="5"/>
  <c r="X15" i="5"/>
  <c r="C15" i="5"/>
  <c r="X17" i="5"/>
  <c r="C17" i="5"/>
  <c r="E5" i="18"/>
  <c r="S30" i="5" l="1"/>
  <c r="C6" i="5"/>
  <c r="H6" i="5" s="1"/>
  <c r="J8" i="5"/>
  <c r="S32" i="5" s="1"/>
  <c r="C8" i="5"/>
  <c r="H8" i="5" s="1"/>
  <c r="B16" i="20"/>
  <c r="AB15" i="5"/>
  <c r="C5" i="18"/>
  <c r="B17" i="20"/>
  <c r="AB16" i="5"/>
  <c r="B18" i="20"/>
  <c r="AB17" i="5"/>
  <c r="J7" i="5"/>
  <c r="S31" i="5" s="1"/>
  <c r="C7" i="5"/>
  <c r="H7" i="5" s="1"/>
  <c r="E6" i="18"/>
  <c r="C6" i="18" s="1"/>
  <c r="B27" i="20" l="1"/>
  <c r="F18" i="20"/>
  <c r="N7" i="5"/>
  <c r="B25" i="20"/>
  <c r="F16" i="20"/>
  <c r="E10" i="18"/>
  <c r="N6" i="5"/>
  <c r="N8" i="5"/>
  <c r="C13" i="5"/>
  <c r="C10" i="18"/>
  <c r="X14" i="5"/>
  <c r="C14" i="5"/>
  <c r="B26" i="20"/>
  <c r="F17" i="20"/>
  <c r="S28" i="5" l="1"/>
  <c r="C4" i="5"/>
  <c r="H4" i="5" s="1"/>
  <c r="B14" i="20"/>
  <c r="AB13" i="5"/>
  <c r="B31" i="20"/>
  <c r="F25" i="20"/>
  <c r="G25" i="20" s="1"/>
  <c r="B32" i="20"/>
  <c r="F26" i="20"/>
  <c r="G26" i="20" s="1"/>
  <c r="J5" i="5"/>
  <c r="S29" i="5" s="1"/>
  <c r="C5" i="5"/>
  <c r="H5" i="5" s="1"/>
  <c r="B15" i="20"/>
  <c r="AB14" i="5"/>
  <c r="B33" i="20"/>
  <c r="F27" i="20"/>
  <c r="G27" i="20" s="1"/>
  <c r="B24" i="20" l="1"/>
  <c r="F15" i="20"/>
  <c r="B23" i="20"/>
  <c r="F14" i="20"/>
  <c r="N5" i="5"/>
  <c r="N4" i="5"/>
  <c r="B29" i="20" l="1"/>
  <c r="F23" i="20"/>
  <c r="G23" i="20" s="1"/>
  <c r="B30" i="20"/>
  <c r="F24" i="20"/>
  <c r="G24" i="20" s="1"/>
</calcChain>
</file>

<file path=xl/sharedStrings.xml><?xml version="1.0" encoding="utf-8"?>
<sst xmlns="http://schemas.openxmlformats.org/spreadsheetml/2006/main" count="925" uniqueCount="288">
  <si>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</si>
  <si>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</si>
  <si>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</si>
  <si>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</si>
  <si>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</si>
  <si>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</si>
  <si>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</si>
  <si>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</si>
  <si>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</si>
  <si>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</si>
  <si>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</si>
  <si>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</si>
  <si>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</si>
  <si>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</si>
  <si>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</si>
  <si>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</si>
  <si>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</si>
  <si>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</si>
  <si>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</si>
  <si>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</si>
  <si>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</si>
  <si>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</si>
  <si>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</si>
  <si>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</si>
  <si>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</si>
  <si>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</si>
  <si>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</si>
  <si>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</si>
  <si>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</si>
  <si>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</si>
  <si>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</si>
  <si>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</si>
  <si>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</si>
  <si>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</si>
  <si>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</si>
  <si>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</si>
  <si>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</si>
  <si>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</si>
  <si>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</si>
  <si>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</si>
  <si>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</si>
  <si>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</si>
  <si>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</si>
  <si>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</si>
  <si>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</si>
  <si>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</si>
  <si>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</si>
  <si>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</si>
  <si>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</si>
  <si>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</si>
  <si>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</si>
  <si>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</si>
  <si>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</si>
  <si>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</si>
  <si>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</si>
  <si>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</si>
  <si>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</si>
  <si>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</si>
  <si>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</si>
  <si>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</si>
  <si>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</si>
  <si>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</si>
  <si>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</si>
  <si>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</si>
  <si>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</si>
  <si>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</si>
  <si>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</si>
  <si>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</si>
  <si>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</si>
  <si>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</si>
  <si>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</si>
  <si>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</si>
  <si>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</si>
  <si>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</si>
  <si>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</si>
  <si>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</si>
  <si>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</si>
  <si>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</si>
  <si>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</si>
  <si>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</si>
  <si>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</si>
  <si>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</si>
  <si>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</si>
  <si>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</si>
  <si>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</si>
  <si>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</si>
  <si>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</si>
  <si>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</si>
  <si>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</si>
  <si>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</si>
  <si>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</si>
  <si>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</si>
  <si>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</si>
  <si>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</si>
  <si>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</si>
  <si>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</si>
  <si>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</si>
  <si>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</si>
  <si>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</si>
  <si>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</si>
  <si>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</si>
  <si>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</si>
  <si>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</si>
  <si>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</si>
  <si>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</si>
  <si>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</si>
  <si>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</si>
  <si>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</si>
  <si>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</si>
  <si>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</si>
  <si>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</si>
  <si>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</si>
  <si>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</si>
  <si>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</si>
  <si>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</si>
  <si>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</si>
  <si>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</si>
  <si>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</si>
  <si>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</si>
  <si>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</si>
  <si>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</si>
  <si>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</si>
  <si>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</si>
  <si>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</si>
  <si>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</si>
  <si>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</si>
  <si>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</si>
  <si>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</si>
  <si>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</si>
  <si>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</si>
  <si>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</si>
  <si>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</si>
  <si>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</si>
  <si>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</si>
  <si>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</si>
  <si>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</si>
  <si>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</si>
  <si>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</si>
  <si>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</si>
  <si>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</si>
  <si>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</si>
  <si>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</si>
  <si>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</si>
  <si>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</si>
  <si>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</si>
  <si>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</si>
  <si>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</si>
  <si>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</si>
  <si>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</si>
  <si>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</si>
  <si>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</si>
  <si>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</si>
  <si>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</si>
  <si>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</si>
  <si>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</si>
  <si>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</si>
  <si>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</si>
  <si>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</si>
  <si>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</si>
  <si>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</si>
  <si>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</si>
  <si>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</si>
  <si>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</si>
  <si>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</si>
  <si>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</si>
  <si>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</si>
  <si>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</si>
  <si>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</si>
  <si>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</si>
  <si>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</si>
  <si>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</si>
  <si>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</si>
  <si>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2. Forecasted Throughput Disincentive -Sum of 3. and 4.</t>
  </si>
  <si>
    <t>1. &amp; 3. Actual monthly Ordered Adjustments - Source: None</t>
  </si>
  <si>
    <t>Cycle 3 Ordered Adjustment (OA) Calculation</t>
  </si>
  <si>
    <t>Cycle 3 Ordered Adjustments Reconciliation (OAR) Calculation</t>
  </si>
  <si>
    <t>2. Forecasted Throughput Disincentive - Source: None, TD reset effective December 2022</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</si>
  <si>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</si>
  <si>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</si>
  <si>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</si>
  <si>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</si>
  <si>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</si>
  <si>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</si>
  <si>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Cycle 3 - Program Year 2 (including EO TD Adjustments through December 2022) (Amortize August 2023-July 2024)</t>
  </si>
  <si>
    <t>Cycle 2 - EO TD Adjustments December 2022 (Amortize August 2023-July 2025)</t>
  </si>
  <si>
    <t>7. Cycle 2 kWh Participation - Source: Metro Cycle 2 Monthly TD Calc 122022 01092023.xlsx</t>
  </si>
  <si>
    <t>8. Cycle 2 kWh Participation - Source: Metro Cycle 2 Monthly TD Calc 122022 01092023.xlsx</t>
  </si>
  <si>
    <t>3. Actual/Forecasted EO Amortization - Source:  EO Cycle 2 tab column G divided by remaining months on EO Cycle 2 tab.</t>
  </si>
  <si>
    <t>3. Actual/Forecasted EO Amortization - Source:  EO Cycle 3 tab column G divided by remaining months on EO Cycle 3 tab.</t>
  </si>
  <si>
    <t>4. Total monthly interest - Source: Calculated</t>
  </si>
  <si>
    <t>NOA = Net Ordered Adjustment for the upcoming EP plus the succeeding EP (OA + OAR)</t>
  </si>
  <si>
    <t xml:space="preserve">PE = Projected Energy, in kWh to be delivered during the upcoming RP plus the succeeding RP </t>
  </si>
  <si>
    <t>1. Actual monthly program costs allocated to customer classes: Residential, Small General Service, Medium General Service, Large General Service and Large Power Service - Source: None
    Forecasted monthly program costs allocated to customer classes: Residential, Small General Service, Medium General Service, Large General Service and Large Power Service - Source: None</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</si>
  <si>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</si>
  <si>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</si>
  <si>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</si>
  <si>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</si>
  <si>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</si>
  <si>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</si>
  <si>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</si>
  <si>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</si>
  <si>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</si>
  <si>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</si>
  <si>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PCR Cycle 3</t>
  </si>
  <si>
    <t>PTD Cycle 2</t>
  </si>
  <si>
    <t>Projected Throughput Disincentive for Cycle 2 for the period July 2023 through June 2024 are zero due to the rebasing of cumulative kWh savings in the most recent rates effective January 2023.</t>
  </si>
  <si>
    <t>PTD Cycle 3</t>
  </si>
  <si>
    <t>TDR Cycle 2</t>
  </si>
  <si>
    <t>TDR Cycle 3</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</si>
  <si>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</si>
  <si>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</si>
  <si>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</si>
  <si>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</si>
  <si>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</si>
  <si>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</si>
  <si>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2</t>
  </si>
  <si>
    <t>OA Cycle 3</t>
  </si>
  <si>
    <t>OAR Cycle 2</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</si>
  <si>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</si>
  <si>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</si>
  <si>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1. Ordered Adjustment - Source: None</t>
  </si>
  <si>
    <t>2. Carrying Costs on OA - Source: None</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</si>
  <si>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</si>
  <si>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</si>
  <si>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</si>
  <si>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</si>
  <si>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</si>
  <si>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1. Ordered Adjustment - Program Costs - Source: None</t>
  </si>
  <si>
    <t>2. Ordered Adjustment - Throughput Disincentive - Source: None</t>
  </si>
  <si>
    <t>3. Carrying Costs on OA - Source: None</t>
  </si>
  <si>
    <t>1. Forecasted kWh by  Residential, Small General Service, Medium General Service, Large General Service and Large Power Service (Reduced for Opt-Out) - Source: Billed kWh Budget Metro Missouri 2023-2024.xlsx</t>
  </si>
  <si>
    <t>1. Forecasted kWh savings by customer classes: Residential, Small General Service, Medium General Service, Large General Service and Large Power Service - Source: None, TD reset effective December 2022</t>
  </si>
  <si>
    <t>Evergy Metro, Inc. - DSIM Rider Update Filed 12/01/2023</t>
  </si>
  <si>
    <t>Projections for Cycle 3 January 2024 - December 2024 DSIM</t>
  </si>
  <si>
    <t>2. Forecasted program costs by customer class - Source: Sum of 3. and 4.</t>
  </si>
  <si>
    <t>3. Forecasted program costs by customer class - Source: MEEIA Cycle 3 Forecast Metro 102023.xlsx</t>
  </si>
  <si>
    <t>Cumulative Over/Under Carryover From 6/01/2023 Filing</t>
  </si>
  <si>
    <t>Reverse May 2023 - July 2023 Forecast From 6/01/2023 Filing</t>
  </si>
  <si>
    <t>2. Actual monthly kWh billed sales by customer classes: Residential, Small General Service, Medium General Service, Large General Service and Large Power Service (reduced for opt-out) - Source: Metro MEEIA 2023 Revenue Analysis.xlsx
    Forecasted monthly kWh billed sales by customer classes: Residential, Small General Service, Medium General Service, Large General Service and Large Power Service (reduced for opt-out) - Source: Billed kWh Budget Metro Missouri 2023-2024.xlsx</t>
  </si>
  <si>
    <t>3. Actual monthly billed revenues by customer classes: Residential, Small General Service, Medium General Service, Large General Service and Large Power Service (program cost revenues only) - Metro MEEIA 2023 Revenue Analysis.xlsx
    Forecasted monthly billed revenues by customer classes: Residential, Small General Service, Medium General Service, Large General Service and Large Power Service (program cost revenues only) - Source: calculated = Forecasted billed kWh sales X tariff rate</t>
  </si>
  <si>
    <t>5. Monthly Short-Term Borrowing Rate - Source: Metro Short-Term Borrowing Rate May 2023 - October 2023.xlsx</t>
  </si>
  <si>
    <t>1. Actual monthly program costs allocated to customer classes: Residential, Small General Service, Medium General Service, Large General Service and Large Power Service - Source: 05 2023 Metro Spend Allocations Worksheet.xlsx, 06 2023 Metro Spend Allocations Worksheet.xlsx, 07 2023 Metro Spend Allocations Worksheet.xlsx, 08 2023 Metro Spend Allocations Worksheet.xlsx, 09 2023 Metro Spend Allocations Worksheet.xlsx, 10 2023 Metro Spend Allocations Worksheet.xlsx
    Forecasted monthly program costsallocated to customer classes: Residential, Small General Service, Medium General Service, Large General Service and Large Power Service - Source: MEEIA Cycle 3 Forecast Metro 102023.xlsx</t>
  </si>
  <si>
    <t>1. Forecasted kWh savings by customer classes: Residential, Small General Service, Medium General Service, Large General Service and Large Power Service - Source: MEEIA Cycle 3 Forecast Metro 102023.xlsx</t>
  </si>
  <si>
    <t>3. Forecasted Throughput Disincentive - Source: MEEIA Cycle 3 Forecast Metro 102023.xlsx</t>
  </si>
  <si>
    <t>4. Forecasted Throughput Disincentive - Source: MEEIA Cycle 3 Forecast Metro 102023.xlsx</t>
  </si>
  <si>
    <t>3. Actual kWh Sales Impact - Source:  None, TD reset effective December 2022
    Forecasted kWh Sales Impact - Source: None</t>
  </si>
  <si>
    <t>1. &amp; 4. Actual monthly TD - Source: None, TD reset effective December 2022
    Forecasted monthly TD - Source: None, TD reset effective December 2022</t>
  </si>
  <si>
    <t>2. Actual monthly billed revenues by customer classes: Residential, Small General Service, Medium General Service, Large General Service and Large Power Service (TD revenues only) - Metro MEEIA 2023 Revenue Analysis.xlsx
Forecasted monthly billed revenues by customer classes: Residential, Small General Service, Medium General Service, Large General Service and Large Power Service (TD revenues only) - Source: calculated = Forecasted billed kWh sales X tariff rate</t>
  </si>
  <si>
    <t>1. &amp; 4. Actual monthly TD - Source: Metro Cycle 3 Monthly TD Calc 102023 11182023.xlsx
    Forecasted monthly TD - Source: MEEIA Cycle 3 Forecast Metro 102023.xlsx</t>
  </si>
  <si>
    <t>3. Actual kWh Sales Impact - Source:  Metro Cycle 3 Monthly TD Calc 102023 11182023.xlsx
    Forecasted kWh Sales Impact - Source: MEEIA Cycle 3 Forecast Metro 102023.xlsx</t>
  </si>
  <si>
    <t>6. Amortization Over 24 Month Recovery Period - Source: Column 5  PY 1 - 3 divided by 24 times 0 months remaining recovery, PY 4 Column 5 divided by 24 times 0, EO TD Adjustments January - November 2022 Column 5 divided by 24 times 0, EO TD Adjustments Carrying Costs May - October 2022 Column 5 divided by 24 times 1, EO TD Adjustments Carrying Costs November 2021 - April 2022 Column 5 divided by 24 times 7, EO TD Adjustments Carrying Costs May 2022 - November 2022 Column 5 divided by 24 times 12;  EO TD Adjustments December 2022 Column 5 divided by 24 times 12</t>
  </si>
  <si>
    <t>2. EO TD Ex Post Gross Adjustment -  Source: TD Model Metro PY1-3 122022.xlsx, TD Model PY4 122022.xlsx. These are final amounts as reported in 6/1/2023 filing.</t>
  </si>
  <si>
    <t>3. EO TD NTG Adjustment -  Source: TD Model Metro PY1-3 122022.xlsx, TD Model PY4 122022.xlsx. Theses are final amounts as reported in 6/1/2023 filing.</t>
  </si>
  <si>
    <t>4. Carrying Costs @ AFUDC Rate -  Source: TD Model Metro PY1-3 122022.xlsx, TD Model PY4 122022.xlsx. These are final amounts as reported in 6/1/2023 filing.</t>
  </si>
  <si>
    <t>Cycle 3 - Program Year 1 EO TD Adjustments December 2022 - April 2023 (Amortize February 2024 - January 2025)</t>
  </si>
  <si>
    <t>Cycle 3 - Program Year 3 (including EO TD Adjustments through October 2023) (Amortize February 2024 -January 2025)</t>
  </si>
  <si>
    <t>1. Total Earnings Opportunity - Source: Metro EO Calculated Cycle 3 PY1.xlsx, Metro EO Calculated Cycle 3 PY2.xlsx, Metro EO Calculated Cycle 3 PY3.xlsx</t>
  </si>
  <si>
    <t>2. EO TD Ex Post Gross Adjustment -  Source: Metro Cycle 3 PY1 EO TD Adj Calc.xlsx, Metro Cycle 3 PY2 EO TD Adj Calc.xlsx, Metro Cycle 3 PY3 EO TD Adj Calc.xlsx</t>
  </si>
  <si>
    <t>3. EO TD NTG Adjustment -  Source: Metro Cycle 3 PY1 EO TD Adj Calc.xlsx, Metro Cycle 3 PY2 EO TD Adj Calc.xlsx, Metro Cycle 3 PY3 EO TD Adj Calc.xlsx</t>
  </si>
  <si>
    <t>4. Carrying Costs @ AFUDC Rate -  Source: Metro Cycle 3 PY1 EO TD Adj Calc.xlsx, Metro Cycle 3 PY2 EO TD Adj Calc.xlsx, Metro Cycle 3 PY3 EO TD Adj Calc.xlsx</t>
  </si>
  <si>
    <t>6. Amortization Over 12 Month Recovery Period - Source: Column 5  Program Year 1 EO TD Adjustments May 2022 - November 2022 divided by 12 times 1 months in forecast period; Program Year 1 EO TD Adjustments December 2022 - April 2023 divided by 12 times 11 months in forecast period; Program Year 2 including EO TD Adjustments through December 2022 divided by 12 times 7 months in forecast period; Program Year 3 including EO TD Adjustments through October 2023 divided by 12 times 11 months in forecast period</t>
  </si>
  <si>
    <t>2. Actual monthly billed revenues by customer classes: Residential, Small General Service, Medium General Service, Large General Service and Large Power Service (EO revenues only) - Metro MEEIA 2023 Revenue Analysis.xlsx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</si>
  <si>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Metro MEEIA 2023 Revenue Analysis.xlsx
Forecasted monthly billed revenues by customer classes: Residential, Small General Service, Medium General Service, Large General Service and Large Power Service (OA revenues only) - Source: calculated = Forecasted billed kWh sales X tariff rate</t>
  </si>
  <si>
    <t>Calculation of DSIM Rates by Customer Class Effective February 1, 2024 through January 31, 2025</t>
  </si>
  <si>
    <t>Projected Program Costs for Cycle 3 for the period January 2024 through December 2024 and projected billed kWh sales for the period February 2024 through January 2025</t>
  </si>
  <si>
    <t>Program Cost Reconciliation for Cycle 2 for the period May 2023 through October 2023 compares the DSIM revenues billed for the Cycle 2 cost components to the carryforward of under or over recovered Cycle 2 Program Costs.</t>
  </si>
  <si>
    <t>Program Cost Reconciliation for Cycle 3 for the period May 2023 through October 2023 compares the DSIM revenues billed for the Cycle 3 cost components to actual program costs incurred plus the carryforward of under or over recovered Cycle 3 Program Costs.</t>
  </si>
  <si>
    <t>Projected Throughput Disincentive for Cycle 2 for the period January 2024 through December 2024.</t>
  </si>
  <si>
    <t>Projected Throughput Disincentive for Cycle 3 for the period January 2024 through December 2024</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</si>
  <si>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</si>
  <si>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Throughput Disincentive Reconciliation for Cycle 3 for the period May 2023 through October 2023 compares the DSIM revenues billed for the Cycle 3 cost components to calculated Throughput Disincentive for Cycle 3 and the carryforward of under or over recovered Cycle 3 Throughput Disincentive.</t>
  </si>
  <si>
    <t>Earnings Opportunity Cycle 2, including EO TD Ex Post Gross and Net to Gross Adjustments (EO TD Adjustments) for the period January 2024 through December 2024</t>
  </si>
  <si>
    <t xml:space="preserve">Earnings Opportunity Cycle 3, including EO TD Ex Post Gross and Net to Gross Adjustments (EO TD Adjustments) for the period January 2024 through December 2024 </t>
  </si>
  <si>
    <t>Earnings Opportunity Reconciliation for Cycle 2 for the period May 2023 through October 2023 compares the DSIM revenues billed for the Cycle 2 cost components to amortization of EO Cycle 2 above and the carryforward of under or over recovered Cycle 2 Earnings Opportunity.</t>
  </si>
  <si>
    <t>Earnings Opportunity Reconciliation for Cycle 3 for the period May 2023 through October 2023 compares the DSIM revenues billed for the Cycle 2 cost components to amortization of EO Cycle 3 above and the carryforward of under or over recovered Cycle 3 Earnings Opportunity.</t>
  </si>
  <si>
    <t>Ordered Adjustments for Cycle 2 for the period January 2024 through December 2024</t>
  </si>
  <si>
    <t>Ordered Adjustments for Cycle 3 for the period January 2024 through December 2024</t>
  </si>
  <si>
    <t>Ordered Adjustments Reconciliation for Cycle 2 for the period May 2023 through October 2023 compares the DSIM revenues billed for the Cycle 2 cost components to the carryforward of under or over recovered Cycle 2 Ordered Adjustments.</t>
  </si>
  <si>
    <t>Ordered Adjustments Reconciliation for Cycle 3 for the period May 2023 through October 2023 compares the DSIM revenues billed for the Cycle 3 cost components to the carryforward of under or over recovered Cycle 3 Ordered Adjustments.</t>
  </si>
  <si>
    <t>The Company updates a forecast of program costs and throughput disincentive, among other items, based on actual reported results through October 2023 and forecasted results through the remainder of Cycle 3. Program costs by customer class are summarized from that forecast. Projected billed kWh sales by customer class (net of opt outs) are extracted from the Company budget.</t>
  </si>
  <si>
    <t xml:space="preserve">The Company updates a forecast of program costs and throughput disincentive, among other items, based on actual reported results through October 2023 and forecasted results through the remainder of Cycle 3. Throughput Disincentive by customer class is summarized from that forecast. </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</si>
  <si>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October 2023 plus continued amortization of previously reported amounts from prior updates as appropriate.</t>
  </si>
  <si>
    <t>None - There were no additional Ordered Adjustments for Cycle 2 for the period January 2024 through December 2024</t>
  </si>
  <si>
    <t>None - There were no additional Ordered Adjustments for Cycle 3 for the period January 2024 through December 2024</t>
  </si>
  <si>
    <t>For next rider filing, reversal of Forecast to input in column C</t>
  </si>
  <si>
    <t>3. Cycle 3 2023 Extension Forecast - January 2024 - December 2024</t>
  </si>
  <si>
    <t>4. Cycle 3 2024 Extension Forecast - January 2024 - December 2024</t>
  </si>
  <si>
    <t>4. Forecasted program costs by customer class - Source: Evergy MEEIA Cycle 3 Extension PY5(2024) Appendix A settlement - Metro allocation.xlsx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</si>
</sst>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mmm\-yyyy"/>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43">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0" borderId="3"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14" fillId="7" borderId="13" xfId="13" applyNumberFormat="1" applyBorder="1"/>
    <xf numFmtId="43" fontId="14" fillId="7" borderId="1" xfId="1" applyFont="1" applyFill="1" applyBorder="1"/>
    <xf numFmtId="44" fontId="8" fillId="0" borderId="0" xfId="0" applyNumberFormat="1" applyFont="1" applyFill="1" applyAlignment="1">
      <alignment wrapText="1"/>
    </xf>
    <xf numFmtId="167" fontId="33" fillId="0" borderId="33" xfId="1" applyNumberFormat="1" applyFont="1" applyFill="1" applyBorder="1"/>
    <xf numFmtId="44" fontId="33" fillId="0" borderId="33" xfId="7" applyNumberFormat="1" applyFont="1" applyFill="1" applyBorder="1"/>
    <xf numFmtId="0" fontId="8" fillId="0" borderId="0" xfId="0" applyFont="1" applyFill="1" applyAlignment="1">
      <alignment horizontal="left"/>
    </xf>
    <xf numFmtId="172" fontId="40" fillId="0" borderId="6" xfId="0" applyNumberFormat="1" applyFont="1" applyBorder="1" applyAlignment="1">
      <alignment horizontal="right"/>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70" xfId="0" applyBorder="1" applyAlignment="1">
      <alignment vertical="top" wrapText="1"/>
    </xf>
    <xf numFmtId="165" fontId="5" fillId="5" borderId="58" xfId="6" applyNumberFormat="1" applyBorder="1"/>
    <xf numFmtId="165" fontId="5" fillId="5" borderId="70" xfId="6" applyNumberFormat="1" applyBorder="1"/>
    <xf numFmtId="165" fontId="5" fillId="5" borderId="75" xfId="6" applyNumberFormat="1" applyBorder="1"/>
    <xf numFmtId="165" fontId="4" fillId="4" borderId="76" xfId="11" applyNumberFormat="1" applyFont="1" applyFill="1" applyBorder="1"/>
    <xf numFmtId="177" fontId="0" fillId="0" borderId="0" xfId="0" applyNumberFormat="1"/>
    <xf numFmtId="178" fontId="0" fillId="0" borderId="0" xfId="0" applyNumberFormat="1"/>
    <xf numFmtId="41" fontId="0" fillId="0" borderId="0" xfId="0" applyNumberFormat="1"/>
    <xf numFmtId="0" fontId="0" fillId="0" borderId="0" xfId="0" applyBorder="1" applyAlignment="1">
      <alignment vertical="top" wrapText="1"/>
    </xf>
    <xf numFmtId="165" fontId="42" fillId="7" borderId="13" xfId="13" applyNumberFormat="1" applyFont="1" applyBorder="1"/>
    <xf numFmtId="165" fontId="42" fillId="7" borderId="42" xfId="13" applyNumberFormat="1" applyFont="1" applyBorder="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73" xfId="13" applyNumberFormat="1" applyFont="1" applyBorder="1"/>
    <xf numFmtId="165" fontId="42" fillId="0" borderId="58" xfId="13" applyNumberFormat="1" applyFont="1" applyFill="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41" fontId="43" fillId="0" borderId="6" xfId="0" applyNumberFormat="1" applyFont="1" applyBorder="1" applyAlignment="1">
      <alignment vertical="center"/>
    </xf>
    <xf numFmtId="172" fontId="43" fillId="0" borderId="6" xfId="0" applyNumberFormat="1" applyFont="1" applyBorder="1" applyAlignment="1">
      <alignment horizontal="right"/>
    </xf>
    <xf numFmtId="172" fontId="43" fillId="0" borderId="6" xfId="0" applyNumberFormat="1" applyFont="1" applyFill="1" applyBorder="1" applyAlignment="1">
      <alignment horizontal="right"/>
    </xf>
    <xf numFmtId="172" fontId="43" fillId="0" borderId="6" xfId="0" quotePrefix="1" applyNumberFormat="1" applyFont="1" applyFill="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xf numFmtId="170" fontId="40" fillId="0" borderId="3" xfId="0" applyNumberFormat="1" applyFont="1" applyFill="1" applyBorder="1" applyAlignment="1">
      <alignment vertical="center"/>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6600"/>
      <color rgb="FF008000"/>
      <color rgb="FF0000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tyles" Target="style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illed%20kWh%20Budget%20Metro%20Missouri%202023-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9%202023%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202023%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tro%20Cycle%203%20Monthly%20TD%20Calc%20102023%201118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tro%20EO%20Calculated%20Cycle%203%20PY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tro%20Cycle%203%20PY1%20EO%20TD%20Adj%20Cal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tro%20EO%20Calculated%20Cycle%203%20PY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tro%20Cycle%203%20PY2%20EO%20TD%20Adj%20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etro%20EO%20Calculated%20Cycle%203%20PY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etro%20Cycle%203%20PY3%20EO%20TD%20Adj%20Cal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vergy%20MEEIA%20Cycle%203%20Extension%20PY5%20(2024)%20Appendix%20A%20settlement%20-%20Metro%20allo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EIA%20Cycle%203%20Forecast%20Metro%201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tro%20Cycle%202%20Monthly%20TD%20Calc%20%20122022%200109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tro%20MEEIA%202023%20Revenue%20Analys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tro%20Short-Term%20Borrowing%20Rate%20May%202023%20-%20October%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5%202023%20Metro%20Spend%20Allocations%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6%202023%20Metro%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7%202023%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8%202023%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AA24">
            <v>167362018</v>
          </cell>
          <cell r="AB24">
            <v>238634246</v>
          </cell>
          <cell r="AC24">
            <v>270075952</v>
          </cell>
        </row>
        <row r="25">
          <cell r="AA25">
            <v>45996215</v>
          </cell>
          <cell r="AB25">
            <v>50669099</v>
          </cell>
          <cell r="AC25">
            <v>51536064</v>
          </cell>
        </row>
        <row r="26">
          <cell r="AA26">
            <v>84577450</v>
          </cell>
          <cell r="AB26">
            <v>93169910</v>
          </cell>
          <cell r="AC26">
            <v>94764077</v>
          </cell>
        </row>
        <row r="27">
          <cell r="AA27">
            <v>136916999</v>
          </cell>
          <cell r="AB27">
            <v>150826781</v>
          </cell>
          <cell r="AC27">
            <v>153407476</v>
          </cell>
        </row>
        <row r="28">
          <cell r="AA28">
            <v>35611077</v>
          </cell>
          <cell r="AB28">
            <v>39228906</v>
          </cell>
          <cell r="AC28">
            <v>39900125</v>
          </cell>
        </row>
        <row r="36">
          <cell r="H36">
            <v>1262902539</v>
          </cell>
          <cell r="I36">
            <v>1416938861</v>
          </cell>
        </row>
        <row r="37">
          <cell r="H37">
            <v>292729897</v>
          </cell>
          <cell r="I37">
            <v>311541251</v>
          </cell>
        </row>
        <row r="38">
          <cell r="H38">
            <v>538269254</v>
          </cell>
          <cell r="I38">
            <v>572859413</v>
          </cell>
        </row>
        <row r="39">
          <cell r="H39">
            <v>871369508</v>
          </cell>
          <cell r="I39">
            <v>927365294</v>
          </cell>
        </row>
        <row r="40">
          <cell r="H40">
            <v>226636627</v>
          </cell>
          <cell r="I40">
            <v>241200706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3 10052023"/>
      <sheetName val="Input"/>
      <sheetName val="Program Descriptions"/>
    </sheetNames>
    <sheetDataSet>
      <sheetData sheetId="0">
        <row r="30">
          <cell r="N30">
            <v>568452.24</v>
          </cell>
          <cell r="O30">
            <v>52094.94</v>
          </cell>
          <cell r="P30">
            <v>192910.2</v>
          </cell>
          <cell r="Q30">
            <v>343067.16000000003</v>
          </cell>
          <cell r="R30">
            <v>18402.200000000004</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 SI Project"/>
      <sheetName val="SI0000 Alloc"/>
      <sheetName val="SI Project 102023 11082023"/>
      <sheetName val="Input"/>
      <sheetName val="Program Descriptions"/>
    </sheetNames>
    <sheetDataSet>
      <sheetData sheetId="0">
        <row r="27">
          <cell r="N27">
            <v>384920.74</v>
          </cell>
          <cell r="O27">
            <v>46266.01</v>
          </cell>
          <cell r="P27">
            <v>160834.44</v>
          </cell>
          <cell r="Q27">
            <v>439672.01</v>
          </cell>
          <cell r="R27">
            <v>19433.460000000003</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PY1-3"/>
      <sheetName val="Monthly TD Calc-PY4"/>
      <sheetName val="Summary Monthly TD Calc"/>
    </sheetNames>
    <sheetDataSet>
      <sheetData sheetId="0" refreshError="1"/>
      <sheetData sheetId="1" refreshError="1"/>
      <sheetData sheetId="2">
        <row r="461">
          <cell r="AS461">
            <v>2012084.9030506276</v>
          </cell>
          <cell r="AT461">
            <v>1799016.1966965643</v>
          </cell>
          <cell r="AU461">
            <v>2185340.7555702976</v>
          </cell>
          <cell r="AV461">
            <v>2119752.0312176766</v>
          </cell>
          <cell r="AW461">
            <v>1792603.1768577653</v>
          </cell>
          <cell r="AX461">
            <v>1934655.7142240987</v>
          </cell>
        </row>
        <row r="462">
          <cell r="AS462">
            <v>278427.89331406658</v>
          </cell>
          <cell r="AT462">
            <v>268014.99223809683</v>
          </cell>
          <cell r="AU462">
            <v>315956.42437491793</v>
          </cell>
          <cell r="AV462">
            <v>315902.6243088796</v>
          </cell>
          <cell r="AW462">
            <v>261517.4425664233</v>
          </cell>
          <cell r="AX462">
            <v>278731.52774533664</v>
          </cell>
        </row>
        <row r="463">
          <cell r="AS463">
            <v>768498.59362984227</v>
          </cell>
          <cell r="AT463">
            <v>737596.93271443178</v>
          </cell>
          <cell r="AU463">
            <v>757520.40814770653</v>
          </cell>
          <cell r="AV463">
            <v>771758.88612504257</v>
          </cell>
          <cell r="AW463">
            <v>718602.06944241421</v>
          </cell>
          <cell r="AX463">
            <v>767372.93124465109</v>
          </cell>
        </row>
        <row r="464">
          <cell r="AS464">
            <v>1167785.7690276713</v>
          </cell>
          <cell r="AT464">
            <v>1122386.212099669</v>
          </cell>
          <cell r="AU464">
            <v>1152997.7643781509</v>
          </cell>
          <cell r="AV464">
            <v>1174282.5626696544</v>
          </cell>
          <cell r="AW464">
            <v>1094934.7429327022</v>
          </cell>
          <cell r="AX464">
            <v>1168445.7250419294</v>
          </cell>
        </row>
        <row r="465">
          <cell r="AS465">
            <v>160304.77425703476</v>
          </cell>
          <cell r="AT465">
            <v>155002.98703031117</v>
          </cell>
          <cell r="AU465">
            <v>159320.32813222078</v>
          </cell>
          <cell r="AV465">
            <v>162097.76696491829</v>
          </cell>
          <cell r="AW465">
            <v>151545.20621697267</v>
          </cell>
          <cell r="AX465">
            <v>161025.44434313729</v>
          </cell>
        </row>
        <row r="563">
          <cell r="AS563">
            <v>105586.65000000001</v>
          </cell>
          <cell r="AT563">
            <v>147347.36000000002</v>
          </cell>
          <cell r="AU563">
            <v>194528.96</v>
          </cell>
          <cell r="AV563">
            <v>187891.9</v>
          </cell>
          <cell r="AW563">
            <v>148353.28000000003</v>
          </cell>
          <cell r="AX563">
            <v>92317.329999999987</v>
          </cell>
        </row>
        <row r="564">
          <cell r="AS564">
            <v>17231.089999999997</v>
          </cell>
          <cell r="AT564">
            <v>21796.01</v>
          </cell>
          <cell r="AU564">
            <v>24682.77</v>
          </cell>
          <cell r="AV564">
            <v>24227.29</v>
          </cell>
          <cell r="AW564">
            <v>19487.75</v>
          </cell>
          <cell r="AX564">
            <v>16296.989999999998</v>
          </cell>
        </row>
        <row r="565">
          <cell r="AS565">
            <v>32187.920000000002</v>
          </cell>
          <cell r="AT565">
            <v>43313.94</v>
          </cell>
          <cell r="AU565">
            <v>41785.329999999994</v>
          </cell>
          <cell r="AV565">
            <v>42229.05</v>
          </cell>
          <cell r="AW565">
            <v>39184.51</v>
          </cell>
          <cell r="AX565">
            <v>29445.530000000002</v>
          </cell>
        </row>
        <row r="566">
          <cell r="AS566">
            <v>30492.32</v>
          </cell>
          <cell r="AT566">
            <v>41729.659999999996</v>
          </cell>
          <cell r="AU566">
            <v>40184.92</v>
          </cell>
          <cell r="AV566">
            <v>41099.050000000003</v>
          </cell>
          <cell r="AW566">
            <v>37196.92</v>
          </cell>
          <cell r="AX566">
            <v>27123.09</v>
          </cell>
        </row>
        <row r="567">
          <cell r="AS567">
            <v>1758.48</v>
          </cell>
          <cell r="AT567">
            <v>2355.38</v>
          </cell>
          <cell r="AU567">
            <v>2226.9700000000003</v>
          </cell>
          <cell r="AV567">
            <v>2375.4700000000003</v>
          </cell>
          <cell r="AW567">
            <v>2172.14</v>
          </cell>
          <cell r="AX567">
            <v>1625.76</v>
          </cell>
        </row>
      </sheetData>
      <sheetData sheetId="3">
        <row r="7">
          <cell r="DY7">
            <v>0.11504769862685917</v>
          </cell>
        </row>
        <row r="469">
          <cell r="AS469">
            <v>91024.832087683753</v>
          </cell>
          <cell r="AT469">
            <v>191425.08474187565</v>
          </cell>
          <cell r="AU469">
            <v>483450.32726148848</v>
          </cell>
          <cell r="AV469">
            <v>551182.46769782936</v>
          </cell>
          <cell r="AW469">
            <v>307175.4106833972</v>
          </cell>
          <cell r="AX469">
            <v>320857.55736930744</v>
          </cell>
        </row>
        <row r="470">
          <cell r="AS470">
            <v>18348.676398934167</v>
          </cell>
          <cell r="AT470">
            <v>31429.839540670313</v>
          </cell>
          <cell r="AU470">
            <v>43212.812071844761</v>
          </cell>
          <cell r="AV470">
            <v>50367.946693471029</v>
          </cell>
          <cell r="AW470">
            <v>55202.856221665359</v>
          </cell>
          <cell r="AX470">
            <v>71595.521277299136</v>
          </cell>
        </row>
        <row r="471">
          <cell r="AS471">
            <v>71401.648066873473</v>
          </cell>
          <cell r="AT471">
            <v>121400.21547586341</v>
          </cell>
          <cell r="AU471">
            <v>165417.98788177976</v>
          </cell>
          <cell r="AV471">
            <v>191670.44973436592</v>
          </cell>
          <cell r="AW471">
            <v>211574.13721512142</v>
          </cell>
          <cell r="AX471">
            <v>249445.81519800043</v>
          </cell>
        </row>
        <row r="472">
          <cell r="AS472">
            <v>62962.194877246788</v>
          </cell>
          <cell r="AT472">
            <v>94351.214693703951</v>
          </cell>
          <cell r="AU472">
            <v>130955.70621265641</v>
          </cell>
          <cell r="AV472">
            <v>156769.13807602838</v>
          </cell>
          <cell r="AW472">
            <v>236285.75125304854</v>
          </cell>
          <cell r="AX472">
            <v>387050.12991946406</v>
          </cell>
        </row>
        <row r="473">
          <cell r="AS473">
            <v>43090.432353203243</v>
          </cell>
          <cell r="AT473">
            <v>84630.461904438183</v>
          </cell>
          <cell r="AU473">
            <v>90236.738830108588</v>
          </cell>
          <cell r="AV473">
            <v>92388.913503586649</v>
          </cell>
          <cell r="AW473">
            <v>88919.598527080336</v>
          </cell>
          <cell r="AX473">
            <v>105197.29308742467</v>
          </cell>
        </row>
        <row r="575">
          <cell r="AS575">
            <v>6249.95</v>
          </cell>
          <cell r="AT575">
            <v>19911.260000000002</v>
          </cell>
          <cell r="AU575">
            <v>51416.85</v>
          </cell>
          <cell r="AV575">
            <v>58887.37</v>
          </cell>
          <cell r="AW575">
            <v>32787.31</v>
          </cell>
          <cell r="AX575">
            <v>20021.37</v>
          </cell>
        </row>
        <row r="576">
          <cell r="AS576">
            <v>1176.6400000000001</v>
          </cell>
          <cell r="AT576">
            <v>2660.26</v>
          </cell>
          <cell r="AU576">
            <v>3413.21</v>
          </cell>
          <cell r="AV576">
            <v>3915.6099999999997</v>
          </cell>
          <cell r="AW576">
            <v>4260.4599999999991</v>
          </cell>
          <cell r="AX576">
            <v>4329.75</v>
          </cell>
        </row>
        <row r="577">
          <cell r="AS577">
            <v>3152.8500000000004</v>
          </cell>
          <cell r="AT577">
            <v>7514.5</v>
          </cell>
          <cell r="AU577">
            <v>9575.0499999999993</v>
          </cell>
          <cell r="AV577">
            <v>10989.619999999999</v>
          </cell>
          <cell r="AW577">
            <v>12044.17</v>
          </cell>
          <cell r="AX577">
            <v>10078.14</v>
          </cell>
        </row>
        <row r="578">
          <cell r="AS578">
            <v>1798.8</v>
          </cell>
          <cell r="AT578">
            <v>3926</v>
          </cell>
          <cell r="AU578">
            <v>5020.87</v>
          </cell>
          <cell r="AV578">
            <v>5968.66</v>
          </cell>
          <cell r="AW578">
            <v>8415.59</v>
          </cell>
          <cell r="AX578">
            <v>9452.44</v>
          </cell>
        </row>
        <row r="579">
          <cell r="AS579">
            <v>430.83000000000004</v>
          </cell>
          <cell r="AT579">
            <v>1077.55</v>
          </cell>
          <cell r="AU579">
            <v>1031.6300000000001</v>
          </cell>
          <cell r="AV579">
            <v>1137.3399999999999</v>
          </cell>
          <cell r="AW579">
            <v>1058.1500000000001</v>
          </cell>
          <cell r="AX579">
            <v>1011.89</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refreshError="1"/>
      <sheetData sheetId="1" refreshError="1"/>
      <sheetData sheetId="2" refreshError="1"/>
      <sheetData sheetId="3" refreshError="1"/>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refreshError="1"/>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AC571">
            <v>-5474.6800000000076</v>
          </cell>
          <cell r="AD571">
            <v>-3336.9700000000012</v>
          </cell>
          <cell r="AE571">
            <v>-3349.0200000000186</v>
          </cell>
          <cell r="AF571">
            <v>-7376.6699999999837</v>
          </cell>
          <cell r="AG571">
            <v>-9055.1699999999837</v>
          </cell>
          <cell r="AH571">
            <v>-17646.240000000078</v>
          </cell>
          <cell r="AI571">
            <v>-27382.049999999988</v>
          </cell>
          <cell r="AJ571">
            <v>-10388.499999999971</v>
          </cell>
          <cell r="AK571">
            <v>-9252.61</v>
          </cell>
          <cell r="AL571">
            <v>-6616.5599999999831</v>
          </cell>
          <cell r="AM571">
            <v>-7791.0399999999936</v>
          </cell>
          <cell r="AN571">
            <v>-13443.069999999978</v>
          </cell>
          <cell r="AO571">
            <v>-10042.159999999989</v>
          </cell>
          <cell r="AP571">
            <v>-9673.2099999999919</v>
          </cell>
          <cell r="AQ571">
            <v>-9915.0700000000215</v>
          </cell>
          <cell r="AR571">
            <v>-10258.759999999995</v>
          </cell>
          <cell r="AS571">
            <v>-10581</v>
          </cell>
          <cell r="AT571">
            <v>-15649.509999999995</v>
          </cell>
          <cell r="AU571">
            <v>-19171.889999999985</v>
          </cell>
          <cell r="AV571">
            <v>-18585.459999999992</v>
          </cell>
          <cell r="AW571">
            <v>-15425.060000000012</v>
          </cell>
          <cell r="AX571">
            <v>-9310.4199999999983</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row>
      </sheetData>
      <sheetData sheetId="5">
        <row r="436">
          <cell r="AC436">
            <v>-177.05999999999767</v>
          </cell>
          <cell r="AD436">
            <v>-761.60000000000582</v>
          </cell>
          <cell r="AE436">
            <v>-978.8300000000163</v>
          </cell>
          <cell r="AF436">
            <v>-1406.75</v>
          </cell>
          <cell r="AG436">
            <v>-1450.3699999999953</v>
          </cell>
          <cell r="AH436">
            <v>-2197.2600000000093</v>
          </cell>
          <cell r="AI436">
            <v>-2819.8000000000466</v>
          </cell>
          <cell r="AJ436">
            <v>-2926</v>
          </cell>
          <cell r="AK436">
            <v>-3845.5400000000081</v>
          </cell>
          <cell r="AL436">
            <v>-2955.890000000014</v>
          </cell>
          <cell r="AM436">
            <v>-3600.8500000000058</v>
          </cell>
          <cell r="AN436">
            <v>-7868.3600000000151</v>
          </cell>
          <cell r="AO436">
            <v>-3892.5500000000029</v>
          </cell>
          <cell r="AP436">
            <v>-3676.1300000000192</v>
          </cell>
          <cell r="AQ436">
            <v>-3392.6199999999953</v>
          </cell>
          <cell r="AR436">
            <v>-3515.320000000007</v>
          </cell>
          <cell r="AS436">
            <v>-3505.3200000000215</v>
          </cell>
          <cell r="AT436">
            <v>-3347.460000000021</v>
          </cell>
          <cell r="AU436">
            <v>-3226.3600000000151</v>
          </cell>
          <cell r="AV436">
            <v>-3479.9199999999837</v>
          </cell>
          <cell r="AW436">
            <v>-4336.2399999999907</v>
          </cell>
          <cell r="AX436">
            <v>-3097.0100000000093</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row>
      </sheetData>
      <sheetData sheetId="6">
        <row r="55">
          <cell r="AA55">
            <v>-15.92</v>
          </cell>
          <cell r="AB55">
            <v>-43.45</v>
          </cell>
          <cell r="AC55">
            <v>-67.319999999999993</v>
          </cell>
          <cell r="AD55">
            <v>-104.92</v>
          </cell>
          <cell r="AE55">
            <v>-145.68</v>
          </cell>
          <cell r="AF55">
            <v>-236.25</v>
          </cell>
          <cell r="AG55">
            <v>-373.56</v>
          </cell>
          <cell r="AH55">
            <v>-496.83</v>
          </cell>
          <cell r="AI55">
            <v>-570.44000000000005</v>
          </cell>
          <cell r="AJ55">
            <v>-647.49</v>
          </cell>
          <cell r="AK55">
            <v>-706.73</v>
          </cell>
          <cell r="AL55">
            <v>-743.81</v>
          </cell>
          <cell r="AM55">
            <v>-817.7</v>
          </cell>
          <cell r="AN55">
            <v>-865.08</v>
          </cell>
          <cell r="AO55">
            <v>-907.55</v>
          </cell>
          <cell r="AP55">
            <v>-1041.93</v>
          </cell>
          <cell r="AQ55">
            <v>-1130.6300000000001</v>
          </cell>
          <cell r="AR55">
            <v>-1156.3499999999999</v>
          </cell>
          <cell r="AS55">
            <v>-1253.1300000000001</v>
          </cell>
          <cell r="AT55">
            <v>-1414.84</v>
          </cell>
          <cell r="AU55">
            <v>-1483.04</v>
          </cell>
          <cell r="AV55">
            <v>-1560.06</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26.54</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74.180000000000007</v>
          </cell>
          <cell r="AV57">
            <v>84.52</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93.61</v>
          </cell>
          <cell r="AU58">
            <v>103.37</v>
          </cell>
          <cell r="AV58">
            <v>112.88</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13.6</v>
          </cell>
        </row>
      </sheetData>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5 Budget"/>
      <sheetName val="Metro by program and class"/>
      <sheetName val="order"/>
    </sheetNames>
    <sheetDataSet>
      <sheetData sheetId="0" refreshError="1"/>
      <sheetData sheetId="1">
        <row r="31">
          <cell r="Q31">
            <v>6932477.9700000007</v>
          </cell>
          <cell r="R31">
            <v>676728.45</v>
          </cell>
          <cell r="S31">
            <v>1852259.0700000003</v>
          </cell>
          <cell r="T31">
            <v>2944303.3699999996</v>
          </cell>
          <cell r="U31">
            <v>462267.85</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etro Monthly Prog Costs Upload"/>
      <sheetName val="Metro Monthly - kWh-kW Upload"/>
      <sheetName val="Combined Extension"/>
      <sheetName val="Summary"/>
      <sheetName val="Monthly Program Costs"/>
      <sheetName val="EMV Costs"/>
      <sheetName val="Monthly Program Costs Ext"/>
      <sheetName val="Monthly TD Calc"/>
      <sheetName val="Monthly TD Calc Ext"/>
      <sheetName val="Monthly kWh-kW"/>
      <sheetName val="R&amp;P"/>
      <sheetName val="ICF PY4 Bridge Yr Projections "/>
      <sheetName val="Simple"/>
      <sheetName val="TRC Ext"/>
      <sheetName val="Tstats Ext"/>
      <sheetName val="BDR Ext"/>
      <sheetName val="Internal Mktg Ext"/>
      <sheetName val="Labor &amp; Oth Admin"/>
      <sheetName val="EM&amp;V Ext"/>
      <sheetName val="EO Ex Post TD Calc"/>
      <sheetName val="EO NTG TD Calc"/>
      <sheetName val="EMV Results"/>
      <sheetName val="ICF SOW Amdt 2"/>
      <sheetName val="TRC SOW Amdt 1"/>
      <sheetName val="Metro EO Matrix @Meter"/>
      <sheetName val="Metro EO Table"/>
      <sheetName val="Mktg Forecast"/>
      <sheetName val="PAYS"/>
      <sheetName val="PAYS Reg Asset"/>
      <sheetName val="MEEIA Labor Alloc"/>
      <sheetName val="Other Admin"/>
      <sheetName val="Implementer Contract Rates"/>
      <sheetName val="Billed kWh Sales"/>
    </sheetNames>
    <sheetDataSet>
      <sheetData sheetId="0" refreshError="1"/>
      <sheetData sheetId="1" refreshError="1"/>
      <sheetData sheetId="2" refreshError="1"/>
      <sheetData sheetId="3" refreshError="1"/>
      <sheetData sheetId="4" refreshError="1"/>
      <sheetData sheetId="5" refreshError="1"/>
      <sheetData sheetId="6">
        <row r="290">
          <cell r="BB290">
            <v>0</v>
          </cell>
          <cell r="BC290">
            <v>0</v>
          </cell>
        </row>
        <row r="291">
          <cell r="BB291">
            <v>0</v>
          </cell>
          <cell r="BC291">
            <v>0</v>
          </cell>
        </row>
        <row r="292">
          <cell r="BB292">
            <v>0</v>
          </cell>
          <cell r="BC292">
            <v>0</v>
          </cell>
        </row>
        <row r="293">
          <cell r="BB293">
            <v>0</v>
          </cell>
          <cell r="BC293">
            <v>0</v>
          </cell>
        </row>
        <row r="294">
          <cell r="BB294">
            <v>0</v>
          </cell>
          <cell r="BC294">
            <v>0</v>
          </cell>
        </row>
      </sheetData>
      <sheetData sheetId="7" refreshError="1"/>
      <sheetData sheetId="8">
        <row r="290">
          <cell r="BB290">
            <v>869110.00000000012</v>
          </cell>
          <cell r="BC290">
            <v>846758.98</v>
          </cell>
          <cell r="BD290">
            <v>12795.82</v>
          </cell>
          <cell r="BE290">
            <v>12795.82</v>
          </cell>
          <cell r="BF290">
            <v>12795.82</v>
          </cell>
          <cell r="BG290">
            <v>12795.82</v>
          </cell>
          <cell r="BH290">
            <v>12795.82</v>
          </cell>
          <cell r="BI290">
            <v>12795.82</v>
          </cell>
          <cell r="BJ290">
            <v>0</v>
          </cell>
          <cell r="BK290">
            <v>0</v>
          </cell>
          <cell r="BL290">
            <v>0</v>
          </cell>
          <cell r="BM290">
            <v>0</v>
          </cell>
          <cell r="BN290">
            <v>0</v>
          </cell>
          <cell r="BO290">
            <v>0</v>
          </cell>
        </row>
        <row r="291">
          <cell r="BB291">
            <v>135358.23000000001</v>
          </cell>
          <cell r="BC291">
            <v>160767.52999999997</v>
          </cell>
          <cell r="BD291">
            <v>2041</v>
          </cell>
          <cell r="BE291">
            <v>2041</v>
          </cell>
          <cell r="BF291">
            <v>2041</v>
          </cell>
          <cell r="BG291">
            <v>2041</v>
          </cell>
          <cell r="BH291">
            <v>2041</v>
          </cell>
          <cell r="BI291">
            <v>2041</v>
          </cell>
          <cell r="BJ291">
            <v>0</v>
          </cell>
          <cell r="BK291">
            <v>0</v>
          </cell>
          <cell r="BL291">
            <v>0</v>
          </cell>
          <cell r="BM291">
            <v>0</v>
          </cell>
          <cell r="BN291">
            <v>0</v>
          </cell>
          <cell r="BO291">
            <v>0</v>
          </cell>
        </row>
        <row r="292">
          <cell r="BB292">
            <v>271565.69</v>
          </cell>
          <cell r="BC292">
            <v>322543.71999999997</v>
          </cell>
          <cell r="BD292">
            <v>4094.7999999999997</v>
          </cell>
          <cell r="BE292">
            <v>4094.7999999999997</v>
          </cell>
          <cell r="BF292">
            <v>4094.7999999999997</v>
          </cell>
          <cell r="BG292">
            <v>4094.7999999999997</v>
          </cell>
          <cell r="BH292">
            <v>4094.7999999999997</v>
          </cell>
          <cell r="BI292">
            <v>4094.7999999999997</v>
          </cell>
          <cell r="BJ292">
            <v>0</v>
          </cell>
          <cell r="BK292">
            <v>0</v>
          </cell>
          <cell r="BL292">
            <v>0</v>
          </cell>
          <cell r="BM292">
            <v>0</v>
          </cell>
          <cell r="BN292">
            <v>0</v>
          </cell>
          <cell r="BO292">
            <v>0</v>
          </cell>
        </row>
        <row r="293">
          <cell r="BB293">
            <v>432063.91999999993</v>
          </cell>
          <cell r="BC293">
            <v>513170.49999999994</v>
          </cell>
          <cell r="BD293">
            <v>6514.87</v>
          </cell>
          <cell r="BE293">
            <v>6514.87</v>
          </cell>
          <cell r="BF293">
            <v>6514.87</v>
          </cell>
          <cell r="BG293">
            <v>6514.87</v>
          </cell>
          <cell r="BH293">
            <v>6514.87</v>
          </cell>
          <cell r="BI293">
            <v>6514.87</v>
          </cell>
          <cell r="BJ293">
            <v>0</v>
          </cell>
          <cell r="BK293">
            <v>0</v>
          </cell>
          <cell r="BL293">
            <v>0</v>
          </cell>
          <cell r="BM293">
            <v>0</v>
          </cell>
          <cell r="BN293">
            <v>0</v>
          </cell>
          <cell r="BO293">
            <v>0</v>
          </cell>
        </row>
        <row r="294">
          <cell r="BB294">
            <v>115468.29000000001</v>
          </cell>
          <cell r="BC294">
            <v>137143.88</v>
          </cell>
          <cell r="BD294">
            <v>1741.09</v>
          </cell>
          <cell r="BE294">
            <v>1741.09</v>
          </cell>
          <cell r="BF294">
            <v>1741.09</v>
          </cell>
          <cell r="BG294">
            <v>1741.09</v>
          </cell>
          <cell r="BH294">
            <v>1741.09</v>
          </cell>
          <cell r="BI294">
            <v>1741.09</v>
          </cell>
          <cell r="BJ294">
            <v>0</v>
          </cell>
          <cell r="BK294">
            <v>0</v>
          </cell>
          <cell r="BL294">
            <v>0</v>
          </cell>
          <cell r="BM294">
            <v>0</v>
          </cell>
          <cell r="BN294">
            <v>0</v>
          </cell>
          <cell r="BO294">
            <v>0</v>
          </cell>
        </row>
      </sheetData>
      <sheetData sheetId="9">
        <row r="462">
          <cell r="AY462">
            <v>1644768.4384896406</v>
          </cell>
          <cell r="AZ462">
            <v>1973819.3015999026</v>
          </cell>
          <cell r="BA462">
            <v>1977196.6974823354</v>
          </cell>
          <cell r="BB462">
            <v>1790225.607364716</v>
          </cell>
          <cell r="BC462">
            <v>1751413.0326662674</v>
          </cell>
          <cell r="BD462">
            <v>1691924.4291834051</v>
          </cell>
          <cell r="BE462">
            <v>1770194.7023004883</v>
          </cell>
          <cell r="BF462">
            <v>1583836.189783331</v>
          </cell>
          <cell r="BG462">
            <v>1915658.3188268214</v>
          </cell>
          <cell r="BH462">
            <v>1859223.6652340915</v>
          </cell>
          <cell r="BI462">
            <v>1578595.0108064788</v>
          </cell>
          <cell r="BJ462">
            <v>1702531.8173128059</v>
          </cell>
          <cell r="BK462">
            <v>1644496.4801564161</v>
          </cell>
          <cell r="BL462">
            <v>1973532.0932653055</v>
          </cell>
        </row>
        <row r="463">
          <cell r="AY463">
            <v>261886.40664340148</v>
          </cell>
          <cell r="AZ463">
            <v>262416.91544866777</v>
          </cell>
          <cell r="BA463">
            <v>275317.73488500126</v>
          </cell>
          <cell r="BB463">
            <v>248870.79898552294</v>
          </cell>
          <cell r="BC463">
            <v>276102.18010473688</v>
          </cell>
          <cell r="BD463">
            <v>263455.12204395095</v>
          </cell>
          <cell r="BE463">
            <v>276406.58984293451</v>
          </cell>
          <cell r="BF463">
            <v>266025.07309421379</v>
          </cell>
          <cell r="BG463">
            <v>312545.34713715088</v>
          </cell>
          <cell r="BH463">
            <v>312630.05663573835</v>
          </cell>
          <cell r="BI463">
            <v>259581.28576028047</v>
          </cell>
          <cell r="BJ463">
            <v>276709.54514799302</v>
          </cell>
          <cell r="BK463">
            <v>261886.40664340148</v>
          </cell>
          <cell r="BL463">
            <v>262416.91544866777</v>
          </cell>
        </row>
        <row r="464">
          <cell r="AY464">
            <v>616244.25321092166</v>
          </cell>
          <cell r="AZ464">
            <v>617894.00471170445</v>
          </cell>
          <cell r="BA464">
            <v>650363.00813557557</v>
          </cell>
          <cell r="BB464">
            <v>588134.45324126503</v>
          </cell>
          <cell r="BC464">
            <v>652486.87554426095</v>
          </cell>
          <cell r="BD464">
            <v>620952.40703756537</v>
          </cell>
          <cell r="BE464">
            <v>653033.40809620172</v>
          </cell>
          <cell r="BF464">
            <v>626951.57658394519</v>
          </cell>
          <cell r="BG464">
            <v>643866.53675526869</v>
          </cell>
          <cell r="BH464">
            <v>655966.5345024697</v>
          </cell>
          <cell r="BI464">
            <v>610639.86745856679</v>
          </cell>
          <cell r="BJ464">
            <v>651857.93914524885</v>
          </cell>
          <cell r="BK464">
            <v>616244.25321092166</v>
          </cell>
          <cell r="BL464">
            <v>617894.00471170445</v>
          </cell>
        </row>
        <row r="465">
          <cell r="AY465">
            <v>984674.1635825464</v>
          </cell>
          <cell r="AZ465">
            <v>986988.40603080497</v>
          </cell>
          <cell r="BA465">
            <v>1035910.3197735942</v>
          </cell>
          <cell r="BB465">
            <v>936483.85173508886</v>
          </cell>
          <cell r="BC465">
            <v>1038668.8010952101</v>
          </cell>
          <cell r="BD465">
            <v>990805.18395544286</v>
          </cell>
          <cell r="BE465">
            <v>1039761.5801534778</v>
          </cell>
          <cell r="BF465">
            <v>999765.84532418486</v>
          </cell>
          <cell r="BG465">
            <v>1027066.1074795269</v>
          </cell>
          <cell r="BH465">
            <v>1045957.506992255</v>
          </cell>
          <cell r="BI465">
            <v>975415.36689247121</v>
          </cell>
          <cell r="BJ465">
            <v>1040563.0820795535</v>
          </cell>
          <cell r="BK465">
            <v>984674.1635825464</v>
          </cell>
          <cell r="BL465">
            <v>986988.40603080497</v>
          </cell>
        </row>
        <row r="466">
          <cell r="AY466">
            <v>152395.69998722139</v>
          </cell>
          <cell r="AZ466">
            <v>152505.37596136698</v>
          </cell>
          <cell r="BA466">
            <v>159395.44719449437</v>
          </cell>
          <cell r="BB466">
            <v>144000.62680055381</v>
          </cell>
          <cell r="BC466">
            <v>159854.20525421546</v>
          </cell>
          <cell r="BD466">
            <v>153000.38707668803</v>
          </cell>
          <cell r="BE466">
            <v>160087.18984587266</v>
          </cell>
          <cell r="BF466">
            <v>154745.3665349104</v>
          </cell>
          <cell r="BG466">
            <v>159054.13325358683</v>
          </cell>
          <cell r="BH466">
            <v>161832.73422048011</v>
          </cell>
          <cell r="BI466">
            <v>151296.00454059624</v>
          </cell>
          <cell r="BJ466">
            <v>160803.62203331912</v>
          </cell>
          <cell r="BK466">
            <v>152395.69998722139</v>
          </cell>
          <cell r="BL466">
            <v>152505.37596136698</v>
          </cell>
        </row>
        <row r="564">
          <cell r="AY564">
            <v>89172.050000000017</v>
          </cell>
          <cell r="AZ564">
            <v>100922.01999999999</v>
          </cell>
          <cell r="BA564">
            <v>93069.4</v>
          </cell>
          <cell r="BB564">
            <v>86722.65</v>
          </cell>
          <cell r="BC564">
            <v>87470.739999999991</v>
          </cell>
          <cell r="BD564">
            <v>90009.79</v>
          </cell>
          <cell r="BE564">
            <v>93177.05</v>
          </cell>
          <cell r="BF564">
            <v>129730</v>
          </cell>
          <cell r="BG564">
            <v>170131.85</v>
          </cell>
          <cell r="BH564">
            <v>164488.65000000002</v>
          </cell>
          <cell r="BI564">
            <v>130758.51000000001</v>
          </cell>
          <cell r="BJ564">
            <v>81566.720000000001</v>
          </cell>
          <cell r="BK564">
            <v>89149.020000000019</v>
          </cell>
          <cell r="BL564">
            <v>100898.73</v>
          </cell>
        </row>
        <row r="565">
          <cell r="AY565">
            <v>16002.51</v>
          </cell>
          <cell r="AZ565">
            <v>15055.640000000001</v>
          </cell>
          <cell r="BA565">
            <v>14989.63</v>
          </cell>
          <cell r="BB565">
            <v>13595.060000000001</v>
          </cell>
          <cell r="BC565">
            <v>15468.910000000002</v>
          </cell>
          <cell r="BD565">
            <v>15552.199999999999</v>
          </cell>
          <cell r="BE565">
            <v>17086.36</v>
          </cell>
          <cell r="BF565">
            <v>21605.37</v>
          </cell>
          <cell r="BG565">
            <v>24365.279999999999</v>
          </cell>
          <cell r="BH565">
            <v>23926.92</v>
          </cell>
          <cell r="BI565">
            <v>19314.77</v>
          </cell>
          <cell r="BJ565">
            <v>16160.16</v>
          </cell>
          <cell r="BK565">
            <v>16002.51</v>
          </cell>
          <cell r="BL565">
            <v>15055.640000000001</v>
          </cell>
        </row>
        <row r="566">
          <cell r="AY566">
            <v>25134.260000000002</v>
          </cell>
          <cell r="AZ566">
            <v>23363.18</v>
          </cell>
          <cell r="BA566">
            <v>23003.210000000003</v>
          </cell>
          <cell r="BB566">
            <v>20998.18</v>
          </cell>
          <cell r="BC566">
            <v>23978.94</v>
          </cell>
          <cell r="BD566">
            <v>24359.440000000002</v>
          </cell>
          <cell r="BE566">
            <v>27300.579999999998</v>
          </cell>
          <cell r="BF566">
            <v>36787.720000000008</v>
          </cell>
          <cell r="BG566">
            <v>35507.67</v>
          </cell>
          <cell r="BH566">
            <v>35883.879999999997</v>
          </cell>
          <cell r="BI566">
            <v>33290.26</v>
          </cell>
          <cell r="BJ566">
            <v>24967.09</v>
          </cell>
          <cell r="BK566">
            <v>25134.260000000002</v>
          </cell>
          <cell r="BL566">
            <v>23363.18</v>
          </cell>
        </row>
        <row r="567">
          <cell r="AY567">
            <v>25248.95</v>
          </cell>
          <cell r="AZ567">
            <v>23533.199999999997</v>
          </cell>
          <cell r="BA567">
            <v>23399.65</v>
          </cell>
          <cell r="BB567">
            <v>21340.38</v>
          </cell>
          <cell r="BC567">
            <v>24407.35</v>
          </cell>
          <cell r="BD567">
            <v>25030.230000000003</v>
          </cell>
          <cell r="BE567">
            <v>27204.21</v>
          </cell>
          <cell r="BF567">
            <v>37297.549999999996</v>
          </cell>
          <cell r="BG567">
            <v>35933.870000000003</v>
          </cell>
          <cell r="BH567">
            <v>36745.67</v>
          </cell>
          <cell r="BI567">
            <v>33266.619999999995</v>
          </cell>
          <cell r="BJ567">
            <v>24210.699999999997</v>
          </cell>
          <cell r="BK567">
            <v>25248.95</v>
          </cell>
          <cell r="BL567">
            <v>23533.199999999997</v>
          </cell>
        </row>
        <row r="568">
          <cell r="AY568">
            <v>1610.0200000000002</v>
          </cell>
          <cell r="AZ568">
            <v>1579.46</v>
          </cell>
          <cell r="BA568">
            <v>1357.25</v>
          </cell>
          <cell r="BB568">
            <v>1546.4699999999998</v>
          </cell>
          <cell r="BC568">
            <v>1738.3899999999999</v>
          </cell>
          <cell r="BD568">
            <v>1643.6100000000001</v>
          </cell>
          <cell r="BE568">
            <v>1730.8500000000001</v>
          </cell>
          <cell r="BF568">
            <v>2311.34</v>
          </cell>
          <cell r="BG568">
            <v>2180.77</v>
          </cell>
          <cell r="BH568">
            <v>2329.0700000000002</v>
          </cell>
          <cell r="BI568">
            <v>2127.36</v>
          </cell>
          <cell r="BJ568">
            <v>1599.67</v>
          </cell>
          <cell r="BK568">
            <v>1610.0200000000002</v>
          </cell>
          <cell r="BL568">
            <v>1579.46</v>
          </cell>
        </row>
      </sheetData>
      <sheetData sheetId="10">
        <row r="462">
          <cell r="AY462">
            <v>369155.01755310036</v>
          </cell>
          <cell r="AZ462">
            <v>462668.59327579511</v>
          </cell>
          <cell r="BA462">
            <v>535247.65830208769</v>
          </cell>
          <cell r="BB462">
            <v>476618.70029718766</v>
          </cell>
          <cell r="BC462">
            <v>567980.13662098604</v>
          </cell>
          <cell r="BD462">
            <v>542453.70034130104</v>
          </cell>
          <cell r="BE462">
            <v>594732.02512622206</v>
          </cell>
          <cell r="BF462">
            <v>778325.33370741317</v>
          </cell>
          <cell r="BG462">
            <v>1342844.8614184198</v>
          </cell>
          <cell r="BH462">
            <v>1234871.80691669</v>
          </cell>
          <cell r="BI462">
            <v>649427.07509747939</v>
          </cell>
          <cell r="BJ462">
            <v>575680.86391746253</v>
          </cell>
          <cell r="BK462">
            <v>548182.64151396835</v>
          </cell>
          <cell r="BL462">
            <v>527718.39394594973</v>
          </cell>
        </row>
        <row r="463">
          <cell r="AY463">
            <v>79018.532334841177</v>
          </cell>
          <cell r="AZ463">
            <v>124721.57266973212</v>
          </cell>
          <cell r="BA463">
            <v>160649.44050275095</v>
          </cell>
          <cell r="BB463">
            <v>145161.60537493293</v>
          </cell>
          <cell r="BC463">
            <v>161575.87811162916</v>
          </cell>
          <cell r="BD463">
            <v>154048.13435134868</v>
          </cell>
          <cell r="BE463">
            <v>161782.29393138259</v>
          </cell>
          <cell r="BF463">
            <v>156840.97015365781</v>
          </cell>
          <cell r="BG463">
            <v>162593.00323286682</v>
          </cell>
          <cell r="BH463">
            <v>165231.24608870075</v>
          </cell>
          <cell r="BI463">
            <v>152839.34562803351</v>
          </cell>
          <cell r="BJ463">
            <v>161830.84820408499</v>
          </cell>
          <cell r="BK463">
            <v>153156.51867912733</v>
          </cell>
          <cell r="BL463">
            <v>153032.07312197416</v>
          </cell>
        </row>
        <row r="464">
          <cell r="AY464">
            <v>250325.45578919392</v>
          </cell>
          <cell r="AZ464">
            <v>342387.82569405372</v>
          </cell>
          <cell r="BA464">
            <v>419124.62990982766</v>
          </cell>
          <cell r="BB464">
            <v>378789.71920801594</v>
          </cell>
          <cell r="BC464">
            <v>421114.33941201546</v>
          </cell>
          <cell r="BD464">
            <v>401491.11672017863</v>
          </cell>
          <cell r="BE464">
            <v>421612.33193475427</v>
          </cell>
          <cell r="BF464">
            <v>407536.59303531097</v>
          </cell>
          <cell r="BG464">
            <v>418689.67117478605</v>
          </cell>
          <cell r="BH464">
            <v>426156.84395273001</v>
          </cell>
          <cell r="BI464">
            <v>397245.12786346767</v>
          </cell>
          <cell r="BJ464">
            <v>421718.69799635874</v>
          </cell>
          <cell r="BK464">
            <v>399066.5689607911</v>
          </cell>
          <cell r="BL464">
            <v>399186.4462036062</v>
          </cell>
        </row>
        <row r="465">
          <cell r="AY465">
            <v>433318.78571845888</v>
          </cell>
          <cell r="AZ465">
            <v>579860.40559708094</v>
          </cell>
          <cell r="BA465">
            <v>703081.19272040564</v>
          </cell>
          <cell r="BB465">
            <v>635372.76953794877</v>
          </cell>
          <cell r="BC465">
            <v>706159.70041016012</v>
          </cell>
          <cell r="BD465">
            <v>673763.66474329517</v>
          </cell>
          <cell r="BE465">
            <v>707032.05484767351</v>
          </cell>
          <cell r="BF465">
            <v>683418.6487872476</v>
          </cell>
          <cell r="BG465">
            <v>702184.79715271445</v>
          </cell>
          <cell r="BH465">
            <v>714659.5745760384</v>
          </cell>
          <cell r="BI465">
            <v>666554.09230487421</v>
          </cell>
          <cell r="BJ465">
            <v>707789.4285159416</v>
          </cell>
          <cell r="BK465">
            <v>669967.48415571998</v>
          </cell>
          <cell r="BL465">
            <v>670227.61698880128</v>
          </cell>
        </row>
        <row r="466">
          <cell r="AY466">
            <v>112001.02625326252</v>
          </cell>
          <cell r="AZ466">
            <v>151117.3654001251</v>
          </cell>
          <cell r="BA466">
            <v>183572.76060315428</v>
          </cell>
          <cell r="BB466">
            <v>165862.06920906145</v>
          </cell>
          <cell r="BC466">
            <v>184330.11512095446</v>
          </cell>
          <cell r="BD466">
            <v>176100.27955851916</v>
          </cell>
          <cell r="BE466">
            <v>184580.76158419834</v>
          </cell>
          <cell r="BF466">
            <v>178604.41582849107</v>
          </cell>
          <cell r="BG466">
            <v>183541.34422456103</v>
          </cell>
          <cell r="BH466">
            <v>186757.79877708125</v>
          </cell>
          <cell r="BI466">
            <v>174354.31378220653</v>
          </cell>
          <cell r="BJ466">
            <v>185038.32586187511</v>
          </cell>
          <cell r="BK466">
            <v>175244.95684607199</v>
          </cell>
          <cell r="BL466">
            <v>175267.83689168442</v>
          </cell>
        </row>
        <row r="564">
          <cell r="AY564">
            <v>26102.13</v>
          </cell>
          <cell r="AZ564">
            <v>31319.64</v>
          </cell>
          <cell r="BA564">
            <v>33341.11</v>
          </cell>
          <cell r="BB564">
            <v>30492.97</v>
          </cell>
          <cell r="BC564">
            <v>37106.370000000003</v>
          </cell>
          <cell r="BD564">
            <v>37739.699999999997</v>
          </cell>
          <cell r="BE564">
            <v>40870.29</v>
          </cell>
          <cell r="BF564">
            <v>80847.759999999995</v>
          </cell>
          <cell r="BG564">
            <v>142626.24000000002</v>
          </cell>
          <cell r="BH564">
            <v>131756.26</v>
          </cell>
          <cell r="BI564">
            <v>69220.97</v>
          </cell>
          <cell r="BJ564">
            <v>35979.899999999994</v>
          </cell>
          <cell r="BK564">
            <v>38760.78</v>
          </cell>
          <cell r="BL564">
            <v>35723.090000000004</v>
          </cell>
        </row>
        <row r="565">
          <cell r="AY565">
            <v>5016.24</v>
          </cell>
          <cell r="AZ565">
            <v>7430.579999999999</v>
          </cell>
          <cell r="BA565">
            <v>9072.61</v>
          </cell>
          <cell r="BB565">
            <v>8231.57</v>
          </cell>
          <cell r="BC565">
            <v>9394.56</v>
          </cell>
          <cell r="BD565">
            <v>9440.2999999999993</v>
          </cell>
          <cell r="BE565">
            <v>10362.09</v>
          </cell>
          <cell r="BF565">
            <v>13267.480000000001</v>
          </cell>
          <cell r="BG565">
            <v>12898.530000000002</v>
          </cell>
          <cell r="BH565">
            <v>12923.9</v>
          </cell>
          <cell r="BI565">
            <v>11908.810000000001</v>
          </cell>
          <cell r="BJ565">
            <v>9779.5300000000007</v>
          </cell>
          <cell r="BK565">
            <v>9708.51</v>
          </cell>
          <cell r="BL565">
            <v>9115.2999999999993</v>
          </cell>
        </row>
        <row r="566">
          <cell r="AY566">
            <v>10856.5</v>
          </cell>
          <cell r="AZ566">
            <v>13765.57</v>
          </cell>
          <cell r="BA566">
            <v>15761.95</v>
          </cell>
          <cell r="BB566">
            <v>14385.07</v>
          </cell>
          <cell r="BC566">
            <v>16470.55</v>
          </cell>
          <cell r="BD566">
            <v>16762.689999999999</v>
          </cell>
          <cell r="BE566">
            <v>18711.319999999996</v>
          </cell>
          <cell r="BF566">
            <v>25499.379999999997</v>
          </cell>
          <cell r="BG566">
            <v>24713.91</v>
          </cell>
          <cell r="BH566">
            <v>24958.57</v>
          </cell>
          <cell r="BI566">
            <v>23190.589999999997</v>
          </cell>
          <cell r="BJ566">
            <v>17144.71</v>
          </cell>
          <cell r="BK566">
            <v>17312.900000000001</v>
          </cell>
          <cell r="BL566">
            <v>16060.41</v>
          </cell>
        </row>
        <row r="567">
          <cell r="AY567">
            <v>11850.15</v>
          </cell>
          <cell r="AZ567">
            <v>14744.169999999998</v>
          </cell>
          <cell r="BA567">
            <v>16938.97</v>
          </cell>
          <cell r="BB567">
            <v>15448.769999999999</v>
          </cell>
          <cell r="BC567">
            <v>17737.8</v>
          </cell>
          <cell r="BD567">
            <v>18192.100000000002</v>
          </cell>
          <cell r="BE567">
            <v>19725.280000000002</v>
          </cell>
          <cell r="BF567">
            <v>27419.47</v>
          </cell>
          <cell r="BG567">
            <v>26567.02</v>
          </cell>
          <cell r="BH567">
            <v>27129.57</v>
          </cell>
          <cell r="BI567">
            <v>24616.32</v>
          </cell>
          <cell r="BJ567">
            <v>17585.419999999998</v>
          </cell>
          <cell r="BK567">
            <v>18374.52</v>
          </cell>
          <cell r="BL567">
            <v>17079.150000000001</v>
          </cell>
        </row>
        <row r="568">
          <cell r="AY568">
            <v>1215.32</v>
          </cell>
          <cell r="AZ568">
            <v>1606.8</v>
          </cell>
          <cell r="BA568">
            <v>1617.29</v>
          </cell>
          <cell r="BB568">
            <v>1836.1</v>
          </cell>
          <cell r="BC568">
            <v>2067.73</v>
          </cell>
          <cell r="BD568">
            <v>1955</v>
          </cell>
          <cell r="BE568">
            <v>2060.7800000000002</v>
          </cell>
          <cell r="BF568">
            <v>2766.45</v>
          </cell>
          <cell r="BG568">
            <v>2617.4100000000003</v>
          </cell>
          <cell r="BH568">
            <v>2791.11</v>
          </cell>
          <cell r="BI568">
            <v>2548.77</v>
          </cell>
          <cell r="BJ568">
            <v>1901.5600000000002</v>
          </cell>
          <cell r="BK568">
            <v>1915.54</v>
          </cell>
          <cell r="BL568">
            <v>1875.63</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DC44">
            <v>0.13576441564001979</v>
          </cell>
          <cell r="DD44">
            <v>0.35611574316442379</v>
          </cell>
          <cell r="DE44">
            <v>0.4183185730547726</v>
          </cell>
          <cell r="DF44">
            <v>8.9801268140783777E-2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May 2023 "/>
      <sheetName val="May 2023"/>
      <sheetName val="June 2023"/>
      <sheetName val="July 2023"/>
      <sheetName val="August 2023"/>
      <sheetName val="September 2023"/>
      <sheetName val="October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43">
          <cell r="G43">
            <v>-0.61</v>
          </cell>
        </row>
        <row r="44">
          <cell r="G44">
            <v>0</v>
          </cell>
        </row>
        <row r="45">
          <cell r="G45">
            <v>0</v>
          </cell>
        </row>
        <row r="46">
          <cell r="G46">
            <v>0</v>
          </cell>
        </row>
        <row r="47">
          <cell r="G47">
            <v>91.739999999999981</v>
          </cell>
        </row>
        <row r="52">
          <cell r="G52">
            <v>0.61</v>
          </cell>
        </row>
        <row r="53">
          <cell r="G53">
            <v>-418.01</v>
          </cell>
        </row>
        <row r="54">
          <cell r="G54">
            <v>-780.24</v>
          </cell>
        </row>
        <row r="55">
          <cell r="G55">
            <v>-1337.6599999999999</v>
          </cell>
        </row>
        <row r="56">
          <cell r="G56">
            <v>-409.90999999999997</v>
          </cell>
        </row>
        <row r="61">
          <cell r="G61">
            <v>39946.67</v>
          </cell>
        </row>
        <row r="62">
          <cell r="G62">
            <v>8385.69</v>
          </cell>
        </row>
        <row r="63">
          <cell r="G63">
            <v>20318.21</v>
          </cell>
        </row>
        <row r="64">
          <cell r="G64">
            <v>25450.559999999998</v>
          </cell>
        </row>
        <row r="65">
          <cell r="G65">
            <v>6078.11</v>
          </cell>
        </row>
        <row r="70">
          <cell r="G70">
            <v>-15362.15</v>
          </cell>
        </row>
        <row r="71">
          <cell r="G71">
            <v>-2101.04</v>
          </cell>
        </row>
        <row r="72">
          <cell r="G72">
            <v>10162.09</v>
          </cell>
        </row>
        <row r="73">
          <cell r="G73">
            <v>10720.39</v>
          </cell>
        </row>
        <row r="74">
          <cell r="G74">
            <v>5641.9</v>
          </cell>
        </row>
        <row r="79">
          <cell r="G79">
            <v>-4608.49</v>
          </cell>
        </row>
        <row r="84">
          <cell r="G84">
            <v>0</v>
          </cell>
        </row>
        <row r="88">
          <cell r="G88">
            <v>396325.96</v>
          </cell>
        </row>
        <row r="89">
          <cell r="G89">
            <v>49830.76</v>
          </cell>
        </row>
        <row r="90">
          <cell r="G90">
            <v>127329.19</v>
          </cell>
        </row>
        <row r="91">
          <cell r="G91">
            <v>218428.11</v>
          </cell>
        </row>
        <row r="92">
          <cell r="G92">
            <v>33851.43</v>
          </cell>
        </row>
        <row r="96">
          <cell r="G96">
            <v>-30724.51</v>
          </cell>
        </row>
        <row r="97">
          <cell r="G97">
            <v>18384.669999999998</v>
          </cell>
        </row>
        <row r="98">
          <cell r="G98">
            <v>-30447.119999999999</v>
          </cell>
        </row>
        <row r="99">
          <cell r="G99">
            <v>-89783.4</v>
          </cell>
        </row>
        <row r="100">
          <cell r="G100">
            <v>-32239.45</v>
          </cell>
        </row>
        <row r="104">
          <cell r="G104">
            <v>106001.77</v>
          </cell>
        </row>
        <row r="105">
          <cell r="G105">
            <v>22174.739999999998</v>
          </cell>
        </row>
        <row r="106">
          <cell r="G106">
            <v>41397.9</v>
          </cell>
        </row>
        <row r="107">
          <cell r="G107">
            <v>44221.67</v>
          </cell>
        </row>
        <row r="108">
          <cell r="G108">
            <v>1208.98</v>
          </cell>
        </row>
        <row r="112">
          <cell r="G112">
            <v>-27646.54</v>
          </cell>
        </row>
        <row r="113">
          <cell r="G113">
            <v>0</v>
          </cell>
        </row>
        <row r="114">
          <cell r="G114">
            <v>0</v>
          </cell>
        </row>
        <row r="115">
          <cell r="G115">
            <v>0</v>
          </cell>
        </row>
        <row r="116">
          <cell r="G116">
            <v>0</v>
          </cell>
        </row>
        <row r="120">
          <cell r="G120">
            <v>19970.12</v>
          </cell>
        </row>
        <row r="121">
          <cell r="G121">
            <v>2513.44</v>
          </cell>
        </row>
        <row r="122">
          <cell r="G122">
            <v>9375.85</v>
          </cell>
        </row>
        <row r="123">
          <cell r="G123">
            <v>12060.44</v>
          </cell>
        </row>
        <row r="124">
          <cell r="G124">
            <v>2014.97</v>
          </cell>
        </row>
        <row r="140">
          <cell r="G140">
            <v>153608115.565175</v>
          </cell>
        </row>
        <row r="141">
          <cell r="G141">
            <v>41841213.929499991</v>
          </cell>
        </row>
        <row r="142">
          <cell r="G142">
            <v>78101680.974799991</v>
          </cell>
        </row>
        <row r="143">
          <cell r="G143">
            <v>134005063.37409998</v>
          </cell>
        </row>
        <row r="144">
          <cell r="G144">
            <v>40299318.380000003</v>
          </cell>
        </row>
      </sheetData>
      <sheetData sheetId="42">
        <row r="43">
          <cell r="G43">
            <v>0.83</v>
          </cell>
        </row>
        <row r="44">
          <cell r="G44">
            <v>0</v>
          </cell>
        </row>
        <row r="45">
          <cell r="G45">
            <v>0</v>
          </cell>
        </row>
        <row r="46">
          <cell r="G46">
            <v>0</v>
          </cell>
        </row>
        <row r="47">
          <cell r="G47">
            <v>190.57999999999998</v>
          </cell>
        </row>
        <row r="52">
          <cell r="G52">
            <v>-0.83</v>
          </cell>
        </row>
        <row r="53">
          <cell r="G53">
            <v>-531.56000000000006</v>
          </cell>
        </row>
        <row r="54">
          <cell r="G54">
            <v>-908.24</v>
          </cell>
        </row>
        <row r="55">
          <cell r="G55">
            <v>-1460.8700000000001</v>
          </cell>
        </row>
        <row r="56">
          <cell r="G56">
            <v>-365.62</v>
          </cell>
        </row>
        <row r="61">
          <cell r="G61">
            <v>54529.31</v>
          </cell>
        </row>
        <row r="62">
          <cell r="G62">
            <v>10624.07</v>
          </cell>
        </row>
        <row r="63">
          <cell r="G63">
            <v>23660.02</v>
          </cell>
        </row>
        <row r="64">
          <cell r="G64">
            <v>27809.15</v>
          </cell>
        </row>
        <row r="65">
          <cell r="G65">
            <v>5360.57</v>
          </cell>
        </row>
        <row r="70">
          <cell r="G70">
            <v>-20971.87</v>
          </cell>
        </row>
        <row r="71">
          <cell r="G71">
            <v>-2652.69</v>
          </cell>
        </row>
        <row r="72">
          <cell r="G72">
            <v>11836.39</v>
          </cell>
        </row>
        <row r="73">
          <cell r="G73">
            <v>11715.61</v>
          </cell>
        </row>
        <row r="74">
          <cell r="G74">
            <v>4949.41</v>
          </cell>
        </row>
        <row r="79">
          <cell r="G79">
            <v>-6291.47</v>
          </cell>
        </row>
        <row r="84">
          <cell r="G84">
            <v>0</v>
          </cell>
        </row>
        <row r="88">
          <cell r="G88">
            <v>541061.98</v>
          </cell>
        </row>
        <row r="89">
          <cell r="G89">
            <v>63031.97</v>
          </cell>
        </row>
        <row r="90">
          <cell r="G90">
            <v>148396.39000000001</v>
          </cell>
        </row>
        <row r="91">
          <cell r="G91">
            <v>238705.62</v>
          </cell>
        </row>
        <row r="92">
          <cell r="G92">
            <v>29696.46</v>
          </cell>
        </row>
        <row r="96">
          <cell r="G96">
            <v>-41942.239999999998</v>
          </cell>
        </row>
        <row r="97">
          <cell r="G97">
            <v>23205.25</v>
          </cell>
        </row>
        <row r="98">
          <cell r="G98">
            <v>-35503.06</v>
          </cell>
        </row>
        <row r="99">
          <cell r="G99">
            <v>-98118.28</v>
          </cell>
        </row>
        <row r="100">
          <cell r="G100">
            <v>-28282.34</v>
          </cell>
        </row>
        <row r="104">
          <cell r="G104">
            <v>144706.04999999999</v>
          </cell>
        </row>
        <row r="105">
          <cell r="G105">
            <v>28047.03</v>
          </cell>
        </row>
        <row r="106">
          <cell r="G106">
            <v>48250.35</v>
          </cell>
        </row>
        <row r="107">
          <cell r="G107">
            <v>48326.91</v>
          </cell>
        </row>
        <row r="108">
          <cell r="G108">
            <v>1060.5899999999999</v>
          </cell>
        </row>
        <row r="112">
          <cell r="G112">
            <v>-37746.559999999998</v>
          </cell>
        </row>
        <row r="113">
          <cell r="G113">
            <v>0</v>
          </cell>
        </row>
        <row r="114">
          <cell r="G114">
            <v>0</v>
          </cell>
        </row>
        <row r="115">
          <cell r="G115">
            <v>0</v>
          </cell>
        </row>
        <row r="116">
          <cell r="G116">
            <v>0</v>
          </cell>
        </row>
        <row r="120">
          <cell r="G120">
            <v>27263.05</v>
          </cell>
        </row>
        <row r="121">
          <cell r="G121">
            <v>3176.87</v>
          </cell>
        </row>
        <row r="122">
          <cell r="G122">
            <v>10925.18</v>
          </cell>
        </row>
        <row r="123">
          <cell r="G123">
            <v>13180.07</v>
          </cell>
        </row>
        <row r="124">
          <cell r="G124">
            <v>1767.65</v>
          </cell>
        </row>
        <row r="145">
          <cell r="G145">
            <v>209710948.8513875</v>
          </cell>
        </row>
        <row r="146">
          <cell r="G146">
            <v>52906429.388999999</v>
          </cell>
        </row>
        <row r="147">
          <cell r="G147">
            <v>91037845.061999992</v>
          </cell>
        </row>
        <row r="148">
          <cell r="G148">
            <v>146445173.66980001</v>
          </cell>
        </row>
        <row r="149">
          <cell r="G149">
            <v>35352927.079299994</v>
          </cell>
        </row>
      </sheetData>
      <sheetData sheetId="43">
        <row r="43">
          <cell r="G43">
            <v>-1.78</v>
          </cell>
        </row>
        <row r="44">
          <cell r="G44">
            <v>0</v>
          </cell>
        </row>
        <row r="45">
          <cell r="G45">
            <v>0</v>
          </cell>
        </row>
        <row r="46">
          <cell r="G46">
            <v>0</v>
          </cell>
        </row>
        <row r="47">
          <cell r="G47">
            <v>514.43999999999994</v>
          </cell>
        </row>
        <row r="52">
          <cell r="G52">
            <v>1.78</v>
          </cell>
        </row>
        <row r="53">
          <cell r="G53">
            <v>-604.09</v>
          </cell>
        </row>
        <row r="54">
          <cell r="G54">
            <v>-1013.02</v>
          </cell>
        </row>
        <row r="55">
          <cell r="G55">
            <v>-1544.15</v>
          </cell>
        </row>
        <row r="56">
          <cell r="G56">
            <v>-494.06</v>
          </cell>
        </row>
        <row r="61">
          <cell r="G61">
            <v>72497.81</v>
          </cell>
        </row>
        <row r="62">
          <cell r="G62">
            <v>12111.49</v>
          </cell>
        </row>
        <row r="63">
          <cell r="G63">
            <v>26401.11</v>
          </cell>
        </row>
        <row r="64">
          <cell r="G64">
            <v>29408.800000000003</v>
          </cell>
        </row>
        <row r="65">
          <cell r="G65">
            <v>7173.62</v>
          </cell>
        </row>
        <row r="70">
          <cell r="G70">
            <v>-27864.95</v>
          </cell>
        </row>
        <row r="71">
          <cell r="G71">
            <v>-3030.31</v>
          </cell>
        </row>
        <row r="72">
          <cell r="G72">
            <v>13209.789999999999</v>
          </cell>
        </row>
        <row r="73">
          <cell r="G73">
            <v>12391.33</v>
          </cell>
        </row>
        <row r="74">
          <cell r="G74">
            <v>6592.54</v>
          </cell>
        </row>
        <row r="79">
          <cell r="G79">
            <v>-8358.81</v>
          </cell>
        </row>
        <row r="84">
          <cell r="G84">
            <v>0</v>
          </cell>
        </row>
        <row r="88">
          <cell r="G88">
            <v>718957.13</v>
          </cell>
        </row>
        <row r="89">
          <cell r="G89">
            <v>72105.55</v>
          </cell>
        </row>
        <row r="90">
          <cell r="G90">
            <v>165630.51999999999</v>
          </cell>
        </row>
        <row r="91">
          <cell r="G91">
            <v>252473.26</v>
          </cell>
        </row>
        <row r="92">
          <cell r="G92">
            <v>39555.230000000003</v>
          </cell>
        </row>
        <row r="96">
          <cell r="G96">
            <v>-55736.46</v>
          </cell>
        </row>
        <row r="97">
          <cell r="G97">
            <v>26656.76</v>
          </cell>
        </row>
        <row r="98">
          <cell r="G98">
            <v>-39629.39</v>
          </cell>
        </row>
        <row r="99">
          <cell r="G99">
            <v>-103777.36</v>
          </cell>
        </row>
        <row r="100">
          <cell r="G100">
            <v>-37671.64</v>
          </cell>
        </row>
        <row r="104">
          <cell r="G104">
            <v>192351.05</v>
          </cell>
        </row>
        <row r="105">
          <cell r="G105">
            <v>32112.27</v>
          </cell>
        </row>
        <row r="106">
          <cell r="G106">
            <v>53855.33</v>
          </cell>
        </row>
        <row r="107">
          <cell r="G107">
            <v>51114.22</v>
          </cell>
        </row>
        <row r="108">
          <cell r="G108">
            <v>1412.69</v>
          </cell>
        </row>
        <row r="112">
          <cell r="G112">
            <v>-50138.59</v>
          </cell>
        </row>
        <row r="113">
          <cell r="G113">
            <v>0</v>
          </cell>
        </row>
        <row r="114">
          <cell r="G114">
            <v>0</v>
          </cell>
        </row>
        <row r="115">
          <cell r="G115">
            <v>0</v>
          </cell>
        </row>
        <row r="116">
          <cell r="G116">
            <v>0</v>
          </cell>
        </row>
        <row r="120">
          <cell r="G120">
            <v>36226.25</v>
          </cell>
        </row>
        <row r="121">
          <cell r="G121">
            <v>3635.63</v>
          </cell>
        </row>
        <row r="122">
          <cell r="G122">
            <v>12193.66</v>
          </cell>
        </row>
        <row r="123">
          <cell r="G123">
            <v>13940.24</v>
          </cell>
        </row>
        <row r="124">
          <cell r="G124">
            <v>2354.48</v>
          </cell>
        </row>
        <row r="145">
          <cell r="G145">
            <v>278626610.72096258</v>
          </cell>
        </row>
        <row r="146">
          <cell r="G146">
            <v>60589357.413699992</v>
          </cell>
        </row>
        <row r="147">
          <cell r="G147">
            <v>101613823.18710001</v>
          </cell>
        </row>
        <row r="148">
          <cell r="G148">
            <v>154891570.83790001</v>
          </cell>
        </row>
        <row r="149">
          <cell r="G149">
            <v>47089556.10549999</v>
          </cell>
        </row>
      </sheetData>
      <sheetData sheetId="44">
        <row r="43">
          <cell r="G43">
            <v>-1.1100000000000001</v>
          </cell>
        </row>
        <row r="44">
          <cell r="G44">
            <v>0</v>
          </cell>
        </row>
        <row r="45">
          <cell r="G45">
            <v>0</v>
          </cell>
        </row>
        <row r="46">
          <cell r="G46">
            <v>0</v>
          </cell>
        </row>
        <row r="47">
          <cell r="G47">
            <v>112.43</v>
          </cell>
        </row>
        <row r="52">
          <cell r="G52">
            <v>1.1100000000000003</v>
          </cell>
        </row>
        <row r="53">
          <cell r="G53">
            <v>-317.52</v>
          </cell>
        </row>
        <row r="54">
          <cell r="G54">
            <v>-1040.08</v>
          </cell>
        </row>
        <row r="55">
          <cell r="G55">
            <v>-1059.8399999999999</v>
          </cell>
        </row>
        <row r="56">
          <cell r="G56">
            <v>-368.71</v>
          </cell>
        </row>
        <row r="61">
          <cell r="G61">
            <v>69829.88</v>
          </cell>
        </row>
        <row r="62">
          <cell r="G62">
            <v>9129.4599999999991</v>
          </cell>
        </row>
        <row r="63">
          <cell r="G63">
            <v>24443.07</v>
          </cell>
        </row>
        <row r="64">
          <cell r="G64">
            <v>27706.559999999998</v>
          </cell>
        </row>
        <row r="65">
          <cell r="G65">
            <v>7833.16</v>
          </cell>
        </row>
        <row r="70">
          <cell r="G70">
            <v>-23780.83</v>
          </cell>
        </row>
        <row r="71">
          <cell r="G71">
            <v>-1378.29</v>
          </cell>
        </row>
        <row r="72">
          <cell r="G72">
            <v>11226.67</v>
          </cell>
        </row>
        <row r="73">
          <cell r="G73">
            <v>10118.33</v>
          </cell>
        </row>
        <row r="74">
          <cell r="G74">
            <v>5974.41</v>
          </cell>
        </row>
        <row r="79">
          <cell r="G79">
            <v>-6633.83</v>
          </cell>
        </row>
        <row r="84">
          <cell r="G84">
            <v>0</v>
          </cell>
        </row>
        <row r="88">
          <cell r="G88">
            <v>639413.05000000005</v>
          </cell>
        </row>
        <row r="89">
          <cell r="G89">
            <v>59421.96</v>
          </cell>
        </row>
        <row r="90">
          <cell r="G90">
            <v>152718.32</v>
          </cell>
        </row>
        <row r="91">
          <cell r="G91">
            <v>231876.51</v>
          </cell>
        </row>
        <row r="92">
          <cell r="G92">
            <v>57098.93</v>
          </cell>
        </row>
        <row r="96">
          <cell r="G96">
            <v>-96472.25</v>
          </cell>
        </row>
        <row r="97">
          <cell r="G97">
            <v>13184.47</v>
          </cell>
        </row>
        <row r="98">
          <cell r="G98">
            <v>-31006.76</v>
          </cell>
        </row>
        <row r="99">
          <cell r="G99">
            <v>-90045.27</v>
          </cell>
        </row>
        <row r="100">
          <cell r="G100">
            <v>-53252.91</v>
          </cell>
        </row>
        <row r="104">
          <cell r="G104">
            <v>196545.62</v>
          </cell>
        </row>
        <row r="105">
          <cell r="G105">
            <v>23919.94</v>
          </cell>
        </row>
        <row r="106">
          <cell r="G106">
            <v>51965.33</v>
          </cell>
        </row>
        <row r="107">
          <cell r="G107">
            <v>47445.21</v>
          </cell>
        </row>
        <row r="108">
          <cell r="G108">
            <v>2280.75</v>
          </cell>
        </row>
        <row r="112">
          <cell r="G112">
            <v>-45782.61</v>
          </cell>
        </row>
        <row r="113">
          <cell r="G113">
            <v>0</v>
          </cell>
        </row>
        <row r="114">
          <cell r="G114">
            <v>0</v>
          </cell>
        </row>
        <row r="115">
          <cell r="G115">
            <v>0</v>
          </cell>
        </row>
        <row r="116">
          <cell r="G116">
            <v>0</v>
          </cell>
        </row>
        <row r="120">
          <cell r="G120">
            <v>54369.950000000004</v>
          </cell>
        </row>
        <row r="121">
          <cell r="G121">
            <v>4466.1400000000003</v>
          </cell>
        </row>
        <row r="122">
          <cell r="G122">
            <v>14193.17</v>
          </cell>
        </row>
        <row r="123">
          <cell r="G123">
            <v>26221.58</v>
          </cell>
        </row>
        <row r="124">
          <cell r="G124">
            <v>4928.28</v>
          </cell>
        </row>
        <row r="145">
          <cell r="G145">
            <v>287664948.77565002</v>
          </cell>
        </row>
        <row r="146">
          <cell r="G146">
            <v>53164888.667599984</v>
          </cell>
        </row>
        <row r="147">
          <cell r="G147">
            <v>104352847.3318</v>
          </cell>
        </row>
        <row r="148">
          <cell r="G148">
            <v>160050302.79149997</v>
          </cell>
        </row>
        <row r="149">
          <cell r="G149">
            <v>59924735.7267</v>
          </cell>
        </row>
      </sheetData>
      <sheetData sheetId="45">
        <row r="43">
          <cell r="G43">
            <v>1.18</v>
          </cell>
        </row>
        <row r="44">
          <cell r="G44">
            <v>0</v>
          </cell>
        </row>
        <row r="45">
          <cell r="G45">
            <v>0</v>
          </cell>
        </row>
        <row r="46">
          <cell r="G46">
            <v>0</v>
          </cell>
        </row>
        <row r="47">
          <cell r="G47">
            <v>170.38</v>
          </cell>
        </row>
        <row r="52">
          <cell r="G52">
            <v>-1.18</v>
          </cell>
        </row>
        <row r="53">
          <cell r="G53">
            <v>-1.19</v>
          </cell>
        </row>
        <row r="54">
          <cell r="G54">
            <v>-1054.83</v>
          </cell>
        </row>
        <row r="55">
          <cell r="G55">
            <v>-1.23</v>
          </cell>
        </row>
        <row r="56">
          <cell r="G56">
            <v>-21.189999999999998</v>
          </cell>
        </row>
        <row r="61">
          <cell r="G61">
            <v>60108</v>
          </cell>
        </row>
        <row r="62">
          <cell r="G62">
            <v>7771.03</v>
          </cell>
        </row>
        <row r="63">
          <cell r="G63">
            <v>19142.23</v>
          </cell>
        </row>
        <row r="64">
          <cell r="G64">
            <v>22906.32</v>
          </cell>
        </row>
        <row r="65">
          <cell r="G65">
            <v>4251.6400000000003</v>
          </cell>
        </row>
        <row r="70">
          <cell r="G70">
            <v>-14337.7</v>
          </cell>
        </row>
        <row r="71">
          <cell r="G71">
            <v>589.79</v>
          </cell>
        </row>
        <row r="72">
          <cell r="G72">
            <v>6403.93</v>
          </cell>
        </row>
        <row r="73">
          <cell r="G73">
            <v>4917.03</v>
          </cell>
        </row>
        <row r="74">
          <cell r="G74">
            <v>1743.19</v>
          </cell>
        </row>
        <row r="79">
          <cell r="G79">
            <v>-2876.27</v>
          </cell>
        </row>
        <row r="84">
          <cell r="G84">
            <v>0</v>
          </cell>
        </row>
        <row r="88">
          <cell r="G88">
            <v>443848.57</v>
          </cell>
        </row>
        <row r="89">
          <cell r="G89">
            <v>60378.33</v>
          </cell>
        </row>
        <row r="90">
          <cell r="G90">
            <v>117942.62</v>
          </cell>
        </row>
        <row r="91">
          <cell r="G91">
            <v>178494.41</v>
          </cell>
        </row>
        <row r="92">
          <cell r="G92">
            <v>46276.92</v>
          </cell>
        </row>
        <row r="96">
          <cell r="G96">
            <v>-168148.31</v>
          </cell>
        </row>
        <row r="97">
          <cell r="G97">
            <v>-2334.15</v>
          </cell>
        </row>
        <row r="98">
          <cell r="G98">
            <v>-10631.23</v>
          </cell>
        </row>
        <row r="99">
          <cell r="G99">
            <v>-57332.84</v>
          </cell>
        </row>
        <row r="100">
          <cell r="G100">
            <v>-42173.83</v>
          </cell>
        </row>
        <row r="104">
          <cell r="G104">
            <v>191516.81</v>
          </cell>
        </row>
        <row r="105">
          <cell r="G105">
            <v>19742.009999999998</v>
          </cell>
        </row>
        <row r="106">
          <cell r="G106">
            <v>45665.69</v>
          </cell>
        </row>
        <row r="107">
          <cell r="G107">
            <v>37662.230000000003</v>
          </cell>
        </row>
        <row r="108">
          <cell r="G108">
            <v>2059.77</v>
          </cell>
        </row>
        <row r="112">
          <cell r="G112">
            <v>-34314.35</v>
          </cell>
        </row>
        <row r="113">
          <cell r="G113">
            <v>0</v>
          </cell>
        </row>
        <row r="114">
          <cell r="G114">
            <v>0</v>
          </cell>
        </row>
        <row r="115">
          <cell r="G115">
            <v>0</v>
          </cell>
        </row>
        <row r="116">
          <cell r="G116">
            <v>0</v>
          </cell>
        </row>
        <row r="120">
          <cell r="G120">
            <v>85530.84</v>
          </cell>
        </row>
        <row r="121">
          <cell r="G121">
            <v>7163.6</v>
          </cell>
        </row>
        <row r="122">
          <cell r="G122">
            <v>18038.38</v>
          </cell>
        </row>
        <row r="123">
          <cell r="G123">
            <v>50718.28</v>
          </cell>
        </row>
        <row r="124">
          <cell r="G124">
            <v>5332.37</v>
          </cell>
        </row>
        <row r="145">
          <cell r="G145">
            <v>285623460.03516239</v>
          </cell>
        </row>
        <row r="146">
          <cell r="G146">
            <v>59754701.112800002</v>
          </cell>
        </row>
        <row r="147">
          <cell r="G147">
            <v>106129448.26049997</v>
          </cell>
        </row>
        <row r="148">
          <cell r="G148">
            <v>163695099.28690001</v>
          </cell>
        </row>
        <row r="149">
          <cell r="G149">
            <v>41524233.650499992</v>
          </cell>
        </row>
      </sheetData>
      <sheetData sheetId="46">
        <row r="43">
          <cell r="G43">
            <v>1.5</v>
          </cell>
        </row>
        <row r="44">
          <cell r="G44">
            <v>0</v>
          </cell>
        </row>
        <row r="45">
          <cell r="G45">
            <v>0</v>
          </cell>
        </row>
        <row r="46">
          <cell r="G46">
            <v>0</v>
          </cell>
        </row>
        <row r="47">
          <cell r="G47">
            <v>55.59</v>
          </cell>
        </row>
        <row r="52">
          <cell r="G52">
            <v>-1.5</v>
          </cell>
        </row>
        <row r="53">
          <cell r="G53">
            <v>0.33</v>
          </cell>
        </row>
        <row r="54">
          <cell r="G54">
            <v>-903.58</v>
          </cell>
        </row>
        <row r="55">
          <cell r="G55">
            <v>0</v>
          </cell>
        </row>
        <row r="56">
          <cell r="G56">
            <v>-6.87</v>
          </cell>
        </row>
        <row r="61">
          <cell r="G61">
            <v>40372.189999999995</v>
          </cell>
        </row>
        <row r="62">
          <cell r="G62">
            <v>6621.59</v>
          </cell>
        </row>
        <row r="63">
          <cell r="G63">
            <v>16353.289999999999</v>
          </cell>
        </row>
        <row r="64">
          <cell r="G64">
            <v>20238.47</v>
          </cell>
        </row>
        <row r="65">
          <cell r="G65">
            <v>4314.82</v>
          </cell>
        </row>
        <row r="70">
          <cell r="G70">
            <v>-9612.81</v>
          </cell>
        </row>
        <row r="71">
          <cell r="G71">
            <v>513.27</v>
          </cell>
        </row>
        <row r="72">
          <cell r="G72">
            <v>5454.02</v>
          </cell>
        </row>
        <row r="73">
          <cell r="G73">
            <v>4339.1400000000003</v>
          </cell>
        </row>
        <row r="74">
          <cell r="G74">
            <v>1713.96</v>
          </cell>
        </row>
        <row r="79">
          <cell r="G79">
            <v>-1922.79</v>
          </cell>
        </row>
        <row r="84">
          <cell r="G84">
            <v>0</v>
          </cell>
        </row>
        <row r="88">
          <cell r="G88">
            <v>297969.73</v>
          </cell>
        </row>
        <row r="89">
          <cell r="G89">
            <v>51506.22</v>
          </cell>
        </row>
        <row r="90">
          <cell r="G90">
            <v>100899.33</v>
          </cell>
        </row>
        <row r="91">
          <cell r="G91">
            <v>157655.43</v>
          </cell>
        </row>
        <row r="92">
          <cell r="G92">
            <v>47990.75</v>
          </cell>
        </row>
        <row r="96">
          <cell r="G96">
            <v>-113395.19</v>
          </cell>
        </row>
        <row r="97">
          <cell r="G97">
            <v>-2043.84</v>
          </cell>
        </row>
        <row r="98">
          <cell r="G98">
            <v>-9090.0300000000007</v>
          </cell>
        </row>
        <row r="99">
          <cell r="G99">
            <v>-50623.3</v>
          </cell>
        </row>
        <row r="100">
          <cell r="G100">
            <v>-43705.86</v>
          </cell>
        </row>
        <row r="104">
          <cell r="G104">
            <v>128792.24</v>
          </cell>
        </row>
        <row r="105">
          <cell r="G105">
            <v>16829.71</v>
          </cell>
        </row>
        <row r="106">
          <cell r="G106">
            <v>39087.129999999997</v>
          </cell>
        </row>
        <row r="107">
          <cell r="G107">
            <v>33266.74</v>
          </cell>
        </row>
        <row r="108">
          <cell r="G108">
            <v>2142.44</v>
          </cell>
        </row>
        <row r="112">
          <cell r="G112">
            <v>-23065.73</v>
          </cell>
        </row>
        <row r="113">
          <cell r="G113">
            <v>0</v>
          </cell>
        </row>
        <row r="114">
          <cell r="G114">
            <v>0</v>
          </cell>
        </row>
        <row r="115">
          <cell r="G115">
            <v>0</v>
          </cell>
        </row>
        <row r="116">
          <cell r="G116">
            <v>0</v>
          </cell>
        </row>
        <row r="120">
          <cell r="G120">
            <v>57660.39</v>
          </cell>
        </row>
        <row r="121">
          <cell r="G121">
            <v>6121.73</v>
          </cell>
        </row>
        <row r="122">
          <cell r="G122">
            <v>15453.05</v>
          </cell>
        </row>
        <row r="123">
          <cell r="G123">
            <v>44837.78</v>
          </cell>
        </row>
        <row r="124">
          <cell r="G124">
            <v>5570.35</v>
          </cell>
        </row>
        <row r="145">
          <cell r="G145">
            <v>285623460.03516239</v>
          </cell>
        </row>
        <row r="146">
          <cell r="G146">
            <v>59754701.112800002</v>
          </cell>
        </row>
        <row r="147">
          <cell r="G147">
            <v>106129448.26049997</v>
          </cell>
        </row>
        <row r="148">
          <cell r="G148">
            <v>163695099.28690001</v>
          </cell>
        </row>
        <row r="149">
          <cell r="G149">
            <v>41524233.650499992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3"/>
      <sheetName val="June 2023"/>
      <sheetName val="July 2023"/>
      <sheetName val="August 2023"/>
      <sheetName val="September 2023"/>
      <sheetName val="October 2023"/>
    </sheetNames>
    <sheetDataSet>
      <sheetData sheetId="0">
        <row r="43">
          <cell r="E43">
            <v>5.1044699999999998E-3</v>
          </cell>
        </row>
      </sheetData>
      <sheetData sheetId="1">
        <row r="42">
          <cell r="E42">
            <v>5.1503699999999996E-3</v>
          </cell>
        </row>
      </sheetData>
      <sheetData sheetId="2">
        <row r="43">
          <cell r="E43">
            <v>5.2820799999999998E-3</v>
          </cell>
        </row>
      </sheetData>
      <sheetData sheetId="3">
        <row r="43">
          <cell r="E43">
            <v>5.3483699999999999E-3</v>
          </cell>
        </row>
      </sheetData>
      <sheetData sheetId="4">
        <row r="42">
          <cell r="E42">
            <v>5.3539599999999996E-3</v>
          </cell>
        </row>
      </sheetData>
      <sheetData sheetId="5">
        <row r="43">
          <cell r="E43">
            <v>5.3597599999999999E-3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heet1"/>
      <sheetName val="SI Projects 052023 06062023"/>
      <sheetName val="Input"/>
      <sheetName val="Program Descriptions"/>
    </sheetNames>
    <sheetDataSet>
      <sheetData sheetId="0">
        <row r="30">
          <cell r="N30">
            <v>561536.59000000008</v>
          </cell>
          <cell r="O30">
            <v>61907.86</v>
          </cell>
          <cell r="P30">
            <v>136616.35</v>
          </cell>
          <cell r="Q30">
            <v>105074.6</v>
          </cell>
          <cell r="R30">
            <v>233243.66999999998</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heet1"/>
      <sheetName val="SI Projects 062023 07072023"/>
      <sheetName val="Input"/>
      <sheetName val="Program Descriptions"/>
    </sheetNames>
    <sheetDataSet>
      <sheetData sheetId="0">
        <row r="30">
          <cell r="N30">
            <v>486576.56000000006</v>
          </cell>
          <cell r="O30">
            <v>51440.020000000004</v>
          </cell>
          <cell r="P30">
            <v>216950.53</v>
          </cell>
          <cell r="Q30">
            <v>215424.19999999998</v>
          </cell>
          <cell r="R30">
            <v>31054.389999999996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3 08072023"/>
      <sheetName val="Input"/>
      <sheetName val="Program Descriptions"/>
    </sheetNames>
    <sheetDataSet>
      <sheetData sheetId="0">
        <row r="30">
          <cell r="N30">
            <v>576257.38</v>
          </cell>
          <cell r="O30">
            <v>57941.479999999996</v>
          </cell>
          <cell r="P30">
            <v>322519.34000000003</v>
          </cell>
          <cell r="Q30">
            <v>225472.34999999998</v>
          </cell>
          <cell r="R30">
            <v>19073.579999999998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3 09112023"/>
      <sheetName val="Input"/>
      <sheetName val="Program Descriptions"/>
    </sheetNames>
    <sheetDataSet>
      <sheetData sheetId="0">
        <row r="30">
          <cell r="N30">
            <v>554220.35000000009</v>
          </cell>
          <cell r="O30">
            <v>35994.640000000007</v>
          </cell>
          <cell r="P30">
            <v>76121.31</v>
          </cell>
          <cell r="Q30">
            <v>103335.87</v>
          </cell>
          <cell r="R30">
            <v>29554.85</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dimension ref="A1:F72"/>
  <sheetViews>
    <sheetView workbookViewId="0">
      <pane xSplit="1" ySplit="4" topLeftCell="B5" activePane="bottomRight" state="frozen"/>
      <selection pane="topRight" activeCell="B1" sqref="B1"/>
      <selection pane="bottomLeft" activeCell="A5" sqref="A5"/>
      <selection pane="bottomRight" activeCell="E2" sqref="E2"/>
    </sheetView>
  </sheetViews>
  <sheetFormatPr defaultRowHeight="15" x14ac:dyDescent="0.25"/>
  <cols>
    <col min="1" max="1" width="17" style="3" bestFit="1" customWidth="1"/>
    <col min="2" max="2" width="62.28515625" style="292" customWidth="1"/>
    <col min="3" max="3" width="62.140625" style="292" customWidth="1"/>
    <col min="6" max="6" width="29.7109375" customWidth="1"/>
  </cols>
  <sheetData>
    <row r="1" spans="1:6" x14ac:dyDescent="0.25">
      <c r="A1" s="3" t="str">
        <f>+'PPC Cycle 3'!A1</f>
        <v>Evergy Metro, Inc. - DSIM Rider Update Filed 12/01/2023</v>
      </c>
    </row>
    <row r="4" spans="1:6" s="3" customFormat="1" x14ac:dyDescent="0.25">
      <c r="A4" s="296" t="s">
        <v>193</v>
      </c>
      <c r="B4" s="297" t="s">
        <v>195</v>
      </c>
      <c r="C4" s="297" t="s">
        <v>196</v>
      </c>
    </row>
    <row r="5" spans="1:6" s="293" customFormat="1" ht="30" x14ac:dyDescent="0.25">
      <c r="A5" s="298" t="s">
        <v>194</v>
      </c>
      <c r="B5" s="299" t="s">
        <v>263</v>
      </c>
      <c r="C5" s="299" t="s">
        <v>197</v>
      </c>
    </row>
    <row r="6" spans="1:6" s="293" customFormat="1" ht="30" x14ac:dyDescent="0.25">
      <c r="A6" s="298" t="s">
        <v>198</v>
      </c>
      <c r="B6" s="299" t="s">
        <v>199</v>
      </c>
      <c r="C6" s="299" t="s">
        <v>200</v>
      </c>
    </row>
    <row r="7" spans="1:6" s="293" customFormat="1" ht="105" x14ac:dyDescent="0.25">
      <c r="A7" s="298" t="s">
        <v>201</v>
      </c>
      <c r="B7" s="299" t="s">
        <v>264</v>
      </c>
      <c r="C7" s="299" t="s">
        <v>279</v>
      </c>
    </row>
    <row r="8" spans="1:6" s="293" customFormat="1" ht="75" x14ac:dyDescent="0.25">
      <c r="A8" s="298" t="s">
        <v>202</v>
      </c>
      <c r="B8" s="299" t="s">
        <v>265</v>
      </c>
      <c r="C8" s="299" t="s">
        <v>209</v>
      </c>
    </row>
    <row r="9" spans="1:6" s="293" customFormat="1" ht="150" x14ac:dyDescent="0.25">
      <c r="A9" s="298" t="s">
        <v>203</v>
      </c>
      <c r="B9" s="299" t="s">
        <v>266</v>
      </c>
      <c r="C9" s="299" t="s">
        <v>210</v>
      </c>
    </row>
    <row r="10" spans="1:6" s="293" customFormat="1" ht="45" x14ac:dyDescent="0.25">
      <c r="A10" s="298" t="s">
        <v>204</v>
      </c>
      <c r="B10" s="299" t="s">
        <v>267</v>
      </c>
      <c r="C10" s="299" t="s">
        <v>205</v>
      </c>
    </row>
    <row r="11" spans="1:6" s="293" customFormat="1" ht="75" x14ac:dyDescent="0.25">
      <c r="A11" s="298" t="s">
        <v>206</v>
      </c>
      <c r="B11" s="299" t="s">
        <v>268</v>
      </c>
      <c r="C11" s="299" t="s">
        <v>280</v>
      </c>
    </row>
    <row r="12" spans="1:6" s="293" customFormat="1" ht="204.75" customHeight="1" x14ac:dyDescent="0.25">
      <c r="A12" s="298" t="s">
        <v>207</v>
      </c>
      <c r="B12" s="299" t="s">
        <v>269</v>
      </c>
      <c r="C12" s="299" t="s">
        <v>223</v>
      </c>
      <c r="F12" s="307"/>
    </row>
    <row r="13" spans="1:6" s="293" customFormat="1" ht="238.5" customHeight="1" x14ac:dyDescent="0.25">
      <c r="A13" s="298" t="s">
        <v>208</v>
      </c>
      <c r="B13" s="299" t="s">
        <v>270</v>
      </c>
      <c r="C13" s="299" t="s">
        <v>222</v>
      </c>
    </row>
    <row r="14" spans="1:6" s="293" customFormat="1" ht="220.5" customHeight="1" x14ac:dyDescent="0.25">
      <c r="A14" s="298" t="s">
        <v>211</v>
      </c>
      <c r="B14" s="299" t="s">
        <v>271</v>
      </c>
      <c r="C14" s="299" t="s">
        <v>226</v>
      </c>
    </row>
    <row r="15" spans="1:6" s="293" customFormat="1" ht="200.45" customHeight="1" x14ac:dyDescent="0.25">
      <c r="A15" s="298" t="s">
        <v>212</v>
      </c>
      <c r="B15" s="299" t="s">
        <v>272</v>
      </c>
      <c r="C15" s="299" t="s">
        <v>281</v>
      </c>
    </row>
    <row r="16" spans="1:6" s="293" customFormat="1" ht="111" customHeight="1" x14ac:dyDescent="0.25">
      <c r="A16" s="298" t="s">
        <v>213</v>
      </c>
      <c r="B16" s="299" t="s">
        <v>273</v>
      </c>
      <c r="C16" s="299" t="s">
        <v>224</v>
      </c>
    </row>
    <row r="17" spans="1:3" s="293" customFormat="1" ht="107.25" customHeight="1" x14ac:dyDescent="0.25">
      <c r="A17" s="298" t="s">
        <v>214</v>
      </c>
      <c r="B17" s="299" t="s">
        <v>274</v>
      </c>
      <c r="C17" s="299" t="s">
        <v>225</v>
      </c>
    </row>
    <row r="18" spans="1:3" s="293" customFormat="1" ht="34.5" customHeight="1" x14ac:dyDescent="0.25">
      <c r="A18" s="298" t="s">
        <v>215</v>
      </c>
      <c r="B18" s="299" t="s">
        <v>275</v>
      </c>
      <c r="C18" s="299" t="s">
        <v>282</v>
      </c>
    </row>
    <row r="19" spans="1:3" s="293" customFormat="1" ht="34.5" customHeight="1" x14ac:dyDescent="0.25">
      <c r="A19" s="298" t="s">
        <v>216</v>
      </c>
      <c r="B19" s="299" t="s">
        <v>276</v>
      </c>
      <c r="C19" s="299" t="s">
        <v>283</v>
      </c>
    </row>
    <row r="20" spans="1:3" s="293" customFormat="1" ht="78.75" customHeight="1" x14ac:dyDescent="0.25">
      <c r="A20" s="298" t="s">
        <v>217</v>
      </c>
      <c r="B20" s="299" t="s">
        <v>277</v>
      </c>
      <c r="C20" s="299" t="s">
        <v>219</v>
      </c>
    </row>
    <row r="21" spans="1:3" s="293" customFormat="1" ht="75" x14ac:dyDescent="0.25">
      <c r="A21" s="298" t="s">
        <v>218</v>
      </c>
      <c r="B21" s="299" t="s">
        <v>278</v>
      </c>
      <c r="C21" s="299" t="s">
        <v>219</v>
      </c>
    </row>
    <row r="22" spans="1:3" s="293" customFormat="1" x14ac:dyDescent="0.25">
      <c r="A22" s="295"/>
      <c r="B22" s="294"/>
      <c r="C22" s="294"/>
    </row>
    <row r="23" spans="1:3" s="293" customFormat="1" x14ac:dyDescent="0.25">
      <c r="A23" s="295"/>
      <c r="B23" s="294"/>
      <c r="C23" s="294"/>
    </row>
    <row r="24" spans="1:3" s="293" customFormat="1" x14ac:dyDescent="0.25">
      <c r="A24" s="295"/>
      <c r="B24" s="294"/>
      <c r="C24" s="294"/>
    </row>
    <row r="25" spans="1:3" s="293" customFormat="1" x14ac:dyDescent="0.25">
      <c r="A25" s="295"/>
      <c r="B25" s="294"/>
      <c r="C25" s="294"/>
    </row>
    <row r="26" spans="1:3" s="293" customFormat="1" x14ac:dyDescent="0.25">
      <c r="A26" s="295"/>
      <c r="B26" s="294"/>
      <c r="C26" s="294"/>
    </row>
    <row r="27" spans="1:3" s="293" customFormat="1" x14ac:dyDescent="0.25">
      <c r="A27" s="295"/>
      <c r="B27" s="294"/>
      <c r="C27" s="294"/>
    </row>
    <row r="28" spans="1:3" s="293" customFormat="1" x14ac:dyDescent="0.25">
      <c r="A28" s="295"/>
      <c r="B28" s="294"/>
      <c r="C28" s="294"/>
    </row>
    <row r="29" spans="1:3" s="293" customFormat="1" x14ac:dyDescent="0.25">
      <c r="A29" s="295"/>
      <c r="B29" s="294"/>
      <c r="C29" s="294"/>
    </row>
    <row r="30" spans="1:3" s="293" customFormat="1" x14ac:dyDescent="0.25">
      <c r="A30" s="295"/>
      <c r="B30" s="294"/>
      <c r="C30" s="294"/>
    </row>
    <row r="31" spans="1:3" s="293" customFormat="1" x14ac:dyDescent="0.25">
      <c r="A31" s="295"/>
      <c r="B31" s="294"/>
      <c r="C31" s="294"/>
    </row>
    <row r="32" spans="1:3" s="293" customFormat="1" x14ac:dyDescent="0.25">
      <c r="A32" s="295"/>
      <c r="B32" s="294"/>
      <c r="C32" s="294"/>
    </row>
    <row r="33" spans="1:3" s="293" customFormat="1" x14ac:dyDescent="0.25">
      <c r="A33" s="295"/>
      <c r="B33" s="294"/>
      <c r="C33" s="294"/>
    </row>
    <row r="34" spans="1:3" s="293" customFormat="1" x14ac:dyDescent="0.25">
      <c r="A34" s="295"/>
      <c r="B34" s="294"/>
      <c r="C34" s="294"/>
    </row>
    <row r="35" spans="1:3" s="293" customFormat="1" x14ac:dyDescent="0.25">
      <c r="A35" s="295"/>
      <c r="B35" s="294"/>
      <c r="C35" s="294"/>
    </row>
    <row r="36" spans="1:3" s="293" customFormat="1" x14ac:dyDescent="0.25">
      <c r="A36" s="295"/>
      <c r="B36" s="294"/>
      <c r="C36" s="294"/>
    </row>
    <row r="37" spans="1:3" s="293" customFormat="1" x14ac:dyDescent="0.25">
      <c r="A37" s="295"/>
      <c r="B37" s="294"/>
      <c r="C37" s="294"/>
    </row>
    <row r="38" spans="1:3" s="293" customFormat="1" x14ac:dyDescent="0.25">
      <c r="A38" s="295"/>
      <c r="B38" s="294"/>
      <c r="C38" s="294"/>
    </row>
    <row r="39" spans="1:3" s="293" customFormat="1" x14ac:dyDescent="0.25">
      <c r="A39" s="295"/>
      <c r="B39" s="294"/>
      <c r="C39" s="294"/>
    </row>
    <row r="40" spans="1:3" s="293" customFormat="1" x14ac:dyDescent="0.25">
      <c r="A40" s="295"/>
      <c r="B40" s="294"/>
      <c r="C40" s="294"/>
    </row>
    <row r="41" spans="1:3" s="293" customFormat="1" x14ac:dyDescent="0.25">
      <c r="A41" s="295"/>
      <c r="B41" s="294"/>
      <c r="C41" s="294"/>
    </row>
    <row r="42" spans="1:3" s="293" customFormat="1" x14ac:dyDescent="0.25">
      <c r="A42" s="295"/>
      <c r="B42" s="294"/>
      <c r="C42" s="294"/>
    </row>
    <row r="43" spans="1:3" s="293" customFormat="1" x14ac:dyDescent="0.25">
      <c r="A43" s="295"/>
      <c r="B43" s="294"/>
      <c r="C43" s="294"/>
    </row>
    <row r="44" spans="1:3" s="293" customFormat="1" x14ac:dyDescent="0.25">
      <c r="A44" s="295"/>
      <c r="B44" s="294"/>
      <c r="C44" s="294"/>
    </row>
    <row r="45" spans="1:3" s="293" customFormat="1" x14ac:dyDescent="0.25">
      <c r="A45" s="295"/>
      <c r="B45" s="294"/>
      <c r="C45" s="294"/>
    </row>
    <row r="46" spans="1:3" s="293" customFormat="1" x14ac:dyDescent="0.25">
      <c r="A46" s="295"/>
      <c r="B46" s="294"/>
      <c r="C46" s="294"/>
    </row>
    <row r="47" spans="1:3" s="293" customFormat="1" x14ac:dyDescent="0.25">
      <c r="A47" s="295"/>
      <c r="B47" s="294"/>
      <c r="C47" s="294"/>
    </row>
    <row r="48" spans="1:3" s="293" customFormat="1" x14ac:dyDescent="0.25">
      <c r="A48" s="295"/>
      <c r="B48" s="294"/>
      <c r="C48" s="294"/>
    </row>
    <row r="49" spans="1:3" s="293" customFormat="1" x14ac:dyDescent="0.25">
      <c r="A49" s="295"/>
      <c r="B49" s="294"/>
      <c r="C49" s="294"/>
    </row>
    <row r="50" spans="1:3" s="293" customFormat="1" x14ac:dyDescent="0.25">
      <c r="A50" s="295"/>
      <c r="B50" s="294"/>
      <c r="C50" s="294"/>
    </row>
    <row r="51" spans="1:3" s="293" customFormat="1" x14ac:dyDescent="0.25">
      <c r="A51" s="295"/>
      <c r="B51" s="294"/>
      <c r="C51" s="294"/>
    </row>
    <row r="52" spans="1:3" s="293" customFormat="1" x14ac:dyDescent="0.25">
      <c r="A52" s="295"/>
      <c r="B52" s="294"/>
      <c r="C52" s="294"/>
    </row>
    <row r="53" spans="1:3" s="293" customFormat="1" x14ac:dyDescent="0.25">
      <c r="A53" s="295"/>
      <c r="B53" s="294"/>
      <c r="C53" s="294"/>
    </row>
    <row r="54" spans="1:3" s="293" customFormat="1" x14ac:dyDescent="0.25">
      <c r="A54" s="295"/>
      <c r="B54" s="294"/>
      <c r="C54" s="294"/>
    </row>
    <row r="55" spans="1:3" s="293" customFormat="1" x14ac:dyDescent="0.25">
      <c r="A55" s="295"/>
      <c r="B55" s="294"/>
      <c r="C55" s="294"/>
    </row>
    <row r="56" spans="1:3" s="293" customFormat="1" x14ac:dyDescent="0.25">
      <c r="A56" s="295"/>
      <c r="B56" s="294"/>
      <c r="C56" s="294"/>
    </row>
    <row r="57" spans="1:3" s="293" customFormat="1" x14ac:dyDescent="0.25">
      <c r="A57" s="295"/>
      <c r="B57" s="294"/>
      <c r="C57" s="294"/>
    </row>
    <row r="58" spans="1:3" s="293" customFormat="1" x14ac:dyDescent="0.25">
      <c r="A58" s="295"/>
      <c r="B58" s="294"/>
      <c r="C58" s="294"/>
    </row>
    <row r="59" spans="1:3" s="293" customFormat="1" x14ac:dyDescent="0.25">
      <c r="A59" s="295"/>
      <c r="B59" s="294"/>
      <c r="C59" s="294"/>
    </row>
    <row r="60" spans="1:3" s="293" customFormat="1" x14ac:dyDescent="0.25">
      <c r="A60" s="295"/>
      <c r="B60" s="294"/>
      <c r="C60" s="294"/>
    </row>
    <row r="61" spans="1:3" s="293" customFormat="1" x14ac:dyDescent="0.25">
      <c r="A61" s="295"/>
      <c r="B61" s="294"/>
      <c r="C61" s="294"/>
    </row>
    <row r="62" spans="1:3" s="293" customFormat="1" x14ac:dyDescent="0.25">
      <c r="A62" s="295"/>
      <c r="B62" s="294"/>
      <c r="C62" s="294"/>
    </row>
    <row r="63" spans="1:3" s="293" customFormat="1" x14ac:dyDescent="0.25">
      <c r="A63" s="295"/>
      <c r="B63" s="294"/>
      <c r="C63" s="294"/>
    </row>
    <row r="64" spans="1:3" s="293" customFormat="1" x14ac:dyDescent="0.25">
      <c r="A64" s="295"/>
      <c r="B64" s="294"/>
      <c r="C64" s="294"/>
    </row>
    <row r="65" spans="1:3" s="293" customFormat="1" x14ac:dyDescent="0.25">
      <c r="A65" s="295"/>
      <c r="B65" s="294"/>
      <c r="C65" s="294"/>
    </row>
    <row r="66" spans="1:3" s="293" customFormat="1" x14ac:dyDescent="0.25">
      <c r="A66" s="295"/>
      <c r="B66" s="294"/>
      <c r="C66" s="294"/>
    </row>
    <row r="67" spans="1:3" s="293" customFormat="1" x14ac:dyDescent="0.25">
      <c r="A67" s="295"/>
      <c r="B67" s="294"/>
      <c r="C67" s="294"/>
    </row>
    <row r="68" spans="1:3" s="293" customFormat="1" x14ac:dyDescent="0.25">
      <c r="A68" s="295"/>
      <c r="B68" s="294"/>
      <c r="C68" s="294"/>
    </row>
    <row r="69" spans="1:3" s="293" customFormat="1" x14ac:dyDescent="0.25">
      <c r="A69" s="295"/>
      <c r="B69" s="294"/>
      <c r="C69" s="294"/>
    </row>
    <row r="70" spans="1:3" s="293" customFormat="1" x14ac:dyDescent="0.25">
      <c r="A70" s="295"/>
      <c r="B70" s="294"/>
      <c r="C70" s="294"/>
    </row>
    <row r="71" spans="1:3" s="293" customFormat="1" x14ac:dyDescent="0.25">
      <c r="A71" s="295"/>
      <c r="B71" s="294"/>
      <c r="C71" s="294"/>
    </row>
    <row r="72" spans="1:3" s="293" customFormat="1" x14ac:dyDescent="0.25">
      <c r="A72" s="295"/>
      <c r="B72" s="294"/>
      <c r="C72" s="294"/>
    </row>
  </sheetData>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selection activeCell="O3" sqref="O3"/>
    </sheetView>
  </sheetViews>
  <sheetFormatPr defaultColWidth="9.140625" defaultRowHeight="15" outlineLevelCol="1" x14ac:dyDescent="0.25"/>
  <cols>
    <col min="1" max="1" width="37"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2.28515625" style="46" bestFit="1" customWidth="1"/>
    <col min="14" max="14" width="15" style="46" bestFit="1" customWidth="1"/>
    <col min="15" max="15" width="16" style="46" bestFit="1" customWidth="1"/>
    <col min="16" max="16" width="15.28515625" style="46" bestFit="1" customWidth="1" outlineLevel="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12/01/2023</v>
      </c>
      <c r="B1" s="3"/>
      <c r="C1" s="3"/>
      <c r="D1" s="3"/>
    </row>
    <row r="2" spans="1:35" x14ac:dyDescent="0.25">
      <c r="E2" s="3" t="s">
        <v>141</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SUM(C16:M16)</f>
        <v>972838.31700999988</v>
      </c>
      <c r="F4" s="134">
        <f>N23</f>
        <v>14503481.251383854</v>
      </c>
      <c r="G4" s="22">
        <f>SUM(C30:L30)</f>
        <v>1053840.6100000001</v>
      </c>
      <c r="H4" s="22">
        <f>G4-E4</f>
        <v>81002.29299000022</v>
      </c>
      <c r="I4" s="22">
        <f>+B46</f>
        <v>-341454.25770999986</v>
      </c>
      <c r="J4" s="22">
        <f>SUM(C54:L54)</f>
        <v>-1881.6500000000003</v>
      </c>
      <c r="K4" s="25">
        <f>SUM(H4:J4)</f>
        <v>-262333.61471999966</v>
      </c>
      <c r="L4" s="47">
        <f>+K4-M46</f>
        <v>0</v>
      </c>
    </row>
    <row r="5" spans="1:35" x14ac:dyDescent="0.25">
      <c r="A5" s="20" t="s">
        <v>107</v>
      </c>
      <c r="B5" s="20"/>
      <c r="C5" s="20"/>
      <c r="D5" s="20"/>
      <c r="E5" s="22">
        <f t="shared" ref="E5:E7" si="0">SUM(C17:M17)</f>
        <v>111963.32707999997</v>
      </c>
      <c r="F5" s="134">
        <f t="shared" ref="F5:F7" si="1">N24</f>
        <v>2143193.1533789621</v>
      </c>
      <c r="G5" s="22">
        <f t="shared" ref="G5:G7" si="2">SUM(C31:L31)</f>
        <v>145865.84999999998</v>
      </c>
      <c r="H5" s="22">
        <f t="shared" ref="H5:H7" si="3">G5-E5</f>
        <v>33902.522920000003</v>
      </c>
      <c r="I5" s="22">
        <f t="shared" ref="I5:I7" si="4">+B47</f>
        <v>-124558.85766000007</v>
      </c>
      <c r="J5" s="22">
        <f t="shared" ref="J5:J7" si="5">SUM(C55:L55)</f>
        <v>-2871.5400000000004</v>
      </c>
      <c r="K5" s="25">
        <f t="shared" ref="K5:K7" si="6">SUM(H5:J5)</f>
        <v>-93527.874740000057</v>
      </c>
      <c r="L5" s="47">
        <f>+K5-M47</f>
        <v>0</v>
      </c>
    </row>
    <row r="6" spans="1:35" x14ac:dyDescent="0.25">
      <c r="A6" s="20" t="s">
        <v>108</v>
      </c>
      <c r="B6" s="20"/>
      <c r="C6" s="20"/>
      <c r="D6" s="20"/>
      <c r="E6" s="22">
        <f t="shared" si="0"/>
        <v>250723.40379000004</v>
      </c>
      <c r="F6" s="134">
        <f t="shared" si="1"/>
        <v>5960286.7147266623</v>
      </c>
      <c r="G6" s="22">
        <f t="shared" si="2"/>
        <v>283943.05</v>
      </c>
      <c r="H6" s="22">
        <f t="shared" si="3"/>
        <v>33219.646209999948</v>
      </c>
      <c r="I6" s="22">
        <f t="shared" si="4"/>
        <v>-35828.044119999999</v>
      </c>
      <c r="J6" s="22">
        <f t="shared" si="5"/>
        <v>1350.23</v>
      </c>
      <c r="K6" s="25">
        <f t="shared" si="6"/>
        <v>-1258.1679100000506</v>
      </c>
      <c r="L6" s="47">
        <f>+K6-M48</f>
        <v>-1.9099388737231493E-11</v>
      </c>
    </row>
    <row r="7" spans="1:35" x14ac:dyDescent="0.25">
      <c r="A7" s="20" t="s">
        <v>109</v>
      </c>
      <c r="B7" s="20"/>
      <c r="C7" s="20"/>
      <c r="D7" s="20"/>
      <c r="E7" s="22">
        <f t="shared" si="0"/>
        <v>215656.79676999999</v>
      </c>
      <c r="F7" s="134">
        <f t="shared" si="1"/>
        <v>8757770.5670310948</v>
      </c>
      <c r="G7" s="22">
        <f t="shared" si="2"/>
        <v>258053.82</v>
      </c>
      <c r="H7" s="22">
        <f t="shared" si="3"/>
        <v>42397.023230000021</v>
      </c>
      <c r="I7" s="22">
        <f t="shared" si="4"/>
        <v>-90757.162110000005</v>
      </c>
      <c r="J7" s="22">
        <f t="shared" si="5"/>
        <v>-787.42</v>
      </c>
      <c r="K7" s="25">
        <f t="shared" si="6"/>
        <v>-49147.558879999982</v>
      </c>
      <c r="L7" s="47">
        <f>+K7-M49</f>
        <v>0</v>
      </c>
    </row>
    <row r="8" spans="1:35" ht="15.75" thickBot="1" x14ac:dyDescent="0.3">
      <c r="A8" s="20" t="s">
        <v>110</v>
      </c>
      <c r="B8" s="20"/>
      <c r="C8" s="20"/>
      <c r="D8" s="20"/>
      <c r="E8" s="22">
        <f>SUM(C20:M20)</f>
        <v>12406.46538</v>
      </c>
      <c r="F8" s="134">
        <f>N27</f>
        <v>1695302.6999144584</v>
      </c>
      <c r="G8" s="22">
        <f>SUM(C34:L34)</f>
        <v>19807.840000000004</v>
      </c>
      <c r="H8" s="22">
        <f>G8-E8</f>
        <v>7401.3746200000041</v>
      </c>
      <c r="I8" s="22">
        <f>+B50</f>
        <v>-20037.430019999989</v>
      </c>
      <c r="J8" s="22">
        <f>SUM(C58:L58)</f>
        <v>-450.78</v>
      </c>
      <c r="K8" s="25">
        <f>SUM(H8:J8)</f>
        <v>-13086.835399999985</v>
      </c>
      <c r="L8" s="47">
        <f>+K8-M50</f>
        <v>0</v>
      </c>
    </row>
    <row r="9" spans="1:35" ht="16.5" thickTop="1" thickBot="1" x14ac:dyDescent="0.3">
      <c r="E9" s="27">
        <f t="shared" ref="E9:I9" si="7">SUM(E4:E8)</f>
        <v>1563588.3100299998</v>
      </c>
      <c r="F9" s="135">
        <f t="shared" si="7"/>
        <v>33060034.386435028</v>
      </c>
      <c r="G9" s="27">
        <f t="shared" si="7"/>
        <v>1761511.1700000002</v>
      </c>
      <c r="H9" s="27">
        <f t="shared" si="7"/>
        <v>197922.85997000019</v>
      </c>
      <c r="I9" s="27">
        <f t="shared" si="7"/>
        <v>-612635.75161999988</v>
      </c>
      <c r="J9" s="27">
        <f>SUM(J4:J8)</f>
        <v>-4641.16</v>
      </c>
      <c r="K9" s="27">
        <f>SUM(K4:K8)</f>
        <v>-419354.05164999975</v>
      </c>
      <c r="T9" s="5"/>
    </row>
    <row r="10" spans="1:35" ht="16.5" thickTop="1" thickBot="1" x14ac:dyDescent="0.3">
      <c r="K10" s="225"/>
      <c r="L10" s="224"/>
    </row>
    <row r="11" spans="1:35" ht="105.75" thickBot="1" x14ac:dyDescent="0.3">
      <c r="B11" s="115" t="str">
        <f>+'PCR Cycle 2'!B14</f>
        <v>Cumulative Over/Under Carryover From 6/01/2023 Filing</v>
      </c>
      <c r="C11" s="149" t="str">
        <f>+'PCR Cycle 2'!C14</f>
        <v>Reverse May 2023 - July 2023 Forecast From 6/01/2023 Filing</v>
      </c>
      <c r="D11" s="208">
        <f>+'PCR Cycle 2'!D14</f>
        <v>0</v>
      </c>
      <c r="E11" s="332" t="s">
        <v>33</v>
      </c>
      <c r="F11" s="332"/>
      <c r="G11" s="333"/>
      <c r="H11" s="338" t="s">
        <v>33</v>
      </c>
      <c r="I11" s="339"/>
      <c r="J11" s="340"/>
      <c r="K11" s="328" t="s">
        <v>8</v>
      </c>
      <c r="L11" s="329"/>
      <c r="M11" s="330"/>
      <c r="P11" s="292" t="s">
        <v>284</v>
      </c>
    </row>
    <row r="12" spans="1:35" x14ac:dyDescent="0.25">
      <c r="A12" s="46" t="s">
        <v>63</v>
      </c>
      <c r="C12" s="105"/>
      <c r="D12" s="209"/>
      <c r="E12" s="19">
        <f>+'PCR Cycle 2'!E15</f>
        <v>45077</v>
      </c>
      <c r="F12" s="19">
        <f t="shared" ref="F12:M12" si="8">EOMONTH(E12,1)</f>
        <v>45107</v>
      </c>
      <c r="G12" s="19">
        <f t="shared" si="8"/>
        <v>45138</v>
      </c>
      <c r="H12" s="14">
        <f t="shared" si="8"/>
        <v>45169</v>
      </c>
      <c r="I12" s="19">
        <f t="shared" si="8"/>
        <v>45199</v>
      </c>
      <c r="J12" s="15">
        <f t="shared" si="8"/>
        <v>45230</v>
      </c>
      <c r="K12" s="19">
        <f t="shared" si="8"/>
        <v>45260</v>
      </c>
      <c r="L12" s="19">
        <f t="shared" si="8"/>
        <v>45291</v>
      </c>
      <c r="M12" s="15">
        <f t="shared" si="8"/>
        <v>45322</v>
      </c>
      <c r="P12" s="186"/>
      <c r="Z12" s="1"/>
      <c r="AA12" s="1"/>
      <c r="AB12" s="1"/>
      <c r="AC12" s="1"/>
      <c r="AD12" s="1"/>
      <c r="AE12" s="1"/>
      <c r="AF12" s="1"/>
      <c r="AG12" s="1"/>
      <c r="AH12" s="1"/>
      <c r="AI12" s="1"/>
    </row>
    <row r="13" spans="1:35" x14ac:dyDescent="0.25">
      <c r="A13" s="46" t="s">
        <v>5</v>
      </c>
      <c r="C13" s="189">
        <v>-444965.16000000003</v>
      </c>
      <c r="D13" s="192"/>
      <c r="E13" s="109">
        <f t="shared" ref="E13:L13" si="9">SUM(E30:E34)</f>
        <v>200065.53</v>
      </c>
      <c r="F13" s="109">
        <f t="shared" si="9"/>
        <v>291631.92</v>
      </c>
      <c r="G13" s="110">
        <f t="shared" si="9"/>
        <v>373866.55999999994</v>
      </c>
      <c r="H13" s="16">
        <f t="shared" si="9"/>
        <v>378721.36</v>
      </c>
      <c r="I13" s="55">
        <f t="shared" si="9"/>
        <v>304960.27999999997</v>
      </c>
      <c r="J13" s="162">
        <f t="shared" si="9"/>
        <v>211702.28999999998</v>
      </c>
      <c r="K13" s="155">
        <f t="shared" si="9"/>
        <v>212208.13000000003</v>
      </c>
      <c r="L13" s="78">
        <f t="shared" si="9"/>
        <v>233320.25999999998</v>
      </c>
      <c r="M13" s="79"/>
      <c r="P13" s="186">
        <f>-SUM(K13:M13)</f>
        <v>-445528.39</v>
      </c>
    </row>
    <row r="14" spans="1:35" x14ac:dyDescent="0.25">
      <c r="C14" s="99"/>
      <c r="D14" s="193"/>
      <c r="E14" s="17"/>
      <c r="F14" s="17"/>
      <c r="G14" s="17"/>
      <c r="H14" s="10"/>
      <c r="I14" s="17"/>
      <c r="J14" s="11"/>
      <c r="K14" s="31"/>
      <c r="L14" s="31"/>
      <c r="M14" s="29"/>
      <c r="P14" s="186"/>
    </row>
    <row r="15" spans="1:35" x14ac:dyDescent="0.25">
      <c r="A15" s="46" t="s">
        <v>62</v>
      </c>
      <c r="C15" s="99"/>
      <c r="D15" s="193"/>
      <c r="E15" s="18"/>
      <c r="F15" s="18"/>
      <c r="G15" s="18"/>
      <c r="H15" s="91"/>
      <c r="I15" s="18"/>
      <c r="J15" s="163"/>
      <c r="K15" s="31"/>
      <c r="L15" s="31"/>
      <c r="M15" s="29"/>
      <c r="N15" s="3" t="s">
        <v>68</v>
      </c>
      <c r="O15" s="39"/>
      <c r="P15" s="186"/>
    </row>
    <row r="16" spans="1:35" x14ac:dyDescent="0.25">
      <c r="A16" s="46" t="s">
        <v>24</v>
      </c>
      <c r="C16" s="189">
        <v>-440043.60771000001</v>
      </c>
      <c r="D16" s="192"/>
      <c r="E16" s="132">
        <f>'[4]May 2023'!$G104</f>
        <v>106001.77</v>
      </c>
      <c r="F16" s="132">
        <f>'[4]June 2023'!$G104</f>
        <v>144706.04999999999</v>
      </c>
      <c r="G16" s="132">
        <f>'[4]July 2023'!$G104</f>
        <v>192351.05</v>
      </c>
      <c r="H16" s="16">
        <f>'[4]August 2023'!$G104</f>
        <v>196545.62</v>
      </c>
      <c r="I16" s="118">
        <f>'[4]September 2023'!$G104</f>
        <v>191516.81</v>
      </c>
      <c r="J16" s="167">
        <f>'[4]October 2023'!$G104</f>
        <v>128792.24</v>
      </c>
      <c r="K16" s="120">
        <f>'PCR Cycle 2'!K27*'TDR Cycle 3'!$N16</f>
        <v>112132.55206</v>
      </c>
      <c r="L16" s="41">
        <f>'PCR Cycle 2'!L27*'TDR Cycle 3'!$N16</f>
        <v>159884.94482</v>
      </c>
      <c r="M16" s="61">
        <f>'PCR Cycle 2'!M27*'TDR Cycle 3'!$N16</f>
        <v>180950.88784000001</v>
      </c>
      <c r="N16" s="72">
        <v>6.7000000000000002E-4</v>
      </c>
      <c r="O16" s="4"/>
      <c r="P16" s="186">
        <f t="shared" ref="P16:P20" si="10">-SUM(K16:M16)</f>
        <v>-452968.38471999997</v>
      </c>
    </row>
    <row r="17" spans="1:16" x14ac:dyDescent="0.25">
      <c r="A17" s="46" t="s">
        <v>107</v>
      </c>
      <c r="C17" s="189">
        <v>-79768.82766000001</v>
      </c>
      <c r="D17" s="192"/>
      <c r="E17" s="132">
        <f>'[4]May 2023'!$G105</f>
        <v>22174.739999999998</v>
      </c>
      <c r="F17" s="132">
        <f>'[4]June 2023'!$G105</f>
        <v>28047.03</v>
      </c>
      <c r="G17" s="132">
        <f>'[4]July 2023'!$G105</f>
        <v>32112.27</v>
      </c>
      <c r="H17" s="16">
        <f>'[4]August 2023'!$G105</f>
        <v>23919.94</v>
      </c>
      <c r="I17" s="118">
        <f>'[4]September 2023'!$G105</f>
        <v>19742.009999999998</v>
      </c>
      <c r="J17" s="167">
        <f>'[4]October 2023'!$G105</f>
        <v>16829.71</v>
      </c>
      <c r="K17" s="120">
        <f>'PCR Cycle 2'!K28*'TDR Cycle 3'!$N17</f>
        <v>15178.75095</v>
      </c>
      <c r="L17" s="41">
        <f>'PCR Cycle 2'!L28*'TDR Cycle 3'!$N17</f>
        <v>16720.802670000001</v>
      </c>
      <c r="M17" s="61">
        <f>'PCR Cycle 2'!M28*'TDR Cycle 3'!$N17</f>
        <v>17006.901119999999</v>
      </c>
      <c r="N17" s="72">
        <v>3.3E-4</v>
      </c>
      <c r="O17" s="4"/>
      <c r="P17" s="186">
        <f t="shared" si="10"/>
        <v>-48906.454740000001</v>
      </c>
    </row>
    <row r="18" spans="1:16" x14ac:dyDescent="0.25">
      <c r="A18" s="46" t="s">
        <v>108</v>
      </c>
      <c r="C18" s="189">
        <v>-146678.24411999999</v>
      </c>
      <c r="D18" s="192"/>
      <c r="E18" s="132">
        <f>'[4]May 2023'!$G106</f>
        <v>41397.9</v>
      </c>
      <c r="F18" s="132">
        <f>'[4]June 2023'!$G106</f>
        <v>48250.35</v>
      </c>
      <c r="G18" s="132">
        <f>'[4]July 2023'!$G106</f>
        <v>53855.33</v>
      </c>
      <c r="H18" s="16">
        <f>'[4]August 2023'!$G106</f>
        <v>51965.33</v>
      </c>
      <c r="I18" s="118">
        <f>'[4]September 2023'!$G106</f>
        <v>45665.69</v>
      </c>
      <c r="J18" s="167">
        <f>'[4]October 2023'!$G106</f>
        <v>39087.129999999997</v>
      </c>
      <c r="K18" s="120">
        <f>'PCR Cycle 2'!K29*'TDR Cycle 3'!$N18</f>
        <v>36368.303500000002</v>
      </c>
      <c r="L18" s="41">
        <f>'PCR Cycle 2'!L29*'TDR Cycle 3'!$N18</f>
        <v>40063.061300000001</v>
      </c>
      <c r="M18" s="61">
        <f>'PCR Cycle 2'!M29*'TDR Cycle 3'!$N18</f>
        <v>40748.553110000001</v>
      </c>
      <c r="N18" s="72">
        <v>4.2999999999999999E-4</v>
      </c>
      <c r="O18" s="4"/>
      <c r="P18" s="186">
        <f t="shared" si="10"/>
        <v>-117179.91791000002</v>
      </c>
    </row>
    <row r="19" spans="1:16" x14ac:dyDescent="0.25">
      <c r="A19" s="46" t="s">
        <v>109</v>
      </c>
      <c r="C19" s="189">
        <v>-147844.97211</v>
      </c>
      <c r="D19" s="192"/>
      <c r="E19" s="132">
        <f>'[4]May 2023'!$G107</f>
        <v>44221.67</v>
      </c>
      <c r="F19" s="132">
        <f>'[4]June 2023'!$G107</f>
        <v>48326.91</v>
      </c>
      <c r="G19" s="132">
        <f>'[4]July 2023'!$G107</f>
        <v>51114.22</v>
      </c>
      <c r="H19" s="16">
        <f>'[4]August 2023'!$G107</f>
        <v>47445.21</v>
      </c>
      <c r="I19" s="118">
        <f>'[4]September 2023'!$G107</f>
        <v>37662.230000000003</v>
      </c>
      <c r="J19" s="167">
        <f>'[4]October 2023'!$G107</f>
        <v>33266.74</v>
      </c>
      <c r="K19" s="120">
        <f>'PCR Cycle 2'!K30*'TDR Cycle 3'!$N19</f>
        <v>31490.909769999998</v>
      </c>
      <c r="L19" s="41">
        <f>'PCR Cycle 2'!L30*'TDR Cycle 3'!$N19</f>
        <v>34690.159629999995</v>
      </c>
      <c r="M19" s="61">
        <f>'PCR Cycle 2'!M30*'TDR Cycle 3'!$N19</f>
        <v>35283.71948</v>
      </c>
      <c r="N19" s="72">
        <v>2.2999999999999998E-4</v>
      </c>
      <c r="O19" s="4"/>
      <c r="P19" s="186">
        <f t="shared" si="10"/>
        <v>-101464.78887999999</v>
      </c>
    </row>
    <row r="20" spans="1:16" x14ac:dyDescent="0.25">
      <c r="A20" s="46" t="s">
        <v>110</v>
      </c>
      <c r="C20" s="189">
        <v>-3495.7600200000002</v>
      </c>
      <c r="D20" s="192"/>
      <c r="E20" s="132">
        <f>'[4]May 2023'!$G108</f>
        <v>1208.98</v>
      </c>
      <c r="F20" s="132">
        <f>'[4]June 2023'!$G108</f>
        <v>1060.5899999999999</v>
      </c>
      <c r="G20" s="132">
        <f>'[4]July 2023'!$G108</f>
        <v>1412.69</v>
      </c>
      <c r="H20" s="16">
        <f>'[4]August 2023'!$G108</f>
        <v>2280.75</v>
      </c>
      <c r="I20" s="118">
        <f>'[4]September 2023'!$G108</f>
        <v>2059.77</v>
      </c>
      <c r="J20" s="167">
        <f>'[4]October 2023'!$G108</f>
        <v>2142.44</v>
      </c>
      <c r="K20" s="120">
        <f>'PCR Cycle 2'!K31*'TDR Cycle 3'!$N20</f>
        <v>1780.55385</v>
      </c>
      <c r="L20" s="41">
        <f>'PCR Cycle 2'!L31*'TDR Cycle 3'!$N20</f>
        <v>1961.4453000000001</v>
      </c>
      <c r="M20" s="61">
        <f>'PCR Cycle 2'!M31*'TDR Cycle 3'!$N20</f>
        <v>1995.0062500000001</v>
      </c>
      <c r="N20" s="72">
        <v>5.0000000000000002E-5</v>
      </c>
      <c r="O20" s="4"/>
      <c r="P20" s="186">
        <f t="shared" si="10"/>
        <v>-5737.0054</v>
      </c>
    </row>
    <row r="21" spans="1:16" x14ac:dyDescent="0.25">
      <c r="C21" s="67"/>
      <c r="D21" s="194"/>
      <c r="E21" s="68"/>
      <c r="F21" s="68"/>
      <c r="G21" s="68"/>
      <c r="H21" s="67"/>
      <c r="I21" s="68"/>
      <c r="J21" s="165"/>
      <c r="K21" s="56"/>
      <c r="L21" s="56"/>
      <c r="M21" s="13"/>
      <c r="O21" s="4"/>
    </row>
    <row r="22" spans="1:16" x14ac:dyDescent="0.25">
      <c r="A22" s="39" t="s">
        <v>66</v>
      </c>
      <c r="B22" s="39"/>
      <c r="C22" s="67"/>
      <c r="D22" s="194"/>
      <c r="E22" s="56"/>
      <c r="F22" s="56"/>
      <c r="G22" s="56"/>
      <c r="H22" s="12"/>
      <c r="I22" s="56"/>
      <c r="J22" s="166"/>
      <c r="K22" s="56"/>
      <c r="L22" s="56"/>
      <c r="M22" s="13"/>
      <c r="N22" s="7"/>
    </row>
    <row r="23" spans="1:16" x14ac:dyDescent="0.25">
      <c r="A23" s="46" t="s">
        <v>24</v>
      </c>
      <c r="C23" s="190">
        <v>-3735498.5569931967</v>
      </c>
      <c r="D23" s="195"/>
      <c r="E23" s="111">
        <f>+'[12]Monthly TD Calc-PY1-3'!$AS461+'[12]Monthly TD Calc-PY4'!$AS469</f>
        <v>2103109.7351383115</v>
      </c>
      <c r="F23" s="111">
        <f>'[12]Monthly TD Calc-PY1-3'!$AT461+'[12]Monthly TD Calc-PY4'!$AT469</f>
        <v>1990441.2814384401</v>
      </c>
      <c r="G23" s="122">
        <f>+'[12]Monthly TD Calc-PY1-3'!$AU461+'[12]Monthly TD Calc-PY4'!$AU469</f>
        <v>2668791.082831786</v>
      </c>
      <c r="H23" s="74">
        <f>+'[12]Monthly TD Calc-PY1-3'!$AV461+'[12]Monthly TD Calc-PY4'!$AV469</f>
        <v>2670934.4989155061</v>
      </c>
      <c r="I23" s="75">
        <f>+'[12]Monthly TD Calc-PY1-3'!$AW461+'[12]Monthly TD Calc-PY4'!$AW469</f>
        <v>2099778.5875411625</v>
      </c>
      <c r="J23" s="167">
        <f>+'[12]Monthly TD Calc-PY1-3'!$AX461+'[12]Monthly TD Calc-PY4'!$AX469</f>
        <v>2255513.2715934063</v>
      </c>
      <c r="K23" s="156">
        <f>+'[2]Monthly TD Calc'!$AY462+'[2]Monthly TD Calc Ext'!$AY462</f>
        <v>2013923.456042741</v>
      </c>
      <c r="L23" s="140">
        <f>+'[2]Monthly TD Calc'!$AZ462+'[2]Monthly TD Calc Ext'!$AZ462</f>
        <v>2436487.8948756978</v>
      </c>
      <c r="M23" s="80"/>
      <c r="N23" s="59">
        <f>SUM(C23:L23)</f>
        <v>14503481.251383854</v>
      </c>
      <c r="P23" s="186">
        <f t="shared" ref="P23:P27" si="11">-SUM(K23:M23)</f>
        <v>-4450411.3509184383</v>
      </c>
    </row>
    <row r="24" spans="1:16" x14ac:dyDescent="0.25">
      <c r="A24" s="46" t="s">
        <v>107</v>
      </c>
      <c r="C24" s="190">
        <v>-573558.8304692863</v>
      </c>
      <c r="D24" s="195"/>
      <c r="E24" s="111">
        <f>+'[12]Monthly TD Calc-PY1-3'!$AS462+'[12]Monthly TD Calc-PY4'!$AS470</f>
        <v>296776.56971300073</v>
      </c>
      <c r="F24" s="111">
        <f>'[12]Monthly TD Calc-PY1-3'!$AT462+'[12]Monthly TD Calc-PY4'!$AT470</f>
        <v>299444.83177876717</v>
      </c>
      <c r="G24" s="122">
        <f>+'[12]Monthly TD Calc-PY1-3'!$AU462+'[12]Monthly TD Calc-PY4'!$AU470</f>
        <v>359169.23644676269</v>
      </c>
      <c r="H24" s="74">
        <f>+'[12]Monthly TD Calc-PY1-3'!$AV462+'[12]Monthly TD Calc-PY4'!$AV470</f>
        <v>366270.57100235065</v>
      </c>
      <c r="I24" s="75">
        <f>+'[12]Monthly TD Calc-PY1-3'!$AW462+'[12]Monthly TD Calc-PY4'!$AW470</f>
        <v>316720.29878808866</v>
      </c>
      <c r="J24" s="167">
        <f>+'[12]Monthly TD Calc-PY1-3'!$AX462+'[12]Monthly TD Calc-PY4'!$AX470</f>
        <v>350327.04902263579</v>
      </c>
      <c r="K24" s="156">
        <f>+'[2]Monthly TD Calc'!$AY463+'[2]Monthly TD Calc Ext'!$AY463</f>
        <v>340904.93897824269</v>
      </c>
      <c r="L24" s="140">
        <f>+'[2]Monthly TD Calc'!$AZ463+'[2]Monthly TD Calc Ext'!$AZ463</f>
        <v>387138.48811839987</v>
      </c>
      <c r="M24" s="80"/>
      <c r="N24" s="59">
        <f t="shared" ref="N24:N27" si="12">SUM(C24:L24)</f>
        <v>2143193.1533789621</v>
      </c>
      <c r="P24" s="186">
        <f t="shared" si="11"/>
        <v>-728043.42709664255</v>
      </c>
    </row>
    <row r="25" spans="1:16" x14ac:dyDescent="0.25">
      <c r="A25" s="46" t="s">
        <v>108</v>
      </c>
      <c r="C25" s="190">
        <v>-1398824.8995553036</v>
      </c>
      <c r="D25" s="195"/>
      <c r="E25" s="111">
        <f>+'[12]Monthly TD Calc-PY1-3'!$AS463+'[12]Monthly TD Calc-PY4'!$AS471</f>
        <v>839900.2416967157</v>
      </c>
      <c r="F25" s="111">
        <f>'[12]Monthly TD Calc-PY1-3'!$AT463+'[12]Monthly TD Calc-PY4'!$AT471</f>
        <v>858997.14819029521</v>
      </c>
      <c r="G25" s="122">
        <f>+'[12]Monthly TD Calc-PY1-3'!$AU463+'[12]Monthly TD Calc-PY4'!$AU471</f>
        <v>922938.39602948632</v>
      </c>
      <c r="H25" s="74">
        <f>+'[12]Monthly TD Calc-PY1-3'!$AV463+'[12]Monthly TD Calc-PY4'!$AV471</f>
        <v>963429.33585940849</v>
      </c>
      <c r="I25" s="75">
        <f>+'[12]Monthly TD Calc-PY1-3'!$AW463+'[12]Monthly TD Calc-PY4'!$AW471</f>
        <v>930176.20665753563</v>
      </c>
      <c r="J25" s="167">
        <f>+'[12]Monthly TD Calc-PY1-3'!$AX463+'[12]Monthly TD Calc-PY4'!$AX471</f>
        <v>1016818.7464426515</v>
      </c>
      <c r="K25" s="156">
        <f>+'[2]Monthly TD Calc'!$AY464+'[2]Monthly TD Calc Ext'!$AY464</f>
        <v>866569.70900011552</v>
      </c>
      <c r="L25" s="140">
        <f>+'[2]Monthly TD Calc'!$AZ464+'[2]Monthly TD Calc Ext'!$AZ464</f>
        <v>960281.83040575823</v>
      </c>
      <c r="M25" s="80"/>
      <c r="N25" s="59">
        <f t="shared" si="12"/>
        <v>5960286.7147266623</v>
      </c>
      <c r="P25" s="186">
        <f t="shared" si="11"/>
        <v>-1826851.5394058737</v>
      </c>
    </row>
    <row r="26" spans="1:16" x14ac:dyDescent="0.25">
      <c r="A26" s="46" t="s">
        <v>109</v>
      </c>
      <c r="C26" s="190">
        <v>-2176278.1050797212</v>
      </c>
      <c r="D26" s="195"/>
      <c r="E26" s="111">
        <f>+'[12]Monthly TD Calc-PY1-3'!$AS464+'[12]Monthly TD Calc-PY4'!$AS472</f>
        <v>1230747.9639049182</v>
      </c>
      <c r="F26" s="111">
        <f>'[12]Monthly TD Calc-PY1-3'!$AT464+'[12]Monthly TD Calc-PY4'!$AT472</f>
        <v>1216737.426793373</v>
      </c>
      <c r="G26" s="122">
        <f>+'[12]Monthly TD Calc-PY1-3'!$AU464+'[12]Monthly TD Calc-PY4'!$AU472</f>
        <v>1283953.4705908073</v>
      </c>
      <c r="H26" s="74">
        <f>+'[12]Monthly TD Calc-PY1-3'!$AV464+'[12]Monthly TD Calc-PY4'!$AV472</f>
        <v>1331051.7007456827</v>
      </c>
      <c r="I26" s="75">
        <f>+'[12]Monthly TD Calc-PY1-3'!$AW464+'[12]Monthly TD Calc-PY4'!$AW472</f>
        <v>1331220.4941857508</v>
      </c>
      <c r="J26" s="167">
        <f>+'[12]Monthly TD Calc-PY1-3'!$AX464+'[12]Monthly TD Calc-PY4'!$AX472</f>
        <v>1555495.8549613934</v>
      </c>
      <c r="K26" s="156">
        <f>+'[2]Monthly TD Calc'!$AY465+'[2]Monthly TD Calc Ext'!$AY465</f>
        <v>1417992.9493010053</v>
      </c>
      <c r="L26" s="140">
        <f>+'[2]Monthly TD Calc'!$AZ465+'[2]Monthly TD Calc Ext'!$AZ465</f>
        <v>1566848.8116278858</v>
      </c>
      <c r="M26" s="80"/>
      <c r="N26" s="59">
        <f t="shared" si="12"/>
        <v>8757770.5670310948</v>
      </c>
      <c r="P26" s="186">
        <f t="shared" si="11"/>
        <v>-2984841.7609288911</v>
      </c>
    </row>
    <row r="27" spans="1:16" x14ac:dyDescent="0.25">
      <c r="A27" s="46" t="s">
        <v>110</v>
      </c>
      <c r="C27" s="190">
        <v>-326476.71283795446</v>
      </c>
      <c r="D27" s="195"/>
      <c r="E27" s="111">
        <f>+'[12]Monthly TD Calc-PY1-3'!$AS465+'[12]Monthly TD Calc-PY4'!$AS473</f>
        <v>203395.206610238</v>
      </c>
      <c r="F27" s="111">
        <f>'[12]Monthly TD Calc-PY1-3'!$AT465+'[12]Monthly TD Calc-PY4'!$AT473</f>
        <v>239633.44893474935</v>
      </c>
      <c r="G27" s="122">
        <f>+'[12]Monthly TD Calc-PY1-3'!$AU465+'[12]Monthly TD Calc-PY4'!$AU473</f>
        <v>249557.06696232938</v>
      </c>
      <c r="H27" s="74">
        <f>+'[12]Monthly TD Calc-PY1-3'!$AV465+'[12]Monthly TD Calc-PY4'!$AV473</f>
        <v>254486.68046850496</v>
      </c>
      <c r="I27" s="75">
        <f>+'[12]Monthly TD Calc-PY1-3'!$AW465+'[12]Monthly TD Calc-PY4'!$AW473</f>
        <v>240464.80474405299</v>
      </c>
      <c r="J27" s="167">
        <f>+'[12]Monthly TD Calc-PY1-3'!$AX465+'[12]Monthly TD Calc-PY4'!$AX473</f>
        <v>266222.73743056197</v>
      </c>
      <c r="K27" s="156">
        <f>+'[2]Monthly TD Calc'!$AY466+'[2]Monthly TD Calc Ext'!$AY466</f>
        <v>264396.72624048393</v>
      </c>
      <c r="L27" s="140">
        <f>+'[2]Monthly TD Calc'!$AZ466+'[2]Monthly TD Calc Ext'!$AZ466</f>
        <v>303622.74136149208</v>
      </c>
      <c r="M27" s="80"/>
      <c r="N27" s="59">
        <f t="shared" si="12"/>
        <v>1695302.6999144584</v>
      </c>
      <c r="P27" s="186">
        <f t="shared" si="11"/>
        <v>-568019.46760197601</v>
      </c>
    </row>
    <row r="28" spans="1:16" x14ac:dyDescent="0.25">
      <c r="C28" s="67"/>
      <c r="D28" s="194"/>
      <c r="E28" s="68"/>
      <c r="F28" s="68"/>
      <c r="G28" s="68"/>
      <c r="H28" s="67"/>
      <c r="I28" s="68"/>
      <c r="J28" s="165"/>
      <c r="K28" s="56"/>
      <c r="L28" s="56"/>
      <c r="M28" s="13"/>
    </row>
    <row r="29" spans="1:16" x14ac:dyDescent="0.25">
      <c r="A29" s="46" t="s">
        <v>69</v>
      </c>
      <c r="C29" s="36"/>
      <c r="D29" s="196"/>
      <c r="E29" s="37"/>
      <c r="F29" s="37"/>
      <c r="G29" s="37"/>
      <c r="H29" s="36"/>
      <c r="I29" s="37"/>
      <c r="J29" s="168"/>
      <c r="K29" s="52"/>
      <c r="L29" s="52"/>
      <c r="M29" s="38"/>
    </row>
    <row r="30" spans="1:16" x14ac:dyDescent="0.25">
      <c r="A30" s="46" t="s">
        <v>24</v>
      </c>
      <c r="C30" s="189">
        <v>-258974.82</v>
      </c>
      <c r="D30" s="192"/>
      <c r="E30" s="109">
        <f>+'[12]Monthly TD Calc-PY1-3'!$AS563+'[12]Monthly TD Calc-PY4'!$AS575</f>
        <v>111836.6</v>
      </c>
      <c r="F30" s="109">
        <f>+'[12]Monthly TD Calc-PY1-3'!$AT563+'[12]Monthly TD Calc-PY4'!$AT575</f>
        <v>167258.62000000002</v>
      </c>
      <c r="G30" s="110">
        <f>+'[12]Monthly TD Calc-PY1-3'!$AU563+'[12]Monthly TD Calc-PY4'!$AU575</f>
        <v>245945.81</v>
      </c>
      <c r="H30" s="16">
        <f>+'[12]Monthly TD Calc-PY1-3'!$AV563+'[12]Monthly TD Calc-PY4'!$AV575</f>
        <v>246779.27</v>
      </c>
      <c r="I30" s="55">
        <f>+'[12]Monthly TD Calc-PY1-3'!$AW563+'[12]Monthly TD Calc-PY4'!$AW575</f>
        <v>181140.59000000003</v>
      </c>
      <c r="J30" s="167">
        <f>+'[12]Monthly TD Calc-PY1-3'!$AX563+'[12]Monthly TD Calc-PY4'!$AX575</f>
        <v>112338.69999999998</v>
      </c>
      <c r="K30" s="157">
        <f>+'[2]Monthly TD Calc'!$AY564+'[2]Monthly TD Calc Ext'!$AY564</f>
        <v>115274.18000000002</v>
      </c>
      <c r="L30" s="139">
        <f>+'[2]Monthly TD Calc'!$AZ564+'[2]Monthly TD Calc Ext'!$AZ564</f>
        <v>132241.65999999997</v>
      </c>
      <c r="M30" s="79"/>
      <c r="P30" s="186">
        <f t="shared" ref="P30:P36" si="13">-SUM(K30:M30)</f>
        <v>-247515.84</v>
      </c>
    </row>
    <row r="31" spans="1:16" x14ac:dyDescent="0.25">
      <c r="A31" s="46" t="s">
        <v>107</v>
      </c>
      <c r="C31" s="189">
        <v>-41116.949999999997</v>
      </c>
      <c r="D31" s="192"/>
      <c r="E31" s="109">
        <f>+'[12]Monthly TD Calc-PY1-3'!$AS564+'[12]Monthly TD Calc-PY4'!$AS576</f>
        <v>18407.729999999996</v>
      </c>
      <c r="F31" s="109">
        <f>+'[12]Monthly TD Calc-PY1-3'!$AT564+'[12]Monthly TD Calc-PY4'!$AT576</f>
        <v>24456.269999999997</v>
      </c>
      <c r="G31" s="110">
        <f>+'[12]Monthly TD Calc-PY1-3'!$AU564+'[12]Monthly TD Calc-PY4'!$AU576</f>
        <v>28095.98</v>
      </c>
      <c r="H31" s="16">
        <f>+'[12]Monthly TD Calc-PY1-3'!$AV564+'[12]Monthly TD Calc-PY4'!$AV576</f>
        <v>28142.9</v>
      </c>
      <c r="I31" s="55">
        <f>+'[12]Monthly TD Calc-PY1-3'!$AW564+'[12]Monthly TD Calc-PY4'!$AW576</f>
        <v>23748.21</v>
      </c>
      <c r="J31" s="167">
        <f>+'[12]Monthly TD Calc-PY1-3'!$AX564+'[12]Monthly TD Calc-PY4'!$AX576</f>
        <v>20626.739999999998</v>
      </c>
      <c r="K31" s="157">
        <f>+'[2]Monthly TD Calc'!$AY565+'[2]Monthly TD Calc Ext'!$AY565</f>
        <v>21018.75</v>
      </c>
      <c r="L31" s="139">
        <f>+'[2]Monthly TD Calc'!$AZ565+'[2]Monthly TD Calc Ext'!$AZ565</f>
        <v>22486.22</v>
      </c>
      <c r="M31" s="79"/>
      <c r="P31" s="186">
        <f t="shared" si="13"/>
        <v>-43504.97</v>
      </c>
    </row>
    <row r="32" spans="1:16" x14ac:dyDescent="0.25">
      <c r="A32" s="46" t="s">
        <v>108</v>
      </c>
      <c r="C32" s="189">
        <v>-70677.070000000007</v>
      </c>
      <c r="D32" s="192"/>
      <c r="E32" s="109">
        <f>+'[12]Monthly TD Calc-PY1-3'!$AS565+'[12]Monthly TD Calc-PY4'!$AS577</f>
        <v>35340.770000000004</v>
      </c>
      <c r="F32" s="109">
        <f>+'[12]Monthly TD Calc-PY1-3'!$AT565+'[12]Monthly TD Calc-PY4'!$AT577</f>
        <v>50828.44</v>
      </c>
      <c r="G32" s="110">
        <f>+'[12]Monthly TD Calc-PY1-3'!$AU565+'[12]Monthly TD Calc-PY4'!$AU577</f>
        <v>51360.37999999999</v>
      </c>
      <c r="H32" s="16">
        <f>+'[12]Monthly TD Calc-PY1-3'!$AV565+'[12]Monthly TD Calc-PY4'!$AV577</f>
        <v>53218.67</v>
      </c>
      <c r="I32" s="55">
        <f>+'[12]Monthly TD Calc-PY1-3'!$AW565+'[12]Monthly TD Calc-PY4'!$AW577</f>
        <v>51228.68</v>
      </c>
      <c r="J32" s="167">
        <f>+'[12]Monthly TD Calc-PY1-3'!$AX565+'[12]Monthly TD Calc-PY4'!$AX577</f>
        <v>39523.67</v>
      </c>
      <c r="K32" s="157">
        <f>+'[2]Monthly TD Calc'!$AY566+'[2]Monthly TD Calc Ext'!$AY566</f>
        <v>35990.76</v>
      </c>
      <c r="L32" s="139">
        <f>+'[2]Monthly TD Calc'!$AZ566+'[2]Monthly TD Calc Ext'!$AZ566</f>
        <v>37128.75</v>
      </c>
      <c r="M32" s="79"/>
      <c r="P32" s="186">
        <f t="shared" si="13"/>
        <v>-73119.510000000009</v>
      </c>
    </row>
    <row r="33" spans="1:16" x14ac:dyDescent="0.25">
      <c r="A33" s="46" t="s">
        <v>109</v>
      </c>
      <c r="C33" s="189">
        <v>-69730.97</v>
      </c>
      <c r="D33" s="192"/>
      <c r="E33" s="109">
        <f>+'[12]Monthly TD Calc-PY1-3'!$AS566+'[12]Monthly TD Calc-PY4'!$AS578</f>
        <v>32291.119999999999</v>
      </c>
      <c r="F33" s="109">
        <f>+'[12]Monthly TD Calc-PY1-3'!$AT566+'[12]Monthly TD Calc-PY4'!$AT578</f>
        <v>45655.659999999996</v>
      </c>
      <c r="G33" s="110">
        <f>+'[12]Monthly TD Calc-PY1-3'!$AU566+'[12]Monthly TD Calc-PY4'!$AU578</f>
        <v>45205.79</v>
      </c>
      <c r="H33" s="16">
        <f>+'[12]Monthly TD Calc-PY1-3'!$AV566+'[12]Monthly TD Calc-PY4'!$AV578</f>
        <v>47067.710000000006</v>
      </c>
      <c r="I33" s="55">
        <f>+'[12]Monthly TD Calc-PY1-3'!$AW566+'[12]Monthly TD Calc-PY4'!$AW578</f>
        <v>45612.509999999995</v>
      </c>
      <c r="J33" s="167">
        <f>+'[12]Monthly TD Calc-PY1-3'!$AX566+'[12]Monthly TD Calc-PY4'!$AX578</f>
        <v>36575.53</v>
      </c>
      <c r="K33" s="157">
        <f>+'[2]Monthly TD Calc'!$AY567+'[2]Monthly TD Calc Ext'!$AY567</f>
        <v>37099.1</v>
      </c>
      <c r="L33" s="139">
        <f>+'[2]Monthly TD Calc'!$AZ567+'[2]Monthly TD Calc Ext'!$AZ567</f>
        <v>38277.369999999995</v>
      </c>
      <c r="M33" s="79"/>
      <c r="P33" s="186">
        <f t="shared" si="13"/>
        <v>-75376.47</v>
      </c>
    </row>
    <row r="34" spans="1:16" x14ac:dyDescent="0.25">
      <c r="A34" s="46" t="s">
        <v>110</v>
      </c>
      <c r="C34" s="189">
        <v>-4465.3500000000004</v>
      </c>
      <c r="D34" s="192"/>
      <c r="E34" s="109">
        <f>+'[12]Monthly TD Calc-PY1-3'!$AS567+'[12]Monthly TD Calc-PY4'!$AS579</f>
        <v>2189.31</v>
      </c>
      <c r="F34" s="109">
        <f>+'[12]Monthly TD Calc-PY1-3'!$AT567+'[12]Monthly TD Calc-PY4'!$AT579</f>
        <v>3432.9300000000003</v>
      </c>
      <c r="G34" s="110">
        <f>+'[12]Monthly TD Calc-PY1-3'!$AU567+'[12]Monthly TD Calc-PY4'!$AU579</f>
        <v>3258.6000000000004</v>
      </c>
      <c r="H34" s="16">
        <f>+'[12]Monthly TD Calc-PY1-3'!$AV567+'[12]Monthly TD Calc-PY4'!$AV579</f>
        <v>3512.8100000000004</v>
      </c>
      <c r="I34" s="55">
        <f>+'[12]Monthly TD Calc-PY1-3'!$AW567+'[12]Monthly TD Calc-PY4'!$AW579</f>
        <v>3230.29</v>
      </c>
      <c r="J34" s="167">
        <f>+'[12]Monthly TD Calc-PY1-3'!$AX567+'[12]Monthly TD Calc-PY4'!$AX579</f>
        <v>2637.65</v>
      </c>
      <c r="K34" s="157">
        <f>+'[2]Monthly TD Calc'!$AY568+'[2]Monthly TD Calc Ext'!$AY568</f>
        <v>2825.34</v>
      </c>
      <c r="L34" s="139">
        <f>+'[2]Monthly TD Calc'!$AZ568+'[2]Monthly TD Calc Ext'!$AZ568</f>
        <v>3186.26</v>
      </c>
      <c r="M34" s="79"/>
      <c r="O34" s="47"/>
      <c r="P34" s="186">
        <f t="shared" si="13"/>
        <v>-6011.6</v>
      </c>
    </row>
    <row r="35" spans="1:16" x14ac:dyDescent="0.25">
      <c r="C35" s="99"/>
      <c r="D35" s="193"/>
      <c r="E35" s="18"/>
      <c r="F35" s="18"/>
      <c r="G35" s="18"/>
      <c r="H35" s="91"/>
      <c r="I35" s="18"/>
      <c r="J35" s="163"/>
      <c r="K35" s="56"/>
      <c r="L35" s="56"/>
      <c r="M35" s="13"/>
    </row>
    <row r="36" spans="1:16" ht="15.75" thickBot="1" x14ac:dyDescent="0.3">
      <c r="A36" s="3" t="s">
        <v>15</v>
      </c>
      <c r="B36" s="3"/>
      <c r="C36" s="191">
        <v>2667.16</v>
      </c>
      <c r="D36" s="197"/>
      <c r="E36" s="132">
        <v>-1248.4000000000001</v>
      </c>
      <c r="F36" s="132">
        <v>-1249.81</v>
      </c>
      <c r="G36" s="133">
        <v>-1118.68</v>
      </c>
      <c r="H36" s="26">
        <v>-872.38</v>
      </c>
      <c r="I36" s="119">
        <v>-704.28</v>
      </c>
      <c r="J36" s="169">
        <v>-709.1</v>
      </c>
      <c r="K36" s="158">
        <v>-694.57</v>
      </c>
      <c r="L36" s="141">
        <v>-711.02</v>
      </c>
      <c r="M36" s="82"/>
      <c r="P36" s="186">
        <f t="shared" si="13"/>
        <v>1405.5900000000001</v>
      </c>
    </row>
    <row r="37" spans="1:16" x14ac:dyDescent="0.25">
      <c r="C37" s="64"/>
      <c r="D37" s="200"/>
      <c r="E37" s="66"/>
      <c r="F37" s="66"/>
      <c r="G37" s="33"/>
      <c r="H37" s="64"/>
      <c r="I37" s="33"/>
      <c r="J37" s="170"/>
      <c r="K37" s="34"/>
      <c r="L37" s="34"/>
      <c r="M37" s="60"/>
    </row>
    <row r="38" spans="1:16" x14ac:dyDescent="0.25">
      <c r="A38" s="46" t="s">
        <v>52</v>
      </c>
      <c r="C38" s="65"/>
      <c r="D38" s="201"/>
      <c r="E38" s="35"/>
      <c r="F38" s="35"/>
      <c r="G38" s="35"/>
      <c r="H38" s="65"/>
      <c r="I38" s="35"/>
      <c r="J38" s="171"/>
      <c r="K38" s="34"/>
      <c r="L38" s="34"/>
      <c r="M38" s="60"/>
    </row>
    <row r="39" spans="1:16" x14ac:dyDescent="0.25">
      <c r="A39" s="46" t="s">
        <v>24</v>
      </c>
      <c r="C39" s="198">
        <f t="shared" ref="C39" si="14">C30-C16</f>
        <v>181068.78771</v>
      </c>
      <c r="D39" s="202">
        <f t="shared" ref="D39" si="15">D30-D16</f>
        <v>0</v>
      </c>
      <c r="E39" s="41">
        <f t="shared" ref="E39:M39" si="16">E30-E16</f>
        <v>5834.8300000000017</v>
      </c>
      <c r="F39" s="41">
        <f t="shared" si="16"/>
        <v>22552.570000000036</v>
      </c>
      <c r="G39" s="108">
        <f t="shared" si="16"/>
        <v>53594.760000000009</v>
      </c>
      <c r="H39" s="40">
        <f t="shared" si="16"/>
        <v>50233.649999999994</v>
      </c>
      <c r="I39" s="41">
        <f t="shared" si="16"/>
        <v>-10376.219999999972</v>
      </c>
      <c r="J39" s="61">
        <f t="shared" si="16"/>
        <v>-16453.540000000023</v>
      </c>
      <c r="K39" s="120">
        <f t="shared" si="16"/>
        <v>3141.6279400000203</v>
      </c>
      <c r="L39" s="41">
        <f t="shared" si="16"/>
        <v>-27643.28482000003</v>
      </c>
      <c r="M39" s="61">
        <f t="shared" si="16"/>
        <v>-180950.88784000001</v>
      </c>
    </row>
    <row r="40" spans="1:16" x14ac:dyDescent="0.25">
      <c r="A40" s="46" t="s">
        <v>107</v>
      </c>
      <c r="C40" s="198">
        <f t="shared" ref="C40" si="17">C31-C17</f>
        <v>38651.877660000013</v>
      </c>
      <c r="D40" s="202">
        <f t="shared" ref="D40:M40" si="18">D31-D17</f>
        <v>0</v>
      </c>
      <c r="E40" s="41">
        <f t="shared" si="18"/>
        <v>-3767.010000000002</v>
      </c>
      <c r="F40" s="41">
        <f t="shared" si="18"/>
        <v>-3590.760000000002</v>
      </c>
      <c r="G40" s="108">
        <f t="shared" si="18"/>
        <v>-4016.2900000000009</v>
      </c>
      <c r="H40" s="40">
        <f t="shared" si="18"/>
        <v>4222.9600000000028</v>
      </c>
      <c r="I40" s="41">
        <f t="shared" si="18"/>
        <v>4006.2000000000007</v>
      </c>
      <c r="J40" s="61">
        <f t="shared" si="18"/>
        <v>3797.0299999999988</v>
      </c>
      <c r="K40" s="120">
        <f t="shared" si="18"/>
        <v>5839.9990500000004</v>
      </c>
      <c r="L40" s="41">
        <f t="shared" si="18"/>
        <v>5765.4173300000002</v>
      </c>
      <c r="M40" s="61">
        <f t="shared" si="18"/>
        <v>-17006.901119999999</v>
      </c>
    </row>
    <row r="41" spans="1:16" x14ac:dyDescent="0.25">
      <c r="A41" s="46" t="s">
        <v>108</v>
      </c>
      <c r="C41" s="198">
        <f t="shared" ref="C41" si="19">C32-C18</f>
        <v>76001.174119999981</v>
      </c>
      <c r="D41" s="202">
        <f t="shared" ref="D41:M41" si="20">D32-D18</f>
        <v>0</v>
      </c>
      <c r="E41" s="41">
        <f t="shared" si="20"/>
        <v>-6057.1299999999974</v>
      </c>
      <c r="F41" s="41">
        <f t="shared" si="20"/>
        <v>2578.0900000000038</v>
      </c>
      <c r="G41" s="108">
        <f t="shared" si="20"/>
        <v>-2494.9500000000116</v>
      </c>
      <c r="H41" s="40">
        <f t="shared" si="20"/>
        <v>1253.3399999999965</v>
      </c>
      <c r="I41" s="41">
        <f t="shared" si="20"/>
        <v>5562.989999999998</v>
      </c>
      <c r="J41" s="61">
        <f t="shared" si="20"/>
        <v>436.54000000000087</v>
      </c>
      <c r="K41" s="120">
        <f t="shared" si="20"/>
        <v>-377.54349999999977</v>
      </c>
      <c r="L41" s="41">
        <f t="shared" si="20"/>
        <v>-2934.3113000000012</v>
      </c>
      <c r="M41" s="61">
        <f t="shared" si="20"/>
        <v>-40748.553110000001</v>
      </c>
    </row>
    <row r="42" spans="1:16" x14ac:dyDescent="0.25">
      <c r="A42" s="46" t="s">
        <v>109</v>
      </c>
      <c r="C42" s="198">
        <f t="shared" ref="C42" si="21">C33-C19</f>
        <v>78114.002110000001</v>
      </c>
      <c r="D42" s="202">
        <f t="shared" ref="D42:M42" si="22">D33-D19</f>
        <v>0</v>
      </c>
      <c r="E42" s="41">
        <f t="shared" si="22"/>
        <v>-11930.55</v>
      </c>
      <c r="F42" s="41">
        <f t="shared" si="22"/>
        <v>-2671.2500000000073</v>
      </c>
      <c r="G42" s="108">
        <f t="shared" si="22"/>
        <v>-5908.43</v>
      </c>
      <c r="H42" s="40">
        <f t="shared" si="22"/>
        <v>-377.49999999999272</v>
      </c>
      <c r="I42" s="41">
        <f t="shared" si="22"/>
        <v>7950.2799999999916</v>
      </c>
      <c r="J42" s="61">
        <f t="shared" si="22"/>
        <v>3308.7900000000009</v>
      </c>
      <c r="K42" s="120">
        <f t="shared" si="22"/>
        <v>5608.1902300000002</v>
      </c>
      <c r="L42" s="41">
        <f t="shared" si="22"/>
        <v>3587.2103700000007</v>
      </c>
      <c r="M42" s="61">
        <f t="shared" si="22"/>
        <v>-35283.71948</v>
      </c>
    </row>
    <row r="43" spans="1:16" x14ac:dyDescent="0.25">
      <c r="A43" s="46" t="s">
        <v>110</v>
      </c>
      <c r="C43" s="198">
        <f t="shared" ref="C43" si="23">C34-C20</f>
        <v>-969.5899800000002</v>
      </c>
      <c r="D43" s="202">
        <f t="shared" ref="D43:M43" si="24">D34-D20</f>
        <v>0</v>
      </c>
      <c r="E43" s="41">
        <f t="shared" si="24"/>
        <v>980.32999999999993</v>
      </c>
      <c r="F43" s="41">
        <f t="shared" si="24"/>
        <v>2372.34</v>
      </c>
      <c r="G43" s="108">
        <f t="shared" si="24"/>
        <v>1845.9100000000003</v>
      </c>
      <c r="H43" s="40">
        <f t="shared" si="24"/>
        <v>1232.0600000000004</v>
      </c>
      <c r="I43" s="41">
        <f t="shared" si="24"/>
        <v>1170.52</v>
      </c>
      <c r="J43" s="61">
        <f t="shared" si="24"/>
        <v>495.21000000000004</v>
      </c>
      <c r="K43" s="120">
        <f t="shared" si="24"/>
        <v>1044.7861500000001</v>
      </c>
      <c r="L43" s="41">
        <f t="shared" si="24"/>
        <v>1224.8147000000001</v>
      </c>
      <c r="M43" s="61">
        <f t="shared" si="24"/>
        <v>-1995.0062500000001</v>
      </c>
    </row>
    <row r="44" spans="1:16" x14ac:dyDescent="0.25">
      <c r="C44" s="99"/>
      <c r="D44" s="193"/>
      <c r="E44" s="31"/>
      <c r="F44" s="17"/>
      <c r="G44" s="17"/>
      <c r="H44" s="10"/>
      <c r="I44" s="17"/>
      <c r="J44" s="11"/>
      <c r="K44" s="17"/>
      <c r="L44" s="17"/>
      <c r="M44" s="11"/>
    </row>
    <row r="45" spans="1:16" ht="15.75" thickBot="1" x14ac:dyDescent="0.3">
      <c r="A45" s="46" t="s">
        <v>53</v>
      </c>
      <c r="C45" s="99"/>
      <c r="D45" s="193"/>
      <c r="E45" s="17"/>
      <c r="F45" s="17"/>
      <c r="G45" s="17"/>
      <c r="H45" s="10"/>
      <c r="I45" s="17"/>
      <c r="J45" s="11"/>
      <c r="K45" s="17"/>
      <c r="L45" s="17"/>
      <c r="M45" s="11"/>
    </row>
    <row r="46" spans="1:16" x14ac:dyDescent="0.25">
      <c r="A46" s="46" t="s">
        <v>24</v>
      </c>
      <c r="B46" s="310">
        <v>-341454.25770999986</v>
      </c>
      <c r="C46" s="198">
        <f t="shared" ref="C46:C50" si="25">+B46+C39+B54</f>
        <v>-160385.46999999986</v>
      </c>
      <c r="D46" s="202">
        <f t="shared" ref="D46:D50" si="26">+C46+D39+C54</f>
        <v>-158802.61999999985</v>
      </c>
      <c r="E46" s="41">
        <f t="shared" ref="E46:E50" si="27">+D46+E39+D54</f>
        <v>-152967.78999999986</v>
      </c>
      <c r="F46" s="41">
        <f t="shared" ref="F46:F50" si="28">+E46+F39+E54</f>
        <v>-131210.92999999982</v>
      </c>
      <c r="G46" s="108">
        <f t="shared" ref="G46:G50" si="29">+F46+G39+F54</f>
        <v>-78350.02999999981</v>
      </c>
      <c r="H46" s="40">
        <f t="shared" ref="H46:H50" si="30">+G46+H39+G54</f>
        <v>-28671.779999999817</v>
      </c>
      <c r="I46" s="41">
        <f t="shared" ref="I46:I50" si="31">+H46+I39+H54</f>
        <v>-39335.679999999789</v>
      </c>
      <c r="J46" s="61">
        <f t="shared" ref="J46:J50" si="32">+I46+J39+I54</f>
        <v>-55972.039999999812</v>
      </c>
      <c r="K46" s="120">
        <f t="shared" ref="K46:K50" si="33">+J46+K39+J54</f>
        <v>-53086.312059999793</v>
      </c>
      <c r="L46" s="41">
        <f t="shared" ref="L46:L50" si="34">+K46+L39+K54</f>
        <v>-81022.54687999982</v>
      </c>
      <c r="M46" s="61">
        <f t="shared" ref="M46:M50" si="35">+L46+M39+L54</f>
        <v>-262333.61471999984</v>
      </c>
    </row>
    <row r="47" spans="1:16" x14ac:dyDescent="0.25">
      <c r="A47" s="46" t="s">
        <v>107</v>
      </c>
      <c r="B47" s="312">
        <v>-124558.85766000007</v>
      </c>
      <c r="C47" s="198">
        <f t="shared" si="25"/>
        <v>-85906.980000000054</v>
      </c>
      <c r="D47" s="202">
        <f t="shared" si="26"/>
        <v>-85007.58000000006</v>
      </c>
      <c r="E47" s="41">
        <f t="shared" si="27"/>
        <v>-88774.590000000055</v>
      </c>
      <c r="F47" s="41">
        <f t="shared" si="28"/>
        <v>-92808.880000000063</v>
      </c>
      <c r="G47" s="108">
        <f t="shared" si="29"/>
        <v>-97293.920000000071</v>
      </c>
      <c r="H47" s="40">
        <f t="shared" si="30"/>
        <v>-93574.270000000062</v>
      </c>
      <c r="I47" s="41">
        <f t="shared" si="31"/>
        <v>-90079.83000000006</v>
      </c>
      <c r="J47" s="61">
        <f t="shared" si="32"/>
        <v>-86775.810000000056</v>
      </c>
      <c r="K47" s="120">
        <f t="shared" si="33"/>
        <v>-81411.080950000061</v>
      </c>
      <c r="L47" s="41">
        <f t="shared" si="34"/>
        <v>-76097.65362000007</v>
      </c>
      <c r="M47" s="61">
        <f t="shared" si="35"/>
        <v>-93527.874740000072</v>
      </c>
    </row>
    <row r="48" spans="1:16" x14ac:dyDescent="0.25">
      <c r="A48" s="46" t="s">
        <v>108</v>
      </c>
      <c r="B48" s="312">
        <v>-35828.044119999999</v>
      </c>
      <c r="C48" s="198">
        <f t="shared" si="25"/>
        <v>40173.129999999983</v>
      </c>
      <c r="D48" s="202">
        <f t="shared" si="26"/>
        <v>39901.419999999984</v>
      </c>
      <c r="E48" s="41">
        <f t="shared" si="27"/>
        <v>33844.289999999986</v>
      </c>
      <c r="F48" s="41">
        <f t="shared" si="28"/>
        <v>36610.599999999991</v>
      </c>
      <c r="G48" s="108">
        <f t="shared" si="29"/>
        <v>34297.569999999978</v>
      </c>
      <c r="H48" s="40">
        <f t="shared" si="30"/>
        <v>35738.659999999974</v>
      </c>
      <c r="I48" s="41">
        <f t="shared" si="31"/>
        <v>41489.439999999973</v>
      </c>
      <c r="J48" s="61">
        <f t="shared" si="32"/>
        <v>42133.219999999972</v>
      </c>
      <c r="K48" s="120">
        <f t="shared" si="33"/>
        <v>41980.326499999974</v>
      </c>
      <c r="L48" s="41">
        <f t="shared" si="34"/>
        <v>39272.035199999969</v>
      </c>
      <c r="M48" s="61">
        <f t="shared" si="35"/>
        <v>-1258.1679100000315</v>
      </c>
    </row>
    <row r="49" spans="1:16" x14ac:dyDescent="0.25">
      <c r="A49" s="46" t="s">
        <v>109</v>
      </c>
      <c r="B49" s="312">
        <v>-90757.162110000005</v>
      </c>
      <c r="C49" s="198">
        <f t="shared" si="25"/>
        <v>-12643.160000000003</v>
      </c>
      <c r="D49" s="202">
        <f t="shared" si="26"/>
        <v>-12384.360000000004</v>
      </c>
      <c r="E49" s="41">
        <f t="shared" si="27"/>
        <v>-24314.910000000003</v>
      </c>
      <c r="F49" s="41">
        <f t="shared" si="28"/>
        <v>-27079.830000000009</v>
      </c>
      <c r="G49" s="108">
        <f t="shared" si="29"/>
        <v>-33120.850000000006</v>
      </c>
      <c r="H49" s="40">
        <f t="shared" si="30"/>
        <v>-33657.689999999995</v>
      </c>
      <c r="I49" s="41">
        <f t="shared" si="31"/>
        <v>-25886.410000000003</v>
      </c>
      <c r="J49" s="61">
        <f t="shared" si="32"/>
        <v>-22737.500000000004</v>
      </c>
      <c r="K49" s="120">
        <f t="shared" si="33"/>
        <v>-17260.039770000003</v>
      </c>
      <c r="L49" s="41">
        <f t="shared" si="34"/>
        <v>-13780.369400000003</v>
      </c>
      <c r="M49" s="61">
        <f t="shared" si="35"/>
        <v>-49147.558880000004</v>
      </c>
    </row>
    <row r="50" spans="1:16" ht="15.75" thickBot="1" x14ac:dyDescent="0.3">
      <c r="A50" s="46" t="s">
        <v>110</v>
      </c>
      <c r="B50" s="311">
        <v>-20037.430019999989</v>
      </c>
      <c r="C50" s="198">
        <f t="shared" si="25"/>
        <v>-21007.01999999999</v>
      </c>
      <c r="D50" s="202">
        <f t="shared" si="26"/>
        <v>-20809.19999999999</v>
      </c>
      <c r="E50" s="41">
        <f t="shared" si="27"/>
        <v>-19828.869999999988</v>
      </c>
      <c r="F50" s="41">
        <f t="shared" si="28"/>
        <v>-17560.249999999989</v>
      </c>
      <c r="G50" s="108">
        <f t="shared" si="29"/>
        <v>-15810.889999999989</v>
      </c>
      <c r="H50" s="40">
        <f t="shared" si="30"/>
        <v>-14667.219999999987</v>
      </c>
      <c r="I50" s="41">
        <f t="shared" si="31"/>
        <v>-13578.439999999986</v>
      </c>
      <c r="J50" s="61">
        <f t="shared" si="32"/>
        <v>-13159.059999999985</v>
      </c>
      <c r="K50" s="120">
        <f t="shared" si="33"/>
        <v>-12186.133849999986</v>
      </c>
      <c r="L50" s="41">
        <f t="shared" si="34"/>
        <v>-11029.429149999985</v>
      </c>
      <c r="M50" s="61">
        <f t="shared" si="35"/>
        <v>-13086.835399999985</v>
      </c>
    </row>
    <row r="51" spans="1:16" x14ac:dyDescent="0.25">
      <c r="C51" s="99"/>
      <c r="D51" s="193"/>
      <c r="E51" s="17"/>
      <c r="F51" s="17"/>
      <c r="G51" s="17"/>
      <c r="H51" s="10"/>
      <c r="I51" s="17"/>
      <c r="J51" s="11"/>
      <c r="K51" s="17"/>
      <c r="L51" s="17"/>
      <c r="M51" s="11"/>
    </row>
    <row r="52" spans="1:16" x14ac:dyDescent="0.25">
      <c r="A52" s="39" t="s">
        <v>124</v>
      </c>
      <c r="B52" s="39"/>
      <c r="C52" s="104"/>
      <c r="D52" s="203"/>
      <c r="E52" s="83">
        <f>+'PCR Cycle 2'!E50</f>
        <v>5.1044699999999998E-3</v>
      </c>
      <c r="F52" s="83">
        <f>+'PCR Cycle 2'!F50</f>
        <v>5.1503699999999996E-3</v>
      </c>
      <c r="G52" s="83">
        <f>+'PCR Cycle 2'!G50</f>
        <v>5.2820799999999998E-3</v>
      </c>
      <c r="H52" s="84">
        <f>+'PCR Cycle 2'!H50</f>
        <v>5.3483699999999999E-3</v>
      </c>
      <c r="I52" s="83">
        <f>+'PCR Cycle 2'!I50</f>
        <v>5.3539599999999996E-3</v>
      </c>
      <c r="J52" s="92">
        <f>+'PCR Cycle 2'!J50</f>
        <v>5.3597599999999999E-3</v>
      </c>
      <c r="K52" s="83">
        <f>+'PCR Cycle 2'!K50</f>
        <v>5.3597599999999999E-3</v>
      </c>
      <c r="L52" s="83">
        <f>+'PCR Cycle 2'!L50</f>
        <v>5.3597599999999999E-3</v>
      </c>
      <c r="M52" s="85"/>
    </row>
    <row r="53" spans="1:16" x14ac:dyDescent="0.25">
      <c r="A53" s="39" t="s">
        <v>37</v>
      </c>
      <c r="B53" s="39"/>
      <c r="C53" s="106"/>
      <c r="D53" s="204"/>
      <c r="E53" s="83"/>
      <c r="F53" s="83"/>
      <c r="G53" s="83"/>
      <c r="H53" s="84"/>
      <c r="I53" s="83"/>
      <c r="J53" s="85"/>
      <c r="K53" s="83"/>
      <c r="L53" s="83"/>
      <c r="M53" s="85"/>
    </row>
    <row r="54" spans="1:16" x14ac:dyDescent="0.25">
      <c r="A54" s="46" t="s">
        <v>24</v>
      </c>
      <c r="C54" s="314">
        <v>1582.85</v>
      </c>
      <c r="D54" s="202"/>
      <c r="E54" s="244">
        <f t="shared" ref="E54:M58" si="36">ROUND((D46+D54+E39/2)*E$52,2)</f>
        <v>-795.71</v>
      </c>
      <c r="F54" s="41">
        <f t="shared" ref="F54:F58" si="37">ROUND((E46+E54+F39/2)*F$52,2)</f>
        <v>-733.86</v>
      </c>
      <c r="G54" s="108">
        <f t="shared" ref="G54:G58" si="38">ROUND((F46+F54+G39/2)*G$52,2)</f>
        <v>-555.4</v>
      </c>
      <c r="H54" s="40">
        <f t="shared" ref="H54:H58" si="39">ROUND((G46+G54+H39/2)*H$52,2)</f>
        <v>-287.68</v>
      </c>
      <c r="I54" s="120">
        <f t="shared" ref="I54:I58" si="40">ROUND((H46+H54+I39/2)*I$52,2)</f>
        <v>-182.82</v>
      </c>
      <c r="J54" s="61">
        <f t="shared" ref="J54:J58" si="41">ROUND((I46+I54+J39/2)*J$52,2)</f>
        <v>-255.9</v>
      </c>
      <c r="K54" s="159">
        <f t="shared" ref="K54:K58" si="42">ROUND((J46+J54+K39/2)*K$52,2)</f>
        <v>-292.95</v>
      </c>
      <c r="L54" s="108">
        <f t="shared" ref="L54:L58" si="43">ROUND((K46+K54+L39/2)*L$52,2)</f>
        <v>-360.18</v>
      </c>
      <c r="M54" s="61">
        <f t="shared" si="36"/>
        <v>0</v>
      </c>
      <c r="P54" s="186">
        <f t="shared" ref="P54:P58" si="44">-SUM(K54:M54)</f>
        <v>653.13</v>
      </c>
    </row>
    <row r="55" spans="1:16" x14ac:dyDescent="0.25">
      <c r="A55" s="46" t="s">
        <v>107</v>
      </c>
      <c r="C55" s="314">
        <v>899.4</v>
      </c>
      <c r="D55" s="202"/>
      <c r="E55" s="244">
        <f t="shared" si="36"/>
        <v>-443.53</v>
      </c>
      <c r="F55" s="41">
        <f t="shared" si="37"/>
        <v>-468.75</v>
      </c>
      <c r="G55" s="108">
        <f t="shared" si="38"/>
        <v>-503.31</v>
      </c>
      <c r="H55" s="40">
        <f t="shared" si="39"/>
        <v>-511.76</v>
      </c>
      <c r="I55" s="120">
        <f t="shared" si="40"/>
        <v>-493.01</v>
      </c>
      <c r="J55" s="61">
        <f t="shared" si="41"/>
        <v>-475.27</v>
      </c>
      <c r="K55" s="159">
        <f t="shared" si="42"/>
        <v>-451.99</v>
      </c>
      <c r="L55" s="108">
        <f t="shared" si="43"/>
        <v>-423.32</v>
      </c>
      <c r="M55" s="61"/>
      <c r="P55" s="186">
        <f t="shared" si="44"/>
        <v>875.31</v>
      </c>
    </row>
    <row r="56" spans="1:16" x14ac:dyDescent="0.25">
      <c r="A56" s="46" t="s">
        <v>108</v>
      </c>
      <c r="C56" s="314">
        <v>-271.70999999999998</v>
      </c>
      <c r="D56" s="202"/>
      <c r="E56" s="244">
        <f t="shared" si="36"/>
        <v>188.22</v>
      </c>
      <c r="F56" s="41">
        <f t="shared" si="37"/>
        <v>181.92</v>
      </c>
      <c r="G56" s="108">
        <f t="shared" si="38"/>
        <v>187.75</v>
      </c>
      <c r="H56" s="40">
        <f t="shared" si="39"/>
        <v>187.79</v>
      </c>
      <c r="I56" s="120">
        <f t="shared" si="40"/>
        <v>207.24</v>
      </c>
      <c r="J56" s="61">
        <f t="shared" si="41"/>
        <v>224.65</v>
      </c>
      <c r="K56" s="159">
        <f t="shared" si="42"/>
        <v>226.02</v>
      </c>
      <c r="L56" s="108">
        <f t="shared" si="43"/>
        <v>218.35</v>
      </c>
      <c r="M56" s="61"/>
      <c r="P56" s="186">
        <f t="shared" si="44"/>
        <v>-444.37</v>
      </c>
    </row>
    <row r="57" spans="1:16" x14ac:dyDescent="0.25">
      <c r="A57" s="46" t="s">
        <v>109</v>
      </c>
      <c r="C57" s="314">
        <v>258.8</v>
      </c>
      <c r="D57" s="202"/>
      <c r="E57" s="244">
        <f t="shared" si="36"/>
        <v>-93.67</v>
      </c>
      <c r="F57" s="41">
        <f t="shared" si="37"/>
        <v>-132.59</v>
      </c>
      <c r="G57" s="108">
        <f t="shared" si="38"/>
        <v>-159.34</v>
      </c>
      <c r="H57" s="40">
        <f t="shared" si="39"/>
        <v>-179</v>
      </c>
      <c r="I57" s="120">
        <f t="shared" si="40"/>
        <v>-159.88</v>
      </c>
      <c r="J57" s="61">
        <f t="shared" si="41"/>
        <v>-130.72999999999999</v>
      </c>
      <c r="K57" s="159">
        <f t="shared" si="42"/>
        <v>-107.54</v>
      </c>
      <c r="L57" s="108">
        <f t="shared" si="43"/>
        <v>-83.47</v>
      </c>
      <c r="M57" s="61"/>
      <c r="P57" s="186">
        <f t="shared" si="44"/>
        <v>191.01</v>
      </c>
    </row>
    <row r="58" spans="1:16" ht="15.75" thickBot="1" x14ac:dyDescent="0.3">
      <c r="A58" s="46" t="s">
        <v>110</v>
      </c>
      <c r="C58" s="314">
        <v>197.82</v>
      </c>
      <c r="D58" s="202"/>
      <c r="E58" s="244">
        <f t="shared" si="36"/>
        <v>-103.72</v>
      </c>
      <c r="F58" s="41">
        <f t="shared" si="37"/>
        <v>-96.55</v>
      </c>
      <c r="G58" s="108">
        <f t="shared" si="38"/>
        <v>-88.39</v>
      </c>
      <c r="H58" s="40">
        <f t="shared" si="39"/>
        <v>-81.739999999999995</v>
      </c>
      <c r="I58" s="120">
        <f t="shared" si="40"/>
        <v>-75.83</v>
      </c>
      <c r="J58" s="61">
        <f t="shared" si="41"/>
        <v>-71.86</v>
      </c>
      <c r="K58" s="159">
        <f t="shared" si="42"/>
        <v>-68.11</v>
      </c>
      <c r="L58" s="108">
        <f t="shared" si="43"/>
        <v>-62.4</v>
      </c>
      <c r="M58" s="61">
        <f t="shared" ref="M58" si="45">ROUND((L50+L58+M43/2)*M$52,2)</f>
        <v>0</v>
      </c>
      <c r="P58" s="186">
        <f t="shared" si="44"/>
        <v>130.51</v>
      </c>
    </row>
    <row r="59" spans="1:16" ht="16.5" thickTop="1" thickBot="1" x14ac:dyDescent="0.3">
      <c r="A59" s="54" t="s">
        <v>22</v>
      </c>
      <c r="B59" s="54"/>
      <c r="C59" s="199">
        <v>0</v>
      </c>
      <c r="D59" s="205"/>
      <c r="E59" s="42">
        <f>SUM(E54:E58)+SUM(E46:E50)-E62</f>
        <v>0</v>
      </c>
      <c r="F59" s="42">
        <f t="shared" ref="F59:M59" si="46">SUM(F54:F58)+SUM(F46:F50)-F62</f>
        <v>0</v>
      </c>
      <c r="G59" s="50">
        <f t="shared" si="46"/>
        <v>0</v>
      </c>
      <c r="H59" s="51">
        <f t="shared" si="46"/>
        <v>0</v>
      </c>
      <c r="I59" s="42">
        <f t="shared" si="46"/>
        <v>2.3283064365386963E-10</v>
      </c>
      <c r="J59" s="62">
        <f t="shared" si="46"/>
        <v>2.6193447411060333E-10</v>
      </c>
      <c r="K59" s="160">
        <f t="shared" si="46"/>
        <v>2.3283064365386963E-10</v>
      </c>
      <c r="L59" s="50">
        <f t="shared" si="46"/>
        <v>0</v>
      </c>
      <c r="M59" s="62">
        <f t="shared" si="46"/>
        <v>0</v>
      </c>
    </row>
    <row r="60" spans="1:16" ht="16.5" thickTop="1" thickBot="1" x14ac:dyDescent="0.3">
      <c r="A60" s="54" t="s">
        <v>23</v>
      </c>
      <c r="B60" s="54"/>
      <c r="C60" s="199">
        <v>0</v>
      </c>
      <c r="D60" s="205"/>
      <c r="E60" s="42">
        <f>SUM(E54:E58)-E36</f>
        <v>-9.9999999999909051E-3</v>
      </c>
      <c r="F60" s="42">
        <f t="shared" ref="F60:J60" si="47">SUM(F54:F58)-F36</f>
        <v>-2.0000000000209184E-2</v>
      </c>
      <c r="G60" s="50">
        <f t="shared" ref="G60:I60" si="48">SUM(G54:G58)-G36</f>
        <v>-9.9999999999909051E-3</v>
      </c>
      <c r="H60" s="51">
        <f t="shared" si="48"/>
        <v>-1.0000000000104592E-2</v>
      </c>
      <c r="I60" s="42">
        <f t="shared" si="48"/>
        <v>-1.999999999998181E-2</v>
      </c>
      <c r="J60" s="62">
        <f t="shared" si="47"/>
        <v>-9.9999999999909051E-3</v>
      </c>
      <c r="K60" s="161">
        <f t="shared" ref="K60:M60" si="49">SUM(K54:K58)-K36</f>
        <v>0</v>
      </c>
      <c r="L60" s="42">
        <f t="shared" si="49"/>
        <v>0</v>
      </c>
      <c r="M60" s="42">
        <f t="shared" si="49"/>
        <v>0</v>
      </c>
    </row>
    <row r="61" spans="1:16" ht="16.5" thickTop="1" thickBot="1" x14ac:dyDescent="0.3">
      <c r="C61" s="99"/>
      <c r="D61" s="193"/>
      <c r="E61" s="17"/>
      <c r="F61" s="17"/>
      <c r="G61" s="17"/>
      <c r="H61" s="10"/>
      <c r="I61" s="17"/>
      <c r="J61" s="11"/>
      <c r="K61" s="17"/>
      <c r="L61" s="17"/>
      <c r="M61" s="11"/>
    </row>
    <row r="62" spans="1:16" ht="15.75" thickBot="1" x14ac:dyDescent="0.3">
      <c r="A62" s="46" t="s">
        <v>36</v>
      </c>
      <c r="B62" s="116">
        <f>SUM(B46:B50)</f>
        <v>-612635.75161999988</v>
      </c>
      <c r="C62" s="198">
        <f>(C13-SUM(C16:C20))+SUM(C54:C58)+B62</f>
        <v>-237102.33999999991</v>
      </c>
      <c r="D62" s="202">
        <f>(D13-SUM(D16:D20))+SUM(D54:D58)+C62</f>
        <v>-237102.33999999991</v>
      </c>
      <c r="E62" s="41">
        <f>(E13-SUM(E16:E20))+SUM(E54:E58)+D62</f>
        <v>-253290.27999999994</v>
      </c>
      <c r="F62" s="41">
        <f t="shared" ref="F62:M62" si="50">(F13-SUM(F16:F20))+SUM(F54:F58)+E62</f>
        <v>-233299.11999999994</v>
      </c>
      <c r="G62" s="108">
        <f t="shared" si="50"/>
        <v>-191396.81</v>
      </c>
      <c r="H62" s="40">
        <f t="shared" si="50"/>
        <v>-135704.69000000006</v>
      </c>
      <c r="I62" s="41">
        <f t="shared" si="50"/>
        <v>-128095.2200000001</v>
      </c>
      <c r="J62" s="61">
        <f t="shared" si="50"/>
        <v>-137220.30000000013</v>
      </c>
      <c r="K62" s="159">
        <f t="shared" si="50"/>
        <v>-122657.81013000011</v>
      </c>
      <c r="L62" s="108">
        <f t="shared" si="50"/>
        <v>-143368.98385000011</v>
      </c>
      <c r="M62" s="61">
        <f t="shared" si="50"/>
        <v>-419354.05165000004</v>
      </c>
    </row>
    <row r="63" spans="1:16" x14ac:dyDescent="0.25">
      <c r="A63" s="46" t="s">
        <v>12</v>
      </c>
      <c r="C63" s="117"/>
      <c r="D63" s="206"/>
      <c r="E63" s="17"/>
      <c r="F63" s="17"/>
      <c r="G63" s="17"/>
      <c r="H63" s="10"/>
      <c r="I63" s="17"/>
      <c r="J63" s="11"/>
      <c r="K63" s="17"/>
      <c r="L63" s="17"/>
      <c r="M63" s="11"/>
    </row>
    <row r="64" spans="1:16" ht="15.75" thickBot="1" x14ac:dyDescent="0.3">
      <c r="A64" s="37"/>
      <c r="B64" s="37"/>
      <c r="C64" s="144"/>
      <c r="D64" s="207"/>
      <c r="E64" s="44"/>
      <c r="F64" s="44"/>
      <c r="G64" s="44"/>
      <c r="H64" s="43"/>
      <c r="I64" s="44"/>
      <c r="J64" s="45"/>
      <c r="K64" s="44"/>
      <c r="L64" s="44"/>
      <c r="M64" s="45"/>
    </row>
    <row r="66" spans="1:13" x14ac:dyDescent="0.25">
      <c r="A66" s="69" t="s">
        <v>11</v>
      </c>
      <c r="B66" s="69"/>
      <c r="C66" s="69"/>
      <c r="D66" s="69"/>
    </row>
    <row r="67" spans="1:13" ht="34.5" customHeight="1" x14ac:dyDescent="0.25">
      <c r="A67" s="331" t="s">
        <v>248</v>
      </c>
      <c r="B67" s="331"/>
      <c r="C67" s="331"/>
      <c r="D67" s="331"/>
      <c r="E67" s="331"/>
      <c r="F67" s="331"/>
      <c r="G67" s="331"/>
      <c r="H67" s="331"/>
      <c r="I67" s="331"/>
      <c r="J67" s="331"/>
      <c r="K67" s="231"/>
      <c r="L67" s="232"/>
      <c r="M67" s="232"/>
    </row>
    <row r="68" spans="1:13" ht="55.5" customHeight="1" x14ac:dyDescent="0.25">
      <c r="A68" s="331" t="s">
        <v>247</v>
      </c>
      <c r="B68" s="331"/>
      <c r="C68" s="331"/>
      <c r="D68" s="331"/>
      <c r="E68" s="331"/>
      <c r="F68" s="331"/>
      <c r="G68" s="331"/>
      <c r="H68" s="331"/>
      <c r="I68" s="331"/>
      <c r="J68" s="331"/>
      <c r="K68" s="331"/>
      <c r="L68" s="232"/>
      <c r="M68" s="232"/>
    </row>
    <row r="69" spans="1:13" ht="33.75" customHeight="1" x14ac:dyDescent="0.25">
      <c r="A69" s="331" t="s">
        <v>249</v>
      </c>
      <c r="B69" s="331"/>
      <c r="C69" s="331"/>
      <c r="D69" s="331"/>
      <c r="E69" s="331"/>
      <c r="F69" s="331"/>
      <c r="G69" s="331"/>
      <c r="H69" s="331"/>
      <c r="I69" s="331"/>
      <c r="J69" s="331"/>
      <c r="K69" s="231"/>
      <c r="L69" s="232"/>
      <c r="M69" s="232"/>
    </row>
    <row r="70" spans="1:13" x14ac:dyDescent="0.25">
      <c r="A70" s="3" t="s">
        <v>67</v>
      </c>
      <c r="B70" s="3"/>
      <c r="C70" s="3"/>
      <c r="D70" s="3"/>
    </row>
    <row r="71" spans="1:13" x14ac:dyDescent="0.25">
      <c r="A71" s="63" t="s">
        <v>240</v>
      </c>
      <c r="B71" s="3"/>
      <c r="C71" s="3"/>
      <c r="D71" s="3"/>
    </row>
    <row r="72" spans="1:13" x14ac:dyDescent="0.25">
      <c r="A72" s="3" t="s">
        <v>70</v>
      </c>
      <c r="B72" s="3"/>
      <c r="C72" s="3"/>
      <c r="D72" s="3"/>
    </row>
    <row r="73" spans="1:13" x14ac:dyDescent="0.25">
      <c r="A73" s="3"/>
      <c r="B73" s="3"/>
      <c r="C73" s="3"/>
      <c r="D73" s="3"/>
    </row>
    <row r="74" spans="1:13" ht="33" customHeight="1" x14ac:dyDescent="0.25">
      <c r="A74" s="327"/>
      <c r="B74" s="327"/>
      <c r="C74" s="327"/>
      <c r="D74" s="327"/>
      <c r="E74" s="327"/>
      <c r="F74" s="327"/>
      <c r="G74" s="327"/>
    </row>
  </sheetData>
  <mergeCells count="7">
    <mergeCell ref="A74:G74"/>
    <mergeCell ref="A69:J69"/>
    <mergeCell ref="E11:G11"/>
    <mergeCell ref="H11:J11"/>
    <mergeCell ref="K11:M11"/>
    <mergeCell ref="A67:J67"/>
    <mergeCell ref="A68:K68"/>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4"/>
  <sheetViews>
    <sheetView workbookViewId="0">
      <selection activeCell="I9" sqref="I9"/>
    </sheetView>
  </sheetViews>
  <sheetFormatPr defaultRowHeight="15" x14ac:dyDescent="0.25"/>
  <cols>
    <col min="1" max="1" width="22.42578125" customWidth="1"/>
    <col min="2" max="2" width="15.28515625" bestFit="1" customWidth="1"/>
    <col min="3" max="3" width="14.28515625" style="46" customWidth="1"/>
    <col min="4" max="4" width="13.28515625" bestFit="1" customWidth="1"/>
    <col min="5" max="5" width="10.85546875" bestFit="1" customWidth="1"/>
    <col min="6" max="6" width="12.28515625" bestFit="1" customWidth="1"/>
    <col min="7" max="7" width="13.140625" customWidth="1"/>
    <col min="10" max="10" width="12.28515625" bestFit="1" customWidth="1"/>
  </cols>
  <sheetData>
    <row r="1" spans="1:7" x14ac:dyDescent="0.25">
      <c r="A1" s="63" t="str">
        <f>+'PPC Cycle 3'!A1</f>
        <v>Evergy Metro, Inc. - DSIM Rider Update Filed 12/01/2023</v>
      </c>
      <c r="B1" s="46"/>
      <c r="D1" s="46"/>
      <c r="E1" s="46"/>
    </row>
    <row r="2" spans="1:7" x14ac:dyDescent="0.25">
      <c r="A2" s="9" t="str">
        <f>+'PPC Cycle 3'!A2</f>
        <v>Projections for Cycle 3 January 2024 - December 2024 DSIM</v>
      </c>
      <c r="B2" s="46"/>
      <c r="D2" s="46"/>
      <c r="E2" s="46"/>
    </row>
    <row r="3" spans="1:7" ht="45.75" customHeight="1" x14ac:dyDescent="0.25">
      <c r="A3" s="46"/>
      <c r="B3" s="325" t="s">
        <v>98</v>
      </c>
      <c r="C3" s="325"/>
      <c r="D3" s="325"/>
      <c r="E3" s="46"/>
    </row>
    <row r="4" spans="1:7" ht="90" x14ac:dyDescent="0.25">
      <c r="A4" s="46"/>
      <c r="B4" s="70" t="s">
        <v>100</v>
      </c>
      <c r="C4" s="70" t="s">
        <v>101</v>
      </c>
      <c r="D4" s="70" t="s">
        <v>104</v>
      </c>
      <c r="E4" s="70" t="s">
        <v>102</v>
      </c>
      <c r="F4" s="70" t="s">
        <v>99</v>
      </c>
      <c r="G4" s="70" t="s">
        <v>105</v>
      </c>
    </row>
    <row r="5" spans="1:7" s="46" customFormat="1" x14ac:dyDescent="0.25">
      <c r="B5" s="70"/>
      <c r="C5" s="70"/>
      <c r="D5" s="70"/>
      <c r="E5" s="70"/>
      <c r="F5" s="70"/>
      <c r="G5" s="70"/>
    </row>
    <row r="6" spans="1:7" s="46" customFormat="1" x14ac:dyDescent="0.25">
      <c r="A6" s="246" t="s">
        <v>157</v>
      </c>
      <c r="B6" s="70"/>
      <c r="C6" s="70"/>
      <c r="D6" s="151"/>
    </row>
    <row r="7" spans="1:7" s="46" customFormat="1" x14ac:dyDescent="0.25">
      <c r="A7" s="20" t="s">
        <v>24</v>
      </c>
      <c r="B7" s="219">
        <f>+B19+B31+B43+B54+B65+B76+B87</f>
        <v>4794235.91</v>
      </c>
      <c r="C7" s="219">
        <f t="shared" ref="C7:E7" si="0">+C19+C31+C43+C54+C65+C76+C87</f>
        <v>-1258152.4000000001</v>
      </c>
      <c r="D7" s="219">
        <f t="shared" si="0"/>
        <v>-1966966.39</v>
      </c>
      <c r="E7" s="219">
        <f t="shared" si="0"/>
        <v>-226635.55000000002</v>
      </c>
      <c r="F7" s="219">
        <f>SUM(B7:E7)</f>
        <v>1342481.5699999998</v>
      </c>
      <c r="G7" s="219">
        <f t="shared" ref="G7" si="1">+G19+G31+G43+G54+G65+G76+G87</f>
        <v>-33185.71</v>
      </c>
    </row>
    <row r="8" spans="1:7" s="46" customFormat="1" x14ac:dyDescent="0.25">
      <c r="A8" s="20" t="s">
        <v>25</v>
      </c>
      <c r="B8" s="219">
        <f>+B20+B32+B44+B55+B66+B77+B88</f>
        <v>5972530.4700000007</v>
      </c>
      <c r="C8" s="219">
        <f t="shared" ref="C8:E8" si="2">+C20+C32+C44+C55+C66+C77+C88</f>
        <v>1183835.67</v>
      </c>
      <c r="D8" s="219">
        <f t="shared" si="2"/>
        <v>-789722.13</v>
      </c>
      <c r="E8" s="219">
        <f t="shared" si="2"/>
        <v>95907.180000000008</v>
      </c>
      <c r="F8" s="219">
        <f>SUM(B8:E8)</f>
        <v>6462551.1900000004</v>
      </c>
      <c r="G8" s="219">
        <f t="shared" ref="G8" si="3">+G20+G32+G44+G55+G66+G77+G88</f>
        <v>-10748.019999999999</v>
      </c>
    </row>
    <row r="9" spans="1:7" s="46" customFormat="1" x14ac:dyDescent="0.25">
      <c r="A9" s="20" t="s">
        <v>5</v>
      </c>
      <c r="B9" s="219">
        <f t="shared" ref="B9" si="4">SUM(B7:B8)</f>
        <v>10766766.380000001</v>
      </c>
      <c r="C9" s="219">
        <f t="shared" ref="C9:E9" si="5">SUM(C7:C8)</f>
        <v>-74316.730000000214</v>
      </c>
      <c r="D9" s="219">
        <f t="shared" si="5"/>
        <v>-2756688.52</v>
      </c>
      <c r="E9" s="219">
        <f t="shared" si="5"/>
        <v>-130728.37000000001</v>
      </c>
      <c r="F9" s="219">
        <f t="shared" ref="F9" si="6">SUM(F7:F8)</f>
        <v>7805032.7599999998</v>
      </c>
      <c r="G9" s="219">
        <f t="shared" ref="G9" si="7">SUM(G7:G8)</f>
        <v>-43933.729999999996</v>
      </c>
    </row>
    <row r="10" spans="1:7" s="46" customFormat="1" x14ac:dyDescent="0.25"/>
    <row r="11" spans="1:7" s="46" customFormat="1" x14ac:dyDescent="0.25">
      <c r="A11" s="20" t="s">
        <v>107</v>
      </c>
      <c r="B11" s="219">
        <f>+B23+B35+B47+B58+B69+B80+B91</f>
        <v>798822.8899999999</v>
      </c>
      <c r="C11" s="219">
        <f t="shared" ref="C11:E11" si="8">+C23+C35+C47+C58+C69+C80+C91</f>
        <v>-79228.649999999994</v>
      </c>
      <c r="D11" s="219">
        <f t="shared" si="8"/>
        <v>-511556.55999999994</v>
      </c>
      <c r="E11" s="219">
        <f t="shared" si="8"/>
        <v>-33212.129999999997</v>
      </c>
      <c r="F11" s="219">
        <f t="shared" ref="F11:F14" si="9">SUM(B11:E11)</f>
        <v>174825.54999999993</v>
      </c>
      <c r="G11" s="219">
        <f t="shared" ref="G11" si="10">+G23+G35+G47+G58+G69+G80+G91</f>
        <v>-11409.3</v>
      </c>
    </row>
    <row r="12" spans="1:7" s="46" customFormat="1" x14ac:dyDescent="0.25">
      <c r="A12" s="20" t="s">
        <v>108</v>
      </c>
      <c r="B12" s="219">
        <f>+B24+B36+B48+B59+B70+B81+B92</f>
        <v>2103656.44</v>
      </c>
      <c r="C12" s="219">
        <f t="shared" ref="C12:E12" si="11">+C24+C36+C48+C59+C70+C81+C92</f>
        <v>456857.95</v>
      </c>
      <c r="D12" s="219">
        <f t="shared" si="11"/>
        <v>69741.469999999972</v>
      </c>
      <c r="E12" s="219">
        <f t="shared" si="11"/>
        <v>68491.709999999992</v>
      </c>
      <c r="F12" s="219">
        <f t="shared" si="9"/>
        <v>2698747.5700000003</v>
      </c>
      <c r="G12" s="219">
        <f t="shared" ref="G12" si="12">+G24+G36+G48+G59+G70+G81+G92</f>
        <v>677.07999999999993</v>
      </c>
    </row>
    <row r="13" spans="1:7" s="46" customFormat="1" x14ac:dyDescent="0.25">
      <c r="A13" s="20" t="s">
        <v>109</v>
      </c>
      <c r="B13" s="219">
        <f>+B25+B37+B49+B60+B71+B82+B93</f>
        <v>2570767.7999999998</v>
      </c>
      <c r="C13" s="219">
        <f t="shared" ref="C13:E13" si="13">+C25+C37+C49+C60+C71+C82+C93</f>
        <v>313071.99</v>
      </c>
      <c r="D13" s="219">
        <f t="shared" si="13"/>
        <v>-174719.24999999997</v>
      </c>
      <c r="E13" s="219">
        <f t="shared" si="13"/>
        <v>35757.900000000009</v>
      </c>
      <c r="F13" s="219">
        <f t="shared" si="9"/>
        <v>2744878.44</v>
      </c>
      <c r="G13" s="219">
        <f t="shared" ref="G13" si="14">+G25+G37+G49+G60+G71+G82+G93</f>
        <v>-4583.6099999999997</v>
      </c>
    </row>
    <row r="14" spans="1:7" s="46" customFormat="1" x14ac:dyDescent="0.25">
      <c r="A14" s="20" t="s">
        <v>110</v>
      </c>
      <c r="B14" s="219">
        <f>+B26+B38+B50+B61+B72+B83+B94</f>
        <v>499283.36</v>
      </c>
      <c r="C14" s="219">
        <f t="shared" ref="C14:E14" si="15">+C26+C38+C50+C61+C72+C83+C94</f>
        <v>493134.38</v>
      </c>
      <c r="D14" s="219">
        <f t="shared" si="15"/>
        <v>-173187.79000000004</v>
      </c>
      <c r="E14" s="219">
        <f t="shared" si="15"/>
        <v>24869.7</v>
      </c>
      <c r="F14" s="219">
        <f t="shared" si="9"/>
        <v>844099.64999999991</v>
      </c>
      <c r="G14" s="219">
        <f t="shared" ref="G14" si="16">+G26+G38+G50+G61+G72+G83+G94</f>
        <v>4567.8100000000004</v>
      </c>
    </row>
    <row r="15" spans="1:7" s="46" customFormat="1" x14ac:dyDescent="0.25">
      <c r="A15" s="30" t="s">
        <v>112</v>
      </c>
      <c r="B15" s="219">
        <f t="shared" ref="B15" si="17">SUM(B11:B14)</f>
        <v>5972530.4900000002</v>
      </c>
      <c r="C15" s="219">
        <f t="shared" ref="C15:E15" si="18">SUM(C11:C14)</f>
        <v>1183835.67</v>
      </c>
      <c r="D15" s="219">
        <f t="shared" si="18"/>
        <v>-789722.13</v>
      </c>
      <c r="E15" s="219">
        <f t="shared" si="18"/>
        <v>95907.180000000008</v>
      </c>
      <c r="F15" s="219">
        <f t="shared" ref="F15" si="19">SUM(F11:F14)</f>
        <v>6462551.2100000009</v>
      </c>
      <c r="G15" s="219">
        <f t="shared" ref="G15" si="20">SUM(G11:G14)</f>
        <v>-10748.019999999997</v>
      </c>
    </row>
    <row r="16" spans="1:7" s="46" customFormat="1" x14ac:dyDescent="0.25">
      <c r="E16" s="4"/>
    </row>
    <row r="17" spans="1:7" s="46" customFormat="1" x14ac:dyDescent="0.25">
      <c r="A17" s="20"/>
      <c r="B17" s="70"/>
      <c r="C17" s="70"/>
      <c r="D17" s="150"/>
    </row>
    <row r="18" spans="1:7" s="46" customFormat="1" x14ac:dyDescent="0.25">
      <c r="A18" s="246" t="s">
        <v>164</v>
      </c>
      <c r="B18" s="70"/>
      <c r="C18" s="70"/>
      <c r="D18" s="150"/>
    </row>
    <row r="19" spans="1:7" s="46" customFormat="1" x14ac:dyDescent="0.25">
      <c r="A19" s="20" t="s">
        <v>24</v>
      </c>
      <c r="B19" s="25">
        <v>3528190.07</v>
      </c>
      <c r="C19" s="25">
        <v>-1041427.6</v>
      </c>
      <c r="D19" s="25">
        <v>537465.77</v>
      </c>
      <c r="E19" s="25">
        <v>11386.11</v>
      </c>
      <c r="F19" s="219">
        <f>SUM(B19:E19)</f>
        <v>3035614.3499999996</v>
      </c>
      <c r="G19" s="219">
        <f>ROUND(F19/24*0,2)</f>
        <v>0</v>
      </c>
    </row>
    <row r="20" spans="1:7" s="46" customFormat="1" x14ac:dyDescent="0.25">
      <c r="A20" s="20" t="s">
        <v>25</v>
      </c>
      <c r="B20" s="218">
        <v>4826270.37</v>
      </c>
      <c r="C20" s="218">
        <v>288583.98</v>
      </c>
      <c r="D20" s="218">
        <v>662688.41</v>
      </c>
      <c r="E20" s="218">
        <v>41412.159999999996</v>
      </c>
      <c r="F20" s="219">
        <f>SUM(B20:E20)</f>
        <v>5818954.9199999999</v>
      </c>
      <c r="G20" s="219">
        <f>ROUND(F20/24*0,2)</f>
        <v>0</v>
      </c>
    </row>
    <row r="21" spans="1:7" s="46" customFormat="1" x14ac:dyDescent="0.25">
      <c r="A21" s="20" t="s">
        <v>5</v>
      </c>
      <c r="B21" s="219">
        <f t="shared" ref="B21:G21" si="21">SUM(B19:B20)</f>
        <v>8354460.4399999995</v>
      </c>
      <c r="C21" s="219">
        <f t="shared" si="21"/>
        <v>-752843.62</v>
      </c>
      <c r="D21" s="219">
        <f t="shared" si="21"/>
        <v>1200154.1800000002</v>
      </c>
      <c r="E21" s="219">
        <f t="shared" si="21"/>
        <v>52798.27</v>
      </c>
      <c r="F21" s="219">
        <f t="shared" si="21"/>
        <v>8854569.2699999996</v>
      </c>
      <c r="G21" s="219">
        <f t="shared" si="21"/>
        <v>0</v>
      </c>
    </row>
    <row r="22" spans="1:7" s="46" customFormat="1" x14ac:dyDescent="0.25">
      <c r="B22" s="216"/>
      <c r="C22" s="216"/>
      <c r="D22" s="217"/>
    </row>
    <row r="23" spans="1:7" x14ac:dyDescent="0.25">
      <c r="A23" s="20" t="s">
        <v>107</v>
      </c>
      <c r="B23" s="25">
        <v>674006.21</v>
      </c>
      <c r="C23" s="25">
        <v>-37272.29</v>
      </c>
      <c r="D23" s="25">
        <v>101225.02</v>
      </c>
      <c r="E23" s="218">
        <v>4637.5600000000004</v>
      </c>
      <c r="F23" s="219">
        <f t="shared" ref="F23:F26" si="22">SUM(B23:E23)</f>
        <v>742596.5</v>
      </c>
      <c r="G23" s="219">
        <f>ROUND(F23/24*0,2)</f>
        <v>0</v>
      </c>
    </row>
    <row r="24" spans="1:7" x14ac:dyDescent="0.25">
      <c r="A24" s="20" t="s">
        <v>108</v>
      </c>
      <c r="B24" s="218">
        <v>1713084.19</v>
      </c>
      <c r="C24" s="218">
        <v>122147.33</v>
      </c>
      <c r="D24" s="218">
        <v>340699.47</v>
      </c>
      <c r="E24" s="218">
        <v>19663.03</v>
      </c>
      <c r="F24" s="219">
        <f t="shared" si="22"/>
        <v>2195594.02</v>
      </c>
      <c r="G24" s="219">
        <f>ROUND(F24/24*0,2)</f>
        <v>0</v>
      </c>
    </row>
    <row r="25" spans="1:7" x14ac:dyDescent="0.25">
      <c r="A25" s="20" t="s">
        <v>109</v>
      </c>
      <c r="B25" s="25">
        <v>2024596.54</v>
      </c>
      <c r="C25" s="25">
        <v>169641.44</v>
      </c>
      <c r="D25" s="25">
        <v>191871.42</v>
      </c>
      <c r="E25" s="25">
        <v>15454.89</v>
      </c>
      <c r="F25" s="219">
        <f t="shared" si="22"/>
        <v>2401564.29</v>
      </c>
      <c r="G25" s="219">
        <f>ROUND(F25/24*0,2)</f>
        <v>0</v>
      </c>
    </row>
    <row r="26" spans="1:7" x14ac:dyDescent="0.25">
      <c r="A26" s="20" t="s">
        <v>110</v>
      </c>
      <c r="B26" s="218">
        <v>414583.45</v>
      </c>
      <c r="C26" s="218">
        <v>34067.5</v>
      </c>
      <c r="D26" s="218">
        <v>28892.5</v>
      </c>
      <c r="E26" s="218">
        <v>1656.68</v>
      </c>
      <c r="F26" s="219">
        <f t="shared" si="22"/>
        <v>479200.13</v>
      </c>
      <c r="G26" s="219">
        <f>ROUND(F26/24*0,2)</f>
        <v>0</v>
      </c>
    </row>
    <row r="27" spans="1:7" x14ac:dyDescent="0.25">
      <c r="A27" s="30" t="s">
        <v>112</v>
      </c>
      <c r="B27" s="219">
        <f>SUM(B23:B26)</f>
        <v>4826270.3899999997</v>
      </c>
      <c r="C27" s="219">
        <f>SUM(C23:C26)</f>
        <v>288583.98</v>
      </c>
      <c r="D27" s="219">
        <f t="shared" ref="D27:G27" si="23">SUM(D23:D26)</f>
        <v>662688.41</v>
      </c>
      <c r="E27" s="219">
        <f t="shared" si="23"/>
        <v>41412.159999999996</v>
      </c>
      <c r="F27" s="219">
        <f t="shared" si="23"/>
        <v>5818954.9400000004</v>
      </c>
      <c r="G27" s="219">
        <f t="shared" si="23"/>
        <v>0</v>
      </c>
    </row>
    <row r="28" spans="1:7" x14ac:dyDescent="0.25">
      <c r="A28" s="46"/>
      <c r="B28" s="46"/>
      <c r="D28" s="46"/>
      <c r="E28" s="4"/>
    </row>
    <row r="29" spans="1:7" s="46" customFormat="1" x14ac:dyDescent="0.25">
      <c r="E29" s="4"/>
    </row>
    <row r="30" spans="1:7" x14ac:dyDescent="0.25">
      <c r="A30" s="246" t="s">
        <v>165</v>
      </c>
      <c r="B30" s="46"/>
      <c r="D30" s="46"/>
      <c r="E30" s="46"/>
    </row>
    <row r="31" spans="1:7" s="46" customFormat="1" x14ac:dyDescent="0.25">
      <c r="A31" s="20" t="s">
        <v>24</v>
      </c>
      <c r="B31" s="25">
        <v>1266045.8400000001</v>
      </c>
      <c r="C31" s="25">
        <v>-261684.95</v>
      </c>
      <c r="D31" s="25">
        <v>-1774297.12</v>
      </c>
      <c r="E31" s="25">
        <v>-89512.47</v>
      </c>
      <c r="F31" s="219">
        <f>SUM(B31:E31)</f>
        <v>-859448.7</v>
      </c>
      <c r="G31" s="219">
        <f>ROUND(F31/24*0,2)</f>
        <v>0</v>
      </c>
    </row>
    <row r="32" spans="1:7" s="46" customFormat="1" x14ac:dyDescent="0.25">
      <c r="A32" s="20" t="s">
        <v>25</v>
      </c>
      <c r="B32" s="218">
        <v>1146260.1000000001</v>
      </c>
      <c r="C32" s="218">
        <v>652330.12000000011</v>
      </c>
      <c r="D32" s="218">
        <v>-1070219.28</v>
      </c>
      <c r="E32" s="218">
        <v>60706.75</v>
      </c>
      <c r="F32" s="219">
        <f>SUM(B32:E32)</f>
        <v>789077.69000000018</v>
      </c>
      <c r="G32" s="219">
        <f>ROUND(F32/24*0,2)</f>
        <v>0</v>
      </c>
    </row>
    <row r="33" spans="1:17" s="46" customFormat="1" x14ac:dyDescent="0.25">
      <c r="A33" s="20" t="s">
        <v>5</v>
      </c>
      <c r="B33" s="219">
        <f t="shared" ref="B33:G33" si="24">SUM(B31:B32)</f>
        <v>2412305.9400000004</v>
      </c>
      <c r="C33" s="219">
        <f t="shared" si="24"/>
        <v>390645.1700000001</v>
      </c>
      <c r="D33" s="219">
        <f t="shared" si="24"/>
        <v>-2844516.4000000004</v>
      </c>
      <c r="E33" s="219">
        <f t="shared" si="24"/>
        <v>-28805.72</v>
      </c>
      <c r="F33" s="219">
        <f t="shared" si="24"/>
        <v>-70371.009999999776</v>
      </c>
      <c r="G33" s="219">
        <f t="shared" si="24"/>
        <v>0</v>
      </c>
    </row>
    <row r="34" spans="1:17" s="46" customFormat="1" x14ac:dyDescent="0.25">
      <c r="B34" s="216"/>
      <c r="C34" s="216"/>
      <c r="D34" s="217"/>
    </row>
    <row r="35" spans="1:17" s="46" customFormat="1" x14ac:dyDescent="0.25">
      <c r="A35" s="20" t="s">
        <v>107</v>
      </c>
      <c r="B35" s="25">
        <v>124816.68</v>
      </c>
      <c r="C35" s="25">
        <v>-31690.68</v>
      </c>
      <c r="D35" s="25">
        <v>-451100.9</v>
      </c>
      <c r="E35" s="218">
        <v>-6747.99</v>
      </c>
      <c r="F35" s="219">
        <f t="shared" ref="F35:F38" si="25">SUM(B35:E35)</f>
        <v>-364722.89</v>
      </c>
      <c r="G35" s="219">
        <f>ROUND(F35/24*0,2)</f>
        <v>0</v>
      </c>
    </row>
    <row r="36" spans="1:17" s="46" customFormat="1" x14ac:dyDescent="0.25">
      <c r="A36" s="20" t="s">
        <v>108</v>
      </c>
      <c r="B36" s="218">
        <v>390572.25</v>
      </c>
      <c r="C36" s="218">
        <v>243638.01</v>
      </c>
      <c r="D36" s="218">
        <v>-201296.23</v>
      </c>
      <c r="E36" s="218">
        <v>35332.660000000003</v>
      </c>
      <c r="F36" s="219">
        <f t="shared" si="25"/>
        <v>468246.69000000006</v>
      </c>
      <c r="G36" s="219">
        <f>ROUND(F36/24*0,2)</f>
        <v>0</v>
      </c>
    </row>
    <row r="37" spans="1:17" s="46" customFormat="1" x14ac:dyDescent="0.25">
      <c r="A37" s="20" t="s">
        <v>109</v>
      </c>
      <c r="B37" s="25">
        <v>546171.26</v>
      </c>
      <c r="C37" s="25">
        <v>104616.02</v>
      </c>
      <c r="D37" s="25">
        <v>-270192.05</v>
      </c>
      <c r="E37" s="25">
        <v>23076.27</v>
      </c>
      <c r="F37" s="219">
        <f t="shared" si="25"/>
        <v>403671.50000000006</v>
      </c>
      <c r="G37" s="219">
        <f>ROUND(F37/24*0,2)</f>
        <v>0</v>
      </c>
    </row>
    <row r="38" spans="1:17" s="46" customFormat="1" x14ac:dyDescent="0.25">
      <c r="A38" s="20" t="s">
        <v>110</v>
      </c>
      <c r="B38" s="218">
        <v>84699.91</v>
      </c>
      <c r="C38" s="218">
        <v>335766.77</v>
      </c>
      <c r="D38" s="218">
        <v>-147630.1</v>
      </c>
      <c r="E38" s="218">
        <v>9045.81</v>
      </c>
      <c r="F38" s="219">
        <f t="shared" si="25"/>
        <v>281882.39000000007</v>
      </c>
      <c r="G38" s="219">
        <f>ROUND(F38/24*0,2)</f>
        <v>0</v>
      </c>
    </row>
    <row r="39" spans="1:17" s="46" customFormat="1" x14ac:dyDescent="0.25">
      <c r="A39" s="30" t="s">
        <v>112</v>
      </c>
      <c r="B39" s="219">
        <f>SUM(B35:B38)</f>
        <v>1146260.0999999999</v>
      </c>
      <c r="C39" s="219">
        <f>SUM(C35:C38)</f>
        <v>652330.12000000011</v>
      </c>
      <c r="D39" s="219">
        <f t="shared" ref="D39:G39" si="26">SUM(D35:D38)</f>
        <v>-1070219.28</v>
      </c>
      <c r="E39" s="219">
        <f t="shared" si="26"/>
        <v>60706.75</v>
      </c>
      <c r="F39" s="219">
        <f t="shared" si="26"/>
        <v>789077.69000000018</v>
      </c>
      <c r="G39" s="219">
        <f t="shared" si="26"/>
        <v>0</v>
      </c>
    </row>
    <row r="40" spans="1:17" s="46" customFormat="1" x14ac:dyDescent="0.25">
      <c r="E40" s="4"/>
    </row>
    <row r="41" spans="1:17" x14ac:dyDescent="0.25">
      <c r="A41" s="46"/>
      <c r="B41" s="46"/>
      <c r="D41" s="46"/>
      <c r="E41" s="46"/>
    </row>
    <row r="42" spans="1:17" s="46" customFormat="1" x14ac:dyDescent="0.25">
      <c r="A42" s="246" t="s">
        <v>166</v>
      </c>
      <c r="J42" s="305"/>
      <c r="K42" s="305"/>
      <c r="L42" s="305"/>
      <c r="M42" s="305"/>
      <c r="N42" s="305"/>
      <c r="O42" s="305"/>
      <c r="P42" s="305"/>
      <c r="Q42" s="305"/>
    </row>
    <row r="43" spans="1:17" s="46" customFormat="1" x14ac:dyDescent="0.25">
      <c r="A43" s="20" t="s">
        <v>24</v>
      </c>
      <c r="B43" s="25">
        <v>0</v>
      </c>
      <c r="C43" s="25">
        <v>8894.23</v>
      </c>
      <c r="D43" s="25">
        <v>-668670.34</v>
      </c>
      <c r="E43" s="25">
        <v>-51414.78</v>
      </c>
      <c r="F43" s="219">
        <f>SUM(B43:E43)</f>
        <v>-711190.89</v>
      </c>
      <c r="G43" s="219">
        <f>ROUND(F43/24*0,2)</f>
        <v>0</v>
      </c>
      <c r="J43" s="306"/>
      <c r="K43" s="306"/>
      <c r="L43" s="306"/>
    </row>
    <row r="44" spans="1:17" s="46" customFormat="1" x14ac:dyDescent="0.25">
      <c r="A44" s="20" t="s">
        <v>25</v>
      </c>
      <c r="B44" s="218">
        <v>0</v>
      </c>
      <c r="C44" s="218">
        <v>219063.11</v>
      </c>
      <c r="D44" s="218">
        <v>-354279.85</v>
      </c>
      <c r="E44" s="218">
        <v>10216.190000000002</v>
      </c>
      <c r="F44" s="219">
        <f>SUM(B44:E44)</f>
        <v>-125000.54999999999</v>
      </c>
      <c r="G44" s="219">
        <f>ROUND(F44/24*0,2)</f>
        <v>0</v>
      </c>
    </row>
    <row r="45" spans="1:17" s="46" customFormat="1" x14ac:dyDescent="0.25">
      <c r="A45" s="20" t="s">
        <v>5</v>
      </c>
      <c r="B45" s="219">
        <f t="shared" ref="B45:G45" si="27">SUM(B43:B44)</f>
        <v>0</v>
      </c>
      <c r="C45" s="219">
        <f t="shared" si="27"/>
        <v>227957.34</v>
      </c>
      <c r="D45" s="219">
        <f t="shared" si="27"/>
        <v>-1022950.19</v>
      </c>
      <c r="E45" s="219">
        <f t="shared" si="27"/>
        <v>-41198.589999999997</v>
      </c>
      <c r="F45" s="219">
        <f t="shared" si="27"/>
        <v>-836191.44</v>
      </c>
      <c r="G45" s="219">
        <f t="shared" si="27"/>
        <v>0</v>
      </c>
    </row>
    <row r="46" spans="1:17" s="46" customFormat="1" x14ac:dyDescent="0.25">
      <c r="B46" s="216"/>
      <c r="C46" s="216"/>
      <c r="D46" s="217"/>
    </row>
    <row r="47" spans="1:17" s="46" customFormat="1" x14ac:dyDescent="0.25">
      <c r="A47" s="20" t="s">
        <v>107</v>
      </c>
      <c r="B47" s="25">
        <v>0</v>
      </c>
      <c r="C47" s="25">
        <v>-10762.26</v>
      </c>
      <c r="D47" s="25">
        <v>-149794.82999999999</v>
      </c>
      <c r="E47" s="218">
        <v>-8503.82</v>
      </c>
      <c r="F47" s="219">
        <f t="shared" ref="F47:F50" si="28">SUM(B47:E47)</f>
        <v>-169060.91</v>
      </c>
      <c r="G47" s="219">
        <f>ROUND(F47/24*0,2)</f>
        <v>0</v>
      </c>
      <c r="J47" s="306"/>
      <c r="K47" s="306"/>
      <c r="L47" s="306"/>
    </row>
    <row r="48" spans="1:17" s="46" customFormat="1" x14ac:dyDescent="0.25">
      <c r="A48" s="20" t="s">
        <v>108</v>
      </c>
      <c r="B48" s="218">
        <v>0</v>
      </c>
      <c r="C48" s="218">
        <v>81670.7</v>
      </c>
      <c r="D48" s="218">
        <v>-64576.77</v>
      </c>
      <c r="E48" s="218">
        <v>9912.11</v>
      </c>
      <c r="F48" s="219">
        <f t="shared" si="28"/>
        <v>27006.04</v>
      </c>
      <c r="G48" s="219">
        <f>ROUND(F48/24*0,2)</f>
        <v>0</v>
      </c>
      <c r="J48" s="306"/>
      <c r="K48" s="306"/>
      <c r="L48" s="306"/>
    </row>
    <row r="49" spans="1:17" s="46" customFormat="1" x14ac:dyDescent="0.25">
      <c r="A49" s="20" t="s">
        <v>109</v>
      </c>
      <c r="B49" s="25">
        <v>0</v>
      </c>
      <c r="C49" s="25">
        <v>34542.74</v>
      </c>
      <c r="D49" s="25">
        <v>-89753.7</v>
      </c>
      <c r="E49" s="25">
        <v>3787.3</v>
      </c>
      <c r="F49" s="219">
        <f t="shared" si="28"/>
        <v>-51423.659999999996</v>
      </c>
      <c r="G49" s="219">
        <f>ROUND(F49/24*0,2)</f>
        <v>0</v>
      </c>
      <c r="J49" s="306"/>
      <c r="K49" s="306"/>
      <c r="L49" s="306"/>
    </row>
    <row r="50" spans="1:17" s="46" customFormat="1" x14ac:dyDescent="0.25">
      <c r="A50" s="20" t="s">
        <v>110</v>
      </c>
      <c r="B50" s="218">
        <v>0</v>
      </c>
      <c r="C50" s="218">
        <v>113611.93</v>
      </c>
      <c r="D50" s="218">
        <v>-50154.55</v>
      </c>
      <c r="E50" s="218">
        <v>5020.6000000000004</v>
      </c>
      <c r="F50" s="219">
        <f t="shared" si="28"/>
        <v>68477.98</v>
      </c>
      <c r="G50" s="219">
        <f>ROUND(F50/24*0,2)</f>
        <v>0</v>
      </c>
      <c r="J50" s="306"/>
      <c r="K50" s="306"/>
      <c r="L50" s="306"/>
    </row>
    <row r="51" spans="1:17" s="46" customFormat="1" x14ac:dyDescent="0.25">
      <c r="A51" s="30" t="s">
        <v>112</v>
      </c>
      <c r="B51" s="219">
        <f>SUM(B47:B50)</f>
        <v>0</v>
      </c>
      <c r="C51" s="219">
        <f>SUM(C47:C50)</f>
        <v>219063.11</v>
      </c>
      <c r="D51" s="219">
        <f t="shared" ref="D51:G51" si="29">SUM(D47:D50)</f>
        <v>-354279.85</v>
      </c>
      <c r="E51" s="219">
        <f t="shared" si="29"/>
        <v>10216.190000000002</v>
      </c>
      <c r="F51" s="219">
        <f t="shared" si="29"/>
        <v>-125000.55</v>
      </c>
      <c r="G51" s="219">
        <f t="shared" si="29"/>
        <v>0</v>
      </c>
    </row>
    <row r="52" spans="1:17" s="46" customFormat="1" x14ac:dyDescent="0.25">
      <c r="E52" s="4"/>
    </row>
    <row r="53" spans="1:17" s="46" customFormat="1" x14ac:dyDescent="0.25">
      <c r="A53" s="246" t="s">
        <v>167</v>
      </c>
    </row>
    <row r="54" spans="1:17" s="46" customFormat="1" x14ac:dyDescent="0.25">
      <c r="A54" s="20" t="s">
        <v>24</v>
      </c>
      <c r="B54" s="25">
        <v>0</v>
      </c>
      <c r="C54" s="25">
        <v>0</v>
      </c>
      <c r="D54" s="25">
        <v>0</v>
      </c>
      <c r="E54" s="25">
        <v>-46354.43</v>
      </c>
      <c r="F54" s="219">
        <f>SUM(B54:E54)</f>
        <v>-46354.43</v>
      </c>
      <c r="G54" s="219">
        <f>ROUND(F54/24*1,2)</f>
        <v>-1931.43</v>
      </c>
      <c r="J54" s="306"/>
      <c r="K54" s="306"/>
      <c r="L54" s="306"/>
      <c r="M54" s="306"/>
      <c r="N54" s="306"/>
      <c r="O54" s="306"/>
      <c r="P54" s="306"/>
      <c r="Q54" s="306"/>
    </row>
    <row r="55" spans="1:17" s="46" customFormat="1" x14ac:dyDescent="0.25">
      <c r="A55" s="20" t="s">
        <v>25</v>
      </c>
      <c r="B55" s="218">
        <v>0</v>
      </c>
      <c r="C55" s="218">
        <f>SUM(C58:C61)</f>
        <v>0</v>
      </c>
      <c r="D55" s="218">
        <f t="shared" ref="D55:G55" si="30">SUM(D58:D61)</f>
        <v>0</v>
      </c>
      <c r="E55" s="218">
        <v>2949.1899999999991</v>
      </c>
      <c r="F55" s="219">
        <f>SUM(B55:E55)</f>
        <v>2949.1899999999991</v>
      </c>
      <c r="G55" s="219">
        <f t="shared" si="30"/>
        <v>122.88000000000004</v>
      </c>
    </row>
    <row r="56" spans="1:17" s="46" customFormat="1" x14ac:dyDescent="0.25">
      <c r="A56" s="20" t="s">
        <v>5</v>
      </c>
      <c r="B56" s="219">
        <f t="shared" ref="B56:G56" si="31">SUM(B54:B55)</f>
        <v>0</v>
      </c>
      <c r="C56" s="219">
        <f t="shared" si="31"/>
        <v>0</v>
      </c>
      <c r="D56" s="219">
        <f t="shared" si="31"/>
        <v>0</v>
      </c>
      <c r="E56" s="219">
        <f t="shared" si="31"/>
        <v>-43405.24</v>
      </c>
      <c r="F56" s="219">
        <f t="shared" si="31"/>
        <v>-43405.24</v>
      </c>
      <c r="G56" s="219">
        <f t="shared" si="31"/>
        <v>-1808.55</v>
      </c>
    </row>
    <row r="57" spans="1:17" s="46" customFormat="1" x14ac:dyDescent="0.25">
      <c r="B57" s="216"/>
      <c r="C57" s="216"/>
      <c r="D57" s="217"/>
    </row>
    <row r="58" spans="1:17" s="46" customFormat="1" x14ac:dyDescent="0.25">
      <c r="A58" s="20" t="s">
        <v>107</v>
      </c>
      <c r="B58" s="25">
        <v>0</v>
      </c>
      <c r="C58" s="25">
        <v>0</v>
      </c>
      <c r="D58" s="25">
        <v>0</v>
      </c>
      <c r="E58" s="218">
        <v>-8810.09</v>
      </c>
      <c r="F58" s="219">
        <f t="shared" ref="F58:F61" si="32">SUM(B58:E58)</f>
        <v>-8810.09</v>
      </c>
      <c r="G58" s="219">
        <f>ROUND(F58/24*1,2)</f>
        <v>-367.09</v>
      </c>
      <c r="J58" s="306"/>
      <c r="K58" s="306"/>
      <c r="L58" s="306"/>
      <c r="M58" s="306"/>
      <c r="N58" s="306"/>
      <c r="O58" s="306"/>
      <c r="P58" s="306"/>
      <c r="Q58" s="306"/>
    </row>
    <row r="59" spans="1:17" s="46" customFormat="1" x14ac:dyDescent="0.25">
      <c r="A59" s="20" t="s">
        <v>108</v>
      </c>
      <c r="B59" s="218">
        <v>0</v>
      </c>
      <c r="C59" s="218">
        <v>0</v>
      </c>
      <c r="D59" s="218">
        <v>0</v>
      </c>
      <c r="E59" s="218">
        <v>6289.37</v>
      </c>
      <c r="F59" s="219">
        <f t="shared" si="32"/>
        <v>6289.37</v>
      </c>
      <c r="G59" s="219">
        <f>ROUND(F59/24*1,2)</f>
        <v>262.06</v>
      </c>
      <c r="J59" s="306"/>
      <c r="K59" s="306"/>
      <c r="L59" s="306"/>
      <c r="M59" s="306"/>
      <c r="N59" s="306"/>
      <c r="O59" s="306"/>
      <c r="P59" s="306"/>
      <c r="Q59" s="306"/>
    </row>
    <row r="60" spans="1:17" s="46" customFormat="1" x14ac:dyDescent="0.25">
      <c r="A60" s="20" t="s">
        <v>109</v>
      </c>
      <c r="B60" s="25">
        <v>0</v>
      </c>
      <c r="C60" s="25">
        <v>0</v>
      </c>
      <c r="D60" s="25">
        <v>0</v>
      </c>
      <c r="E60" s="25">
        <v>1003.18</v>
      </c>
      <c r="F60" s="219">
        <f t="shared" si="32"/>
        <v>1003.18</v>
      </c>
      <c r="G60" s="219">
        <f>ROUND(F60/24*1,2)</f>
        <v>41.8</v>
      </c>
      <c r="J60" s="306"/>
      <c r="K60" s="306"/>
      <c r="L60" s="306"/>
      <c r="M60" s="306"/>
      <c r="N60" s="306"/>
      <c r="O60" s="306"/>
      <c r="P60" s="306"/>
      <c r="Q60" s="306"/>
    </row>
    <row r="61" spans="1:17" s="46" customFormat="1" x14ac:dyDescent="0.25">
      <c r="A61" s="20" t="s">
        <v>110</v>
      </c>
      <c r="B61" s="218">
        <v>0</v>
      </c>
      <c r="C61" s="218">
        <v>0</v>
      </c>
      <c r="D61" s="218">
        <v>0</v>
      </c>
      <c r="E61" s="218">
        <v>4466.7299999999996</v>
      </c>
      <c r="F61" s="219">
        <f t="shared" si="32"/>
        <v>4466.7299999999996</v>
      </c>
      <c r="G61" s="219">
        <f>ROUND(F61/24*1,2)</f>
        <v>186.11</v>
      </c>
      <c r="J61" s="306"/>
      <c r="K61" s="306"/>
      <c r="L61" s="306"/>
      <c r="M61" s="306"/>
      <c r="N61" s="306"/>
      <c r="O61" s="306"/>
      <c r="P61" s="306"/>
      <c r="Q61" s="306"/>
    </row>
    <row r="62" spans="1:17" s="46" customFormat="1" x14ac:dyDescent="0.25">
      <c r="A62" s="30" t="s">
        <v>112</v>
      </c>
      <c r="B62" s="219">
        <f>SUM(B58:B61)</f>
        <v>0</v>
      </c>
      <c r="C62" s="219">
        <f>SUM(C58:C61)</f>
        <v>0</v>
      </c>
      <c r="D62" s="219">
        <f t="shared" ref="D62:G62" si="33">SUM(D58:D61)</f>
        <v>0</v>
      </c>
      <c r="E62" s="219">
        <f t="shared" si="33"/>
        <v>2949.1899999999991</v>
      </c>
      <c r="F62" s="219">
        <f t="shared" si="33"/>
        <v>2949.1899999999991</v>
      </c>
      <c r="G62" s="219">
        <f t="shared" si="33"/>
        <v>122.88000000000004</v>
      </c>
    </row>
    <row r="63" spans="1:17" s="46" customFormat="1" x14ac:dyDescent="0.25">
      <c r="E63" s="4"/>
    </row>
    <row r="64" spans="1:17" s="46" customFormat="1" x14ac:dyDescent="0.25">
      <c r="A64" s="246" t="s">
        <v>170</v>
      </c>
    </row>
    <row r="65" spans="1:17" s="46" customFormat="1" x14ac:dyDescent="0.25">
      <c r="A65" s="20" t="s">
        <v>24</v>
      </c>
      <c r="B65" s="25">
        <v>0</v>
      </c>
      <c r="C65" s="25">
        <v>0</v>
      </c>
      <c r="D65" s="25">
        <v>0</v>
      </c>
      <c r="E65" s="25">
        <v>-32712.49</v>
      </c>
      <c r="F65" s="219">
        <f>SUM(B65:E65)</f>
        <v>-32712.49</v>
      </c>
      <c r="G65" s="219">
        <f>ROUND(F65/24*7,2)</f>
        <v>-9541.14</v>
      </c>
      <c r="J65" s="306"/>
      <c r="K65" s="306"/>
      <c r="L65" s="306"/>
      <c r="M65" s="306"/>
      <c r="N65" s="306"/>
      <c r="O65" s="306"/>
      <c r="P65" s="306"/>
      <c r="Q65" s="306"/>
    </row>
    <row r="66" spans="1:17" s="46" customFormat="1" x14ac:dyDescent="0.25">
      <c r="A66" s="20" t="s">
        <v>25</v>
      </c>
      <c r="B66" s="218">
        <v>0</v>
      </c>
      <c r="C66" s="218">
        <f>SUM(C69:C72)</f>
        <v>0</v>
      </c>
      <c r="D66" s="218">
        <f t="shared" ref="D66" si="34">SUM(D69:D72)</f>
        <v>0</v>
      </c>
      <c r="E66" s="218">
        <v>-4051.89</v>
      </c>
      <c r="F66" s="219">
        <f>SUM(B66:E66)</f>
        <v>-4051.89</v>
      </c>
      <c r="G66" s="219">
        <f t="shared" ref="G66" si="35">SUM(G69:G72)</f>
        <v>-1181.81</v>
      </c>
    </row>
    <row r="67" spans="1:17" s="46" customFormat="1" x14ac:dyDescent="0.25">
      <c r="A67" s="20" t="s">
        <v>5</v>
      </c>
      <c r="B67" s="219">
        <f t="shared" ref="B67:G67" si="36">SUM(B65:B66)</f>
        <v>0</v>
      </c>
      <c r="C67" s="219">
        <f t="shared" si="36"/>
        <v>0</v>
      </c>
      <c r="D67" s="219">
        <f t="shared" si="36"/>
        <v>0</v>
      </c>
      <c r="E67" s="219">
        <f t="shared" si="36"/>
        <v>-36764.380000000005</v>
      </c>
      <c r="F67" s="219">
        <f t="shared" si="36"/>
        <v>-36764.380000000005</v>
      </c>
      <c r="G67" s="219">
        <f t="shared" si="36"/>
        <v>-10722.949999999999</v>
      </c>
    </row>
    <row r="68" spans="1:17" s="46" customFormat="1" x14ac:dyDescent="0.25">
      <c r="B68" s="216"/>
      <c r="C68" s="216"/>
      <c r="D68" s="217"/>
    </row>
    <row r="69" spans="1:17" s="46" customFormat="1" x14ac:dyDescent="0.25">
      <c r="A69" s="20" t="s">
        <v>107</v>
      </c>
      <c r="B69" s="25">
        <v>0</v>
      </c>
      <c r="C69" s="25">
        <v>0</v>
      </c>
      <c r="D69" s="25">
        <v>0</v>
      </c>
      <c r="E69" s="218">
        <v>-7422.34</v>
      </c>
      <c r="F69" s="219">
        <f t="shared" ref="F69:F72" si="37">SUM(B69:E69)</f>
        <v>-7422.34</v>
      </c>
      <c r="G69" s="219">
        <f>ROUND(F69/24*7,2)</f>
        <v>-2164.85</v>
      </c>
      <c r="J69" s="306"/>
      <c r="K69" s="306"/>
      <c r="L69" s="306"/>
      <c r="M69" s="306"/>
      <c r="N69" s="306"/>
      <c r="O69" s="306"/>
      <c r="P69" s="306"/>
      <c r="Q69" s="306"/>
    </row>
    <row r="70" spans="1:17" s="46" customFormat="1" x14ac:dyDescent="0.25">
      <c r="A70" s="20" t="s">
        <v>108</v>
      </c>
      <c r="B70" s="218">
        <v>0</v>
      </c>
      <c r="C70" s="218">
        <v>0</v>
      </c>
      <c r="D70" s="218">
        <v>0</v>
      </c>
      <c r="E70" s="218">
        <v>1875.39</v>
      </c>
      <c r="F70" s="219">
        <f t="shared" si="37"/>
        <v>1875.39</v>
      </c>
      <c r="G70" s="219">
        <f>ROUND(F70/24*7,2)</f>
        <v>546.99</v>
      </c>
      <c r="J70" s="306"/>
      <c r="K70" s="306"/>
      <c r="L70" s="306"/>
      <c r="M70" s="306"/>
      <c r="N70" s="306"/>
      <c r="O70" s="306"/>
      <c r="P70" s="306"/>
      <c r="Q70" s="306"/>
    </row>
    <row r="71" spans="1:17" s="46" customFormat="1" x14ac:dyDescent="0.25">
      <c r="A71" s="20" t="s">
        <v>109</v>
      </c>
      <c r="B71" s="25">
        <v>0</v>
      </c>
      <c r="C71" s="25">
        <v>0</v>
      </c>
      <c r="D71" s="25">
        <v>0</v>
      </c>
      <c r="E71" s="25">
        <v>-1646.59</v>
      </c>
      <c r="F71" s="219">
        <f t="shared" si="37"/>
        <v>-1646.59</v>
      </c>
      <c r="G71" s="219">
        <f>ROUND(F71/24*7,2)</f>
        <v>-480.26</v>
      </c>
      <c r="J71" s="306"/>
      <c r="K71" s="306"/>
      <c r="L71" s="306"/>
      <c r="M71" s="306"/>
      <c r="N71" s="306"/>
      <c r="O71" s="306"/>
      <c r="P71" s="306"/>
      <c r="Q71" s="306"/>
    </row>
    <row r="72" spans="1:17" s="46" customFormat="1" x14ac:dyDescent="0.25">
      <c r="A72" s="20" t="s">
        <v>110</v>
      </c>
      <c r="B72" s="218">
        <v>0</v>
      </c>
      <c r="C72" s="218">
        <v>0</v>
      </c>
      <c r="D72" s="218">
        <v>0</v>
      </c>
      <c r="E72" s="218">
        <v>3141.65</v>
      </c>
      <c r="F72" s="219">
        <f t="shared" si="37"/>
        <v>3141.65</v>
      </c>
      <c r="G72" s="219">
        <f>ROUND(F72/24*7,2)</f>
        <v>916.31</v>
      </c>
      <c r="J72" s="306"/>
      <c r="K72" s="306"/>
      <c r="L72" s="306"/>
      <c r="M72" s="306"/>
      <c r="N72" s="306"/>
      <c r="O72" s="306"/>
      <c r="P72" s="306"/>
      <c r="Q72" s="306"/>
    </row>
    <row r="73" spans="1:17" s="46" customFormat="1" x14ac:dyDescent="0.25">
      <c r="A73" s="30" t="s">
        <v>112</v>
      </c>
      <c r="B73" s="219">
        <f>SUM(B69:B72)</f>
        <v>0</v>
      </c>
      <c r="C73" s="219">
        <f>SUM(C69:C72)</f>
        <v>0</v>
      </c>
      <c r="D73" s="219">
        <f t="shared" ref="D73:G73" si="38">SUM(D69:D72)</f>
        <v>0</v>
      </c>
      <c r="E73" s="219">
        <f t="shared" si="38"/>
        <v>-4051.89</v>
      </c>
      <c r="F73" s="219">
        <f t="shared" si="38"/>
        <v>-4051.89</v>
      </c>
      <c r="G73" s="219">
        <f t="shared" si="38"/>
        <v>-1181.81</v>
      </c>
    </row>
    <row r="74" spans="1:17" s="46" customFormat="1" x14ac:dyDescent="0.25">
      <c r="E74" s="4"/>
    </row>
    <row r="75" spans="1:17" s="46" customFormat="1" ht="14.25" customHeight="1" x14ac:dyDescent="0.25">
      <c r="A75" s="246" t="s">
        <v>180</v>
      </c>
    </row>
    <row r="76" spans="1:17" s="46" customFormat="1" x14ac:dyDescent="0.25">
      <c r="A76" s="20" t="s">
        <v>24</v>
      </c>
      <c r="B76" s="25">
        <v>0</v>
      </c>
      <c r="C76" s="25">
        <v>0</v>
      </c>
      <c r="D76" s="25">
        <v>0</v>
      </c>
      <c r="E76" s="25">
        <v>-13938.6</v>
      </c>
      <c r="F76" s="219">
        <f>SUM(B76:E76)</f>
        <v>-13938.6</v>
      </c>
      <c r="G76" s="219">
        <f>ROUND(F76/24*12,2)</f>
        <v>-6969.3</v>
      </c>
      <c r="J76" s="306"/>
      <c r="K76" s="306"/>
      <c r="L76" s="306"/>
      <c r="M76" s="306"/>
      <c r="N76" s="306"/>
      <c r="O76" s="306"/>
      <c r="P76" s="306"/>
      <c r="Q76" s="306"/>
    </row>
    <row r="77" spans="1:17" s="46" customFormat="1" x14ac:dyDescent="0.25">
      <c r="A77" s="20" t="s">
        <v>25</v>
      </c>
      <c r="B77" s="218">
        <v>0</v>
      </c>
      <c r="C77" s="218">
        <f>SUM(C80:C83)</f>
        <v>0</v>
      </c>
      <c r="D77" s="218">
        <f t="shared" ref="D77" si="39">SUM(D80:D83)</f>
        <v>0</v>
      </c>
      <c r="E77" s="218">
        <v>-8224.73</v>
      </c>
      <c r="F77" s="219">
        <f>SUM(B77:E77)</f>
        <v>-8224.73</v>
      </c>
      <c r="G77" s="219">
        <f t="shared" ref="G77" si="40">SUM(G80:G83)</f>
        <v>-4112.37</v>
      </c>
    </row>
    <row r="78" spans="1:17" s="46" customFormat="1" x14ac:dyDescent="0.25">
      <c r="A78" s="20" t="s">
        <v>5</v>
      </c>
      <c r="B78" s="219">
        <f t="shared" ref="B78:G78" si="41">SUM(B76:B77)</f>
        <v>0</v>
      </c>
      <c r="C78" s="219">
        <f t="shared" si="41"/>
        <v>0</v>
      </c>
      <c r="D78" s="219">
        <f t="shared" si="41"/>
        <v>0</v>
      </c>
      <c r="E78" s="219">
        <f t="shared" si="41"/>
        <v>-22163.33</v>
      </c>
      <c r="F78" s="219">
        <f t="shared" si="41"/>
        <v>-22163.33</v>
      </c>
      <c r="G78" s="219">
        <f t="shared" si="41"/>
        <v>-11081.67</v>
      </c>
    </row>
    <row r="79" spans="1:17" s="46" customFormat="1" x14ac:dyDescent="0.25">
      <c r="B79" s="216"/>
      <c r="C79" s="216"/>
      <c r="D79" s="217"/>
    </row>
    <row r="80" spans="1:17" s="46" customFormat="1" x14ac:dyDescent="0.25">
      <c r="A80" s="20" t="s">
        <v>107</v>
      </c>
      <c r="B80" s="25">
        <v>0</v>
      </c>
      <c r="C80" s="25">
        <v>0</v>
      </c>
      <c r="D80" s="25">
        <v>0</v>
      </c>
      <c r="E80" s="218">
        <v>-4401.96</v>
      </c>
      <c r="F80" s="219">
        <f t="shared" ref="F80:F83" si="42">SUM(B80:E80)</f>
        <v>-4401.96</v>
      </c>
      <c r="G80" s="219">
        <f>ROUND(F80/24*12,2)</f>
        <v>-2200.98</v>
      </c>
      <c r="J80" s="306"/>
      <c r="K80" s="306"/>
      <c r="L80" s="306"/>
      <c r="M80" s="306"/>
      <c r="N80" s="306"/>
      <c r="O80" s="306"/>
      <c r="P80" s="306"/>
      <c r="Q80" s="306"/>
    </row>
    <row r="81" spans="1:17" s="46" customFormat="1" x14ac:dyDescent="0.25">
      <c r="A81" s="20" t="s">
        <v>108</v>
      </c>
      <c r="B81" s="218">
        <v>0</v>
      </c>
      <c r="C81" s="218">
        <v>0</v>
      </c>
      <c r="D81" s="218">
        <v>0</v>
      </c>
      <c r="E81" s="218">
        <v>-1933.52</v>
      </c>
      <c r="F81" s="219">
        <f t="shared" si="42"/>
        <v>-1933.52</v>
      </c>
      <c r="G81" s="219">
        <f>ROUND(F81/24*12,2)</f>
        <v>-966.76</v>
      </c>
      <c r="J81" s="306"/>
      <c r="K81" s="306"/>
      <c r="L81" s="306"/>
      <c r="M81" s="306"/>
      <c r="N81" s="306"/>
      <c r="O81" s="306"/>
      <c r="P81" s="306"/>
      <c r="Q81" s="306"/>
    </row>
    <row r="82" spans="1:17" s="46" customFormat="1" x14ac:dyDescent="0.25">
      <c r="A82" s="20" t="s">
        <v>109</v>
      </c>
      <c r="B82" s="25">
        <v>0</v>
      </c>
      <c r="C82" s="25">
        <v>0</v>
      </c>
      <c r="D82" s="25">
        <v>0</v>
      </c>
      <c r="E82" s="25">
        <v>-3197.51</v>
      </c>
      <c r="F82" s="219">
        <f t="shared" si="42"/>
        <v>-3197.51</v>
      </c>
      <c r="G82" s="219">
        <f>ROUND(F82/24*12,2)</f>
        <v>-1598.76</v>
      </c>
      <c r="J82" s="306"/>
      <c r="K82" s="306"/>
      <c r="L82" s="306"/>
      <c r="M82" s="306"/>
      <c r="N82" s="306"/>
      <c r="O82" s="306"/>
      <c r="P82" s="306"/>
      <c r="Q82" s="306"/>
    </row>
    <row r="83" spans="1:17" s="46" customFormat="1" x14ac:dyDescent="0.25">
      <c r="A83" s="20" t="s">
        <v>110</v>
      </c>
      <c r="B83" s="218">
        <v>0</v>
      </c>
      <c r="C83" s="218">
        <v>0</v>
      </c>
      <c r="D83" s="218">
        <v>0</v>
      </c>
      <c r="E83" s="218">
        <v>1308.26</v>
      </c>
      <c r="F83" s="219">
        <f t="shared" si="42"/>
        <v>1308.26</v>
      </c>
      <c r="G83" s="219">
        <f>ROUND(F83/24*12,2)</f>
        <v>654.13</v>
      </c>
      <c r="J83" s="306"/>
      <c r="K83" s="306"/>
      <c r="L83" s="306"/>
      <c r="M83" s="306"/>
      <c r="N83" s="306"/>
      <c r="O83" s="306"/>
      <c r="P83" s="306"/>
      <c r="Q83" s="306"/>
    </row>
    <row r="84" spans="1:17" s="46" customFormat="1" x14ac:dyDescent="0.25">
      <c r="A84" s="30" t="s">
        <v>112</v>
      </c>
      <c r="B84" s="219">
        <f>SUM(B80:B83)</f>
        <v>0</v>
      </c>
      <c r="C84" s="219">
        <f>SUM(C80:C83)</f>
        <v>0</v>
      </c>
      <c r="D84" s="219">
        <f t="shared" ref="D84:G84" si="43">SUM(D80:D83)</f>
        <v>0</v>
      </c>
      <c r="E84" s="219">
        <f t="shared" si="43"/>
        <v>-8224.73</v>
      </c>
      <c r="F84" s="219">
        <f t="shared" si="43"/>
        <v>-8224.73</v>
      </c>
      <c r="G84" s="219">
        <f t="shared" si="43"/>
        <v>-4112.37</v>
      </c>
    </row>
    <row r="85" spans="1:17" s="46" customFormat="1" x14ac:dyDescent="0.25">
      <c r="E85" s="4"/>
    </row>
    <row r="86" spans="1:17" s="46" customFormat="1" ht="14.25" customHeight="1" x14ac:dyDescent="0.25">
      <c r="A86" s="290" t="s">
        <v>184</v>
      </c>
      <c r="J86" s="306"/>
      <c r="K86" s="306"/>
      <c r="L86" s="306"/>
      <c r="M86" s="306"/>
      <c r="N86" s="306"/>
      <c r="O86" s="306"/>
    </row>
    <row r="87" spans="1:17" s="46" customFormat="1" x14ac:dyDescent="0.25">
      <c r="A87" s="20" t="s">
        <v>24</v>
      </c>
      <c r="B87" s="25">
        <v>0</v>
      </c>
      <c r="C87" s="25">
        <v>36065.919999999998</v>
      </c>
      <c r="D87" s="25">
        <v>-61464.7</v>
      </c>
      <c r="E87" s="25">
        <v>-4088.89</v>
      </c>
      <c r="F87" s="219">
        <f>SUM(B87:E87)</f>
        <v>-29487.67</v>
      </c>
      <c r="G87" s="219">
        <f>ROUND(F87/24*12,2)</f>
        <v>-14743.84</v>
      </c>
      <c r="J87" s="306"/>
      <c r="K87" s="306"/>
      <c r="L87" s="306"/>
      <c r="M87" s="306"/>
      <c r="N87" s="306"/>
      <c r="O87" s="306"/>
      <c r="P87" s="306"/>
      <c r="Q87" s="306"/>
    </row>
    <row r="88" spans="1:17" s="46" customFormat="1" x14ac:dyDescent="0.25">
      <c r="A88" s="20" t="s">
        <v>25</v>
      </c>
      <c r="B88" s="218">
        <v>0</v>
      </c>
      <c r="C88" s="218">
        <v>23858.46</v>
      </c>
      <c r="D88" s="218">
        <v>-27911.409999999996</v>
      </c>
      <c r="E88" s="218">
        <v>-7100.4899999999989</v>
      </c>
      <c r="F88" s="219">
        <f>SUM(B88:E88)</f>
        <v>-11153.439999999995</v>
      </c>
      <c r="G88" s="219">
        <f t="shared" ref="G88" si="44">SUM(G91:G94)</f>
        <v>-5576.7199999999993</v>
      </c>
    </row>
    <row r="89" spans="1:17" s="46" customFormat="1" x14ac:dyDescent="0.25">
      <c r="A89" s="20" t="s">
        <v>5</v>
      </c>
      <c r="B89" s="219">
        <v>0</v>
      </c>
      <c r="C89" s="219">
        <v>59924.38</v>
      </c>
      <c r="D89" s="219">
        <v>-89376.109999999986</v>
      </c>
      <c r="E89" s="219">
        <v>-11189.38</v>
      </c>
      <c r="F89" s="219">
        <f t="shared" ref="F89:G89" si="45">SUM(F87:F88)</f>
        <v>-40641.109999999993</v>
      </c>
      <c r="G89" s="219">
        <f t="shared" si="45"/>
        <v>-20320.559999999998</v>
      </c>
    </row>
    <row r="90" spans="1:17" s="46" customFormat="1" x14ac:dyDescent="0.25">
      <c r="B90" s="216"/>
      <c r="C90" s="216"/>
      <c r="D90" s="217"/>
    </row>
    <row r="91" spans="1:17" s="46" customFormat="1" x14ac:dyDescent="0.25">
      <c r="A91" s="20" t="s">
        <v>107</v>
      </c>
      <c r="B91" s="25">
        <v>0</v>
      </c>
      <c r="C91" s="25">
        <v>496.58</v>
      </c>
      <c r="D91" s="25">
        <v>-11885.85</v>
      </c>
      <c r="E91" s="218">
        <v>-1963.49</v>
      </c>
      <c r="F91" s="219">
        <f t="shared" ref="F91:F94" si="46">SUM(B91:E91)</f>
        <v>-13352.76</v>
      </c>
      <c r="G91" s="219">
        <f>ROUND(F91/24*12,2)</f>
        <v>-6676.38</v>
      </c>
      <c r="J91" s="306"/>
      <c r="K91" s="306"/>
      <c r="L91" s="306"/>
      <c r="M91" s="306"/>
      <c r="N91" s="306"/>
      <c r="O91" s="306"/>
      <c r="P91" s="306"/>
      <c r="Q91" s="306"/>
    </row>
    <row r="92" spans="1:17" s="46" customFormat="1" x14ac:dyDescent="0.25">
      <c r="A92" s="20" t="s">
        <v>108</v>
      </c>
      <c r="B92" s="218">
        <v>0</v>
      </c>
      <c r="C92" s="218">
        <v>9401.91</v>
      </c>
      <c r="D92" s="218">
        <v>-5085</v>
      </c>
      <c r="E92" s="218">
        <v>-2647.33</v>
      </c>
      <c r="F92" s="219">
        <f t="shared" si="46"/>
        <v>1669.58</v>
      </c>
      <c r="G92" s="219">
        <f>ROUND(F92/24*12,2)</f>
        <v>834.79</v>
      </c>
      <c r="J92" s="306"/>
      <c r="K92" s="306"/>
      <c r="L92" s="306"/>
      <c r="M92" s="306"/>
      <c r="N92" s="306"/>
      <c r="O92" s="306"/>
      <c r="P92" s="306"/>
      <c r="Q92" s="306"/>
    </row>
    <row r="93" spans="1:17" s="46" customFormat="1" x14ac:dyDescent="0.25">
      <c r="A93" s="20" t="s">
        <v>109</v>
      </c>
      <c r="B93" s="25">
        <v>0</v>
      </c>
      <c r="C93" s="25">
        <v>4271.79</v>
      </c>
      <c r="D93" s="25">
        <v>-6644.92</v>
      </c>
      <c r="E93" s="25">
        <v>-2719.64</v>
      </c>
      <c r="F93" s="219">
        <f t="shared" si="46"/>
        <v>-5092.7700000000004</v>
      </c>
      <c r="G93" s="219">
        <f>ROUND(F93/24*12,2)</f>
        <v>-2546.39</v>
      </c>
      <c r="J93" s="306"/>
      <c r="K93" s="306"/>
      <c r="L93" s="306"/>
      <c r="M93" s="306"/>
      <c r="N93" s="306"/>
      <c r="O93" s="306"/>
      <c r="P93" s="306"/>
      <c r="Q93" s="306"/>
    </row>
    <row r="94" spans="1:17" s="46" customFormat="1" x14ac:dyDescent="0.25">
      <c r="A94" s="20" t="s">
        <v>110</v>
      </c>
      <c r="B94" s="218">
        <v>0</v>
      </c>
      <c r="C94" s="218">
        <v>9688.18</v>
      </c>
      <c r="D94" s="218">
        <v>-4295.6400000000003</v>
      </c>
      <c r="E94" s="218">
        <v>229.97</v>
      </c>
      <c r="F94" s="219">
        <f t="shared" si="46"/>
        <v>5622.51</v>
      </c>
      <c r="G94" s="219">
        <f>ROUND(F94/24*12,2)</f>
        <v>2811.26</v>
      </c>
      <c r="J94" s="306"/>
      <c r="K94" s="306"/>
      <c r="L94" s="306"/>
      <c r="M94" s="306"/>
      <c r="N94" s="306"/>
      <c r="O94" s="306"/>
      <c r="P94" s="306"/>
      <c r="Q94" s="306"/>
    </row>
    <row r="95" spans="1:17" s="46" customFormat="1" x14ac:dyDescent="0.25">
      <c r="A95" s="30" t="s">
        <v>112</v>
      </c>
      <c r="B95" s="219">
        <v>0</v>
      </c>
      <c r="C95" s="219">
        <v>23858.46</v>
      </c>
      <c r="D95" s="219">
        <v>-27911.409999999996</v>
      </c>
      <c r="E95" s="219">
        <v>-7100.4899999999989</v>
      </c>
      <c r="F95" s="219">
        <f t="shared" ref="F95:G95" si="47">SUM(F91:F94)</f>
        <v>-11153.44</v>
      </c>
      <c r="G95" s="219">
        <f t="shared" si="47"/>
        <v>-5576.7199999999993</v>
      </c>
    </row>
    <row r="96" spans="1:17" s="46" customFormat="1" x14ac:dyDescent="0.25">
      <c r="E96" s="4"/>
      <c r="J96" s="306"/>
      <c r="K96" s="306"/>
      <c r="L96" s="306"/>
      <c r="M96" s="306"/>
      <c r="N96" s="306"/>
      <c r="O96" s="306"/>
      <c r="P96" s="306"/>
      <c r="Q96" s="306"/>
    </row>
    <row r="97" spans="1:7" x14ac:dyDescent="0.25">
      <c r="A97" s="46"/>
      <c r="B97" s="46"/>
      <c r="D97" s="46"/>
      <c r="E97" s="46"/>
    </row>
    <row r="98" spans="1:7" x14ac:dyDescent="0.25">
      <c r="A98" s="53" t="s">
        <v>11</v>
      </c>
      <c r="B98" s="46"/>
      <c r="D98" s="46"/>
      <c r="E98" s="46"/>
    </row>
    <row r="99" spans="1:7" x14ac:dyDescent="0.25">
      <c r="A99" s="3" t="s">
        <v>158</v>
      </c>
      <c r="B99" s="46"/>
      <c r="D99" s="46"/>
      <c r="E99" s="46"/>
    </row>
    <row r="100" spans="1:7" s="46" customFormat="1" x14ac:dyDescent="0.25">
      <c r="A100" s="3" t="s">
        <v>251</v>
      </c>
    </row>
    <row r="101" spans="1:7" s="46" customFormat="1" x14ac:dyDescent="0.25">
      <c r="A101" s="3" t="s">
        <v>252</v>
      </c>
    </row>
    <row r="102" spans="1:7" x14ac:dyDescent="0.25">
      <c r="A102" s="3" t="s">
        <v>253</v>
      </c>
      <c r="B102" s="46"/>
      <c r="D102" s="46"/>
      <c r="E102" s="46"/>
    </row>
    <row r="103" spans="1:7" s="46" customFormat="1" x14ac:dyDescent="0.25">
      <c r="A103" s="3" t="s">
        <v>159</v>
      </c>
    </row>
    <row r="104" spans="1:7" ht="92.25" customHeight="1" x14ac:dyDescent="0.25">
      <c r="A104" s="324" t="s">
        <v>250</v>
      </c>
      <c r="B104" s="324"/>
      <c r="C104" s="324"/>
      <c r="D104" s="324"/>
      <c r="E104" s="324"/>
      <c r="F104" s="324"/>
      <c r="G104" s="324"/>
    </row>
  </sheetData>
  <mergeCells count="2">
    <mergeCell ref="B3:D3"/>
    <mergeCell ref="A104:G104"/>
  </mergeCells>
  <pageMargins left="0.2" right="0.2" top="0.75" bottom="0.25" header="0.3" footer="0.3"/>
  <pageSetup scale="32"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V96"/>
  <sheetViews>
    <sheetView workbookViewId="0">
      <selection activeCell="I7" sqref="I7"/>
    </sheetView>
  </sheetViews>
  <sheetFormatPr defaultColWidth="8.7109375" defaultRowHeight="15" x14ac:dyDescent="0.25"/>
  <cols>
    <col min="1" max="1" width="22.42578125" style="46" customWidth="1"/>
    <col min="2" max="2" width="15.28515625" style="46" bestFit="1" customWidth="1"/>
    <col min="3" max="3" width="14.28515625" style="46" customWidth="1"/>
    <col min="4" max="4" width="13.28515625" style="46" bestFit="1" customWidth="1"/>
    <col min="5" max="5" width="10.85546875" style="46" bestFit="1" customWidth="1"/>
    <col min="6" max="6" width="11.5703125" style="46" bestFit="1" customWidth="1"/>
    <col min="7" max="7" width="13.140625" style="46" customWidth="1"/>
    <col min="8" max="9" width="8.7109375" style="46"/>
    <col min="10" max="10" width="9.42578125" style="46" bestFit="1" customWidth="1"/>
    <col min="11" max="11" width="8.7109375" style="46"/>
    <col min="12" max="17" width="10.140625" style="46" customWidth="1"/>
    <col min="18" max="16384" width="8.7109375" style="46"/>
  </cols>
  <sheetData>
    <row r="1" spans="1:7" x14ac:dyDescent="0.25">
      <c r="A1" s="63" t="str">
        <f>+'PPC Cycle 3'!A1</f>
        <v>Evergy Metro, Inc. - DSIM Rider Update Filed 12/01/2023</v>
      </c>
    </row>
    <row r="2" spans="1:7" x14ac:dyDescent="0.25">
      <c r="A2" s="9" t="str">
        <f>+'PPC Cycle 3'!A2</f>
        <v>Projections for Cycle 3 January 2024 - December 2024 DSIM</v>
      </c>
    </row>
    <row r="3" spans="1:7" ht="45.75" customHeight="1" x14ac:dyDescent="0.25">
      <c r="B3" s="325" t="s">
        <v>162</v>
      </c>
      <c r="C3" s="325"/>
      <c r="D3" s="325"/>
    </row>
    <row r="4" spans="1:7" ht="90" x14ac:dyDescent="0.25">
      <c r="B4" s="70" t="s">
        <v>100</v>
      </c>
      <c r="C4" s="70" t="s">
        <v>101</v>
      </c>
      <c r="D4" s="70" t="s">
        <v>104</v>
      </c>
      <c r="E4" s="70" t="s">
        <v>102</v>
      </c>
      <c r="F4" s="70" t="s">
        <v>99</v>
      </c>
      <c r="G4" s="70" t="s">
        <v>163</v>
      </c>
    </row>
    <row r="5" spans="1:7" x14ac:dyDescent="0.25">
      <c r="B5" s="70"/>
      <c r="C5" s="70"/>
      <c r="D5" s="70"/>
      <c r="E5" s="70"/>
      <c r="F5" s="70"/>
      <c r="G5" s="70"/>
    </row>
    <row r="6" spans="1:7" x14ac:dyDescent="0.25">
      <c r="A6" s="246" t="s">
        <v>161</v>
      </c>
      <c r="B6" s="70"/>
      <c r="C6" s="70"/>
      <c r="D6" s="151"/>
    </row>
    <row r="7" spans="1:7" x14ac:dyDescent="0.25">
      <c r="A7" s="20" t="s">
        <v>24</v>
      </c>
      <c r="B7" s="219">
        <f>+B19+B31+B43+B55+B67+B79</f>
        <v>3856054.97</v>
      </c>
      <c r="C7" s="219">
        <f t="shared" ref="C7:E7" si="0">+C19+C31+C43+C55+C67+C79</f>
        <v>3145.5300000000861</v>
      </c>
      <c r="D7" s="219">
        <f t="shared" si="0"/>
        <v>-1133944.26</v>
      </c>
      <c r="E7" s="219">
        <f t="shared" si="0"/>
        <v>-113793.47</v>
      </c>
      <c r="F7" s="219">
        <f>SUM(B7:E7)</f>
        <v>2611462.77</v>
      </c>
      <c r="G7" s="219">
        <f t="shared" ref="G7" si="1">+G19+G31+G43+G55+G67+G79</f>
        <v>1315744.21</v>
      </c>
    </row>
    <row r="8" spans="1:7" x14ac:dyDescent="0.25">
      <c r="A8" s="20" t="s">
        <v>25</v>
      </c>
      <c r="B8" s="219">
        <f>SUM(B11:B14)</f>
        <v>2640059.46</v>
      </c>
      <c r="C8" s="219">
        <f t="shared" ref="C8:E8" si="2">SUM(C11:C14)</f>
        <v>269233.35000000003</v>
      </c>
      <c r="D8" s="219">
        <f t="shared" si="2"/>
        <v>-158451.98000000001</v>
      </c>
      <c r="E8" s="219">
        <f t="shared" si="2"/>
        <v>7672.91</v>
      </c>
      <c r="F8" s="219">
        <f>SUM(B8:E8)</f>
        <v>2758513.74</v>
      </c>
      <c r="G8" s="219">
        <f t="shared" ref="G8" si="3">SUM(G11:G14)</f>
        <v>1305249.0100000002</v>
      </c>
    </row>
    <row r="9" spans="1:7" x14ac:dyDescent="0.25">
      <c r="A9" s="20" t="s">
        <v>5</v>
      </c>
      <c r="B9" s="219">
        <f t="shared" ref="B9:E9" si="4">SUM(B7:B8)</f>
        <v>6496114.4299999997</v>
      </c>
      <c r="C9" s="219">
        <f t="shared" si="4"/>
        <v>272378.88000000012</v>
      </c>
      <c r="D9" s="219">
        <f t="shared" si="4"/>
        <v>-1292396.24</v>
      </c>
      <c r="E9" s="219">
        <f t="shared" si="4"/>
        <v>-106120.56</v>
      </c>
      <c r="F9" s="219">
        <f t="shared" ref="F9" si="5">SUM(F7:F8)</f>
        <v>5369976.5099999998</v>
      </c>
      <c r="G9" s="219">
        <f t="shared" ref="G9" si="6">SUM(G7:G8)</f>
        <v>2620993.2200000002</v>
      </c>
    </row>
    <row r="11" spans="1:7" x14ac:dyDescent="0.25">
      <c r="A11" s="20" t="s">
        <v>107</v>
      </c>
      <c r="B11" s="219">
        <f>+B23+B35+B47+B59+B71+B83</f>
        <v>317275.24</v>
      </c>
      <c r="C11" s="219">
        <f t="shared" ref="C11:E11" si="7">+C23+C35+C47+C59+C71+C83</f>
        <v>57194.750000000007</v>
      </c>
      <c r="D11" s="219">
        <f t="shared" si="7"/>
        <v>-43183.430000000008</v>
      </c>
      <c r="E11" s="219">
        <f t="shared" si="7"/>
        <v>-189.60000000000008</v>
      </c>
      <c r="F11" s="219">
        <f t="shared" ref="F11:F14" si="8">SUM(B11:E11)</f>
        <v>331096.96000000002</v>
      </c>
      <c r="G11" s="219">
        <f t="shared" ref="G11" si="9">+G23+G35+G47+G59+G71+G83</f>
        <v>180126.39</v>
      </c>
    </row>
    <row r="12" spans="1:7" x14ac:dyDescent="0.25">
      <c r="A12" s="20" t="s">
        <v>108</v>
      </c>
      <c r="B12" s="219">
        <f>+B24+B36+B48+B60+B72+B84</f>
        <v>773392.32</v>
      </c>
      <c r="C12" s="219">
        <f t="shared" ref="C12:E12" si="10">+C24+C36+C48+C60+C72+C84</f>
        <v>77073.420000000013</v>
      </c>
      <c r="D12" s="219">
        <f t="shared" si="10"/>
        <v>-55207.280000000006</v>
      </c>
      <c r="E12" s="219">
        <f t="shared" si="10"/>
        <v>1750.63</v>
      </c>
      <c r="F12" s="219">
        <f t="shared" si="8"/>
        <v>797009.09</v>
      </c>
      <c r="G12" s="219">
        <f t="shared" ref="G12" si="11">+G24+G36+G48+G60+G72+G84</f>
        <v>333704.45</v>
      </c>
    </row>
    <row r="13" spans="1:7" x14ac:dyDescent="0.25">
      <c r="A13" s="20" t="s">
        <v>109</v>
      </c>
      <c r="B13" s="219">
        <f>+B25+B37+B49+B61+B73+B85</f>
        <v>1361616.03</v>
      </c>
      <c r="C13" s="219">
        <f t="shared" ref="C13:E13" si="12">+C25+C37+C49+C61+C73+C85</f>
        <v>120439.67</v>
      </c>
      <c r="D13" s="219">
        <f t="shared" si="12"/>
        <v>-58225.66</v>
      </c>
      <c r="E13" s="219">
        <f t="shared" si="12"/>
        <v>4568.34</v>
      </c>
      <c r="F13" s="219">
        <f t="shared" si="8"/>
        <v>1428398.3800000001</v>
      </c>
      <c r="G13" s="219">
        <f t="shared" ref="G13" si="13">+G25+G37+G49+G61+G73+G85</f>
        <v>686827.85000000009</v>
      </c>
    </row>
    <row r="14" spans="1:7" x14ac:dyDescent="0.25">
      <c r="A14" s="20" t="s">
        <v>110</v>
      </c>
      <c r="B14" s="219">
        <f>+B26+B38+B50+B62+B74+B86</f>
        <v>187775.87</v>
      </c>
      <c r="C14" s="219">
        <f t="shared" ref="C14:E14" si="14">+C26+C38+C50+C62+C74+C86</f>
        <v>14525.509999999998</v>
      </c>
      <c r="D14" s="219">
        <f t="shared" si="14"/>
        <v>-1835.6100000000001</v>
      </c>
      <c r="E14" s="219">
        <f t="shared" si="14"/>
        <v>1543.54</v>
      </c>
      <c r="F14" s="219">
        <f t="shared" si="8"/>
        <v>202009.31000000003</v>
      </c>
      <c r="G14" s="219">
        <f t="shared" ref="G14" si="15">+G26+G38+G50+G62+G74+G86</f>
        <v>104590.32</v>
      </c>
    </row>
    <row r="15" spans="1:7" x14ac:dyDescent="0.25">
      <c r="A15" s="30" t="s">
        <v>112</v>
      </c>
      <c r="B15" s="219">
        <f t="shared" ref="B15:E15" si="16">SUM(B11:B14)</f>
        <v>2640059.46</v>
      </c>
      <c r="C15" s="219">
        <f t="shared" si="16"/>
        <v>269233.35000000003</v>
      </c>
      <c r="D15" s="219">
        <f t="shared" si="16"/>
        <v>-158451.98000000001</v>
      </c>
      <c r="E15" s="219">
        <f t="shared" si="16"/>
        <v>7672.91</v>
      </c>
      <c r="F15" s="219">
        <f t="shared" ref="F15" si="17">SUM(F11:F14)</f>
        <v>2758513.74</v>
      </c>
      <c r="G15" s="219">
        <f t="shared" ref="G15" si="18">SUM(G11:G14)</f>
        <v>1305249.0100000002</v>
      </c>
    </row>
    <row r="16" spans="1:7" x14ac:dyDescent="0.25">
      <c r="E16" s="4"/>
    </row>
    <row r="17" spans="1:22" x14ac:dyDescent="0.25">
      <c r="A17" s="20"/>
      <c r="B17" s="70"/>
      <c r="C17" s="70"/>
      <c r="D17" s="150"/>
    </row>
    <row r="18" spans="1:22" x14ac:dyDescent="0.25">
      <c r="A18" s="246" t="s">
        <v>168</v>
      </c>
      <c r="B18" s="70"/>
      <c r="C18" s="70"/>
      <c r="D18" s="150"/>
    </row>
    <row r="19" spans="1:22" x14ac:dyDescent="0.25">
      <c r="A19" s="20" t="s">
        <v>24</v>
      </c>
      <c r="B19" s="25">
        <f>ROUND('[13]EO Matrix @Meter'!$R$20,2)</f>
        <v>1163217.68</v>
      </c>
      <c r="C19" s="25">
        <f>ROUND(SUM('[14]Ex Post Gross TD Calc'!$E$571:$Z$571),2)</f>
        <v>331067.99</v>
      </c>
      <c r="D19" s="25">
        <f>ROUND(SUM('[14]NTG TD Calc'!$E$436:$Z$436),2)</f>
        <v>-686548</v>
      </c>
      <c r="E19" s="25">
        <f>ROUND(SUM('[14]EO TD Carrying Costs'!$C$55:$X$55),2)</f>
        <v>-17626.7</v>
      </c>
      <c r="F19" s="219">
        <f>SUM(B19:E19)</f>
        <v>790110.97</v>
      </c>
      <c r="G19" s="219">
        <f>ROUND(F19/12*0,2)</f>
        <v>0</v>
      </c>
      <c r="L19" s="186"/>
      <c r="M19" s="186"/>
      <c r="N19" s="186"/>
      <c r="O19" s="186"/>
      <c r="P19" s="186"/>
      <c r="R19" s="4"/>
      <c r="S19" s="4"/>
      <c r="T19" s="4"/>
      <c r="U19" s="4"/>
      <c r="V19" s="4"/>
    </row>
    <row r="20" spans="1:22" x14ac:dyDescent="0.25">
      <c r="A20" s="20" t="s">
        <v>25</v>
      </c>
      <c r="B20" s="218">
        <f>ROUND(SUM(B23:B26),2)</f>
        <v>923233.23</v>
      </c>
      <c r="C20" s="218">
        <f>SUM(C23:C26)</f>
        <v>137591.55000000002</v>
      </c>
      <c r="D20" s="218">
        <f t="shared" ref="D20:G20" si="19">SUM(D23:D26)</f>
        <v>-89366.98</v>
      </c>
      <c r="E20" s="218">
        <f t="shared" si="19"/>
        <v>2905.83</v>
      </c>
      <c r="F20" s="219">
        <f>SUM(B20:E20)</f>
        <v>974363.63</v>
      </c>
      <c r="G20" s="219">
        <f t="shared" si="19"/>
        <v>0</v>
      </c>
      <c r="L20" s="186"/>
      <c r="M20" s="186"/>
      <c r="N20" s="186"/>
      <c r="O20" s="186"/>
      <c r="P20" s="186"/>
      <c r="R20" s="4"/>
      <c r="S20" s="4"/>
      <c r="T20" s="4"/>
      <c r="U20" s="4"/>
      <c r="V20" s="4"/>
    </row>
    <row r="21" spans="1:22" x14ac:dyDescent="0.25">
      <c r="A21" s="20" t="s">
        <v>5</v>
      </c>
      <c r="B21" s="219">
        <f t="shared" ref="B21:G21" si="20">SUM(B19:B20)</f>
        <v>2086450.91</v>
      </c>
      <c r="C21" s="219">
        <f t="shared" si="20"/>
        <v>468659.54000000004</v>
      </c>
      <c r="D21" s="219">
        <f t="shared" si="20"/>
        <v>-775914.98</v>
      </c>
      <c r="E21" s="219">
        <f t="shared" si="20"/>
        <v>-14720.87</v>
      </c>
      <c r="F21" s="219">
        <f t="shared" si="20"/>
        <v>1764474.6</v>
      </c>
      <c r="G21" s="219">
        <f t="shared" si="20"/>
        <v>0</v>
      </c>
      <c r="L21" s="186"/>
      <c r="M21" s="186"/>
      <c r="N21" s="186"/>
      <c r="O21" s="186"/>
      <c r="P21" s="186"/>
      <c r="R21" s="4"/>
      <c r="S21" s="4"/>
      <c r="T21" s="4"/>
      <c r="U21" s="4"/>
      <c r="V21" s="4"/>
    </row>
    <row r="22" spans="1:22" x14ac:dyDescent="0.25">
      <c r="B22" s="216"/>
      <c r="C22" s="216"/>
      <c r="D22" s="217"/>
      <c r="L22" s="186"/>
      <c r="M22" s="186"/>
      <c r="N22" s="186"/>
      <c r="O22" s="186"/>
      <c r="P22" s="186"/>
    </row>
    <row r="23" spans="1:22" x14ac:dyDescent="0.25">
      <c r="A23" s="20" t="s">
        <v>107</v>
      </c>
      <c r="B23" s="25">
        <f>ROUND('[13]EO Matrix @Meter'!$V$20,2)</f>
        <v>89861.64</v>
      </c>
      <c r="C23" s="25">
        <f>ROUND(SUM('[14]Ex Post Gross TD Calc'!$E$572:$Z$572),2)</f>
        <v>30571.68</v>
      </c>
      <c r="D23" s="25">
        <f>ROUND(SUM('[14]NTG TD Calc'!$E$437:$Z$437),2)</f>
        <v>-25048.27</v>
      </c>
      <c r="E23" s="218">
        <f>ROUND(SUM('[14]EO TD Carrying Costs'!$C$56:$X$56),2)</f>
        <v>150.27000000000001</v>
      </c>
      <c r="F23" s="219">
        <f t="shared" ref="F23:F26" si="21">SUM(B23:E23)</f>
        <v>95535.32</v>
      </c>
      <c r="G23" s="219">
        <f>ROUND(F23/12*0,2)</f>
        <v>0</v>
      </c>
      <c r="L23" s="186"/>
      <c r="M23" s="186"/>
      <c r="N23" s="186"/>
      <c r="O23" s="186"/>
      <c r="P23" s="186"/>
      <c r="R23" s="4"/>
      <c r="S23" s="4"/>
      <c r="T23" s="4"/>
      <c r="U23" s="4"/>
      <c r="V23" s="4"/>
    </row>
    <row r="24" spans="1:22" x14ac:dyDescent="0.25">
      <c r="A24" s="20" t="s">
        <v>108</v>
      </c>
      <c r="B24" s="218">
        <f>ROUND('[13]EO Matrix @Meter'!$W$20,2)</f>
        <v>329114.67</v>
      </c>
      <c r="C24" s="218">
        <f>ROUND(SUM('[14]Ex Post Gross TD Calc'!$E$573:$Z$573),2)</f>
        <v>56526.62</v>
      </c>
      <c r="D24" s="218">
        <f>ROUND(SUM('[14]NTG TD Calc'!$E$438:$Z$438),2)</f>
        <v>-39695.9</v>
      </c>
      <c r="E24" s="218">
        <f>ROUND(SUM('[14]EO TD Carrying Costs'!$C$57:$X$57),2)</f>
        <v>964.19</v>
      </c>
      <c r="F24" s="219">
        <f t="shared" si="21"/>
        <v>346909.57999999996</v>
      </c>
      <c r="G24" s="219">
        <f t="shared" ref="G24:G26" si="22">ROUND(F24/12*0,2)</f>
        <v>0</v>
      </c>
      <c r="L24" s="186"/>
      <c r="M24" s="186"/>
      <c r="N24" s="186"/>
      <c r="O24" s="186"/>
      <c r="P24" s="186"/>
      <c r="R24" s="4"/>
      <c r="S24" s="4"/>
      <c r="T24" s="4"/>
      <c r="U24" s="4"/>
      <c r="V24" s="4"/>
    </row>
    <row r="25" spans="1:22" x14ac:dyDescent="0.25">
      <c r="A25" s="20" t="s">
        <v>109</v>
      </c>
      <c r="B25" s="25">
        <f>ROUND('[13]EO Matrix @Meter'!$X$20,2)</f>
        <v>441576.37</v>
      </c>
      <c r="C25" s="25">
        <f>ROUND(SUM('[14]Ex Post Gross TD Calc'!$E$574:$Z$574),2)</f>
        <v>44928.09</v>
      </c>
      <c r="D25" s="25">
        <f>ROUND(SUM('[14]NTG TD Calc'!$E$439:$Z$439),2)</f>
        <v>-23708.22</v>
      </c>
      <c r="E25" s="25">
        <f>ROUND(SUM('[14]EO TD Carrying Costs'!$C$58:$X$58),2)</f>
        <v>1389.19</v>
      </c>
      <c r="F25" s="219">
        <f t="shared" si="21"/>
        <v>464185.43</v>
      </c>
      <c r="G25" s="219">
        <f t="shared" si="22"/>
        <v>0</v>
      </c>
      <c r="L25" s="186"/>
      <c r="M25" s="186"/>
      <c r="N25" s="186"/>
      <c r="O25" s="186"/>
      <c r="P25" s="186"/>
      <c r="R25" s="4"/>
      <c r="S25" s="4"/>
      <c r="T25" s="4"/>
      <c r="U25" s="4"/>
      <c r="V25" s="4"/>
    </row>
    <row r="26" spans="1:22" x14ac:dyDescent="0.25">
      <c r="A26" s="20" t="s">
        <v>110</v>
      </c>
      <c r="B26" s="218">
        <f>ROUND('[13]EO Matrix @Meter'!$Y$20,2)</f>
        <v>62680.55</v>
      </c>
      <c r="C26" s="218">
        <f>ROUND(SUM('[14]Ex Post Gross TD Calc'!$E$575:$Z$575),2)</f>
        <v>5565.16</v>
      </c>
      <c r="D26" s="218">
        <f>ROUND(SUM('[14]NTG TD Calc'!$E$440:$Z$440),2)</f>
        <v>-914.59</v>
      </c>
      <c r="E26" s="218">
        <f>ROUND(SUM('[14]EO TD Carrying Costs'!$C$59:$X$59),2)</f>
        <v>402.18</v>
      </c>
      <c r="F26" s="219">
        <f t="shared" si="21"/>
        <v>67733.3</v>
      </c>
      <c r="G26" s="219">
        <f t="shared" si="22"/>
        <v>0</v>
      </c>
      <c r="L26" s="186"/>
      <c r="M26" s="186"/>
      <c r="N26" s="186"/>
      <c r="O26" s="186"/>
      <c r="P26" s="186"/>
      <c r="R26" s="4"/>
      <c r="S26" s="4"/>
      <c r="T26" s="4"/>
      <c r="U26" s="4"/>
      <c r="V26" s="4"/>
    </row>
    <row r="27" spans="1:22" x14ac:dyDescent="0.25">
      <c r="A27" s="30" t="s">
        <v>112</v>
      </c>
      <c r="B27" s="219">
        <f>SUM(B23:B26)</f>
        <v>923233.23</v>
      </c>
      <c r="C27" s="219">
        <f>SUM(C23:C26)</f>
        <v>137591.55000000002</v>
      </c>
      <c r="D27" s="219">
        <f t="shared" ref="D27:G27" si="23">SUM(D23:D26)</f>
        <v>-89366.98</v>
      </c>
      <c r="E27" s="219">
        <f t="shared" si="23"/>
        <v>2905.83</v>
      </c>
      <c r="F27" s="219">
        <f t="shared" si="23"/>
        <v>974363.63</v>
      </c>
      <c r="G27" s="219">
        <f t="shared" si="23"/>
        <v>0</v>
      </c>
      <c r="L27" s="186"/>
      <c r="M27" s="186"/>
      <c r="N27" s="186"/>
      <c r="O27" s="186"/>
      <c r="P27" s="186"/>
      <c r="R27" s="4"/>
      <c r="S27" s="4"/>
      <c r="T27" s="4"/>
      <c r="U27" s="4"/>
      <c r="V27" s="4"/>
    </row>
    <row r="28" spans="1:22" x14ac:dyDescent="0.25">
      <c r="E28" s="4"/>
    </row>
    <row r="29" spans="1:22" x14ac:dyDescent="0.25">
      <c r="E29" s="4"/>
    </row>
    <row r="30" spans="1:22" x14ac:dyDescent="0.25">
      <c r="A30" s="246" t="s">
        <v>171</v>
      </c>
      <c r="J30" s="305"/>
      <c r="K30" s="305"/>
      <c r="L30" s="305"/>
      <c r="M30" s="305"/>
      <c r="N30" s="305"/>
      <c r="O30" s="305"/>
      <c r="P30" s="305"/>
      <c r="Q30" s="305"/>
    </row>
    <row r="31" spans="1:22" x14ac:dyDescent="0.25">
      <c r="A31" s="20" t="s">
        <v>24</v>
      </c>
      <c r="B31" s="25">
        <f>ROUND(0,2)</f>
        <v>0</v>
      </c>
      <c r="C31" s="25">
        <f>ROUND(SUM('[14]Ex Post Gross TD Calc'!$AA$571:$AF$571),2)</f>
        <v>121182.9</v>
      </c>
      <c r="D31" s="25">
        <f>ROUND(SUM('[14]NTG TD Calc'!$AA$436:$AF$436),2)</f>
        <v>-87029.97</v>
      </c>
      <c r="E31" s="25">
        <f>ROUND(SUM('[14]EO TD Carrying Costs'!$Y$55:$AD$55),2)</f>
        <v>-12821.55</v>
      </c>
      <c r="F31" s="219">
        <f>SUM(B31:E31)</f>
        <v>21331.379999999994</v>
      </c>
      <c r="G31" s="219">
        <f>ROUND(F31/12*0,2)</f>
        <v>0</v>
      </c>
      <c r="J31" s="306"/>
      <c r="K31" s="306"/>
      <c r="L31" s="306"/>
      <c r="M31" s="186"/>
      <c r="N31" s="186"/>
      <c r="O31" s="186"/>
      <c r="P31" s="186"/>
      <c r="R31" s="4"/>
      <c r="S31" s="4"/>
      <c r="T31" s="4"/>
      <c r="U31" s="4"/>
      <c r="V31" s="4"/>
    </row>
    <row r="32" spans="1:22" x14ac:dyDescent="0.25">
      <c r="A32" s="20" t="s">
        <v>25</v>
      </c>
      <c r="B32" s="218">
        <f>SUM(B35:B38)</f>
        <v>0</v>
      </c>
      <c r="C32" s="218">
        <f>SUM(C35:C38)</f>
        <v>37872.939999999995</v>
      </c>
      <c r="D32" s="218">
        <f t="shared" ref="D32:E32" si="24">SUM(D35:D38)</f>
        <v>-10592.6</v>
      </c>
      <c r="E32" s="218">
        <f t="shared" si="24"/>
        <v>2081.9299999999998</v>
      </c>
      <c r="F32" s="219">
        <f>SUM(B32:E32)</f>
        <v>29362.269999999997</v>
      </c>
      <c r="G32" s="219">
        <f>ROUND(F32/12*0,2)</f>
        <v>0</v>
      </c>
      <c r="M32" s="186"/>
      <c r="N32" s="186"/>
      <c r="O32" s="186"/>
      <c r="P32" s="186"/>
      <c r="R32" s="4"/>
      <c r="S32" s="4"/>
      <c r="T32" s="4"/>
      <c r="U32" s="4"/>
      <c r="V32" s="4"/>
    </row>
    <row r="33" spans="1:22" x14ac:dyDescent="0.25">
      <c r="A33" s="20" t="s">
        <v>5</v>
      </c>
      <c r="B33" s="219">
        <f t="shared" ref="B33:G33" si="25">SUM(B31:B32)</f>
        <v>0</v>
      </c>
      <c r="C33" s="219">
        <f t="shared" si="25"/>
        <v>159055.84</v>
      </c>
      <c r="D33" s="219">
        <f t="shared" si="25"/>
        <v>-97622.57</v>
      </c>
      <c r="E33" s="219">
        <f t="shared" si="25"/>
        <v>-10739.619999999999</v>
      </c>
      <c r="F33" s="219">
        <f t="shared" si="25"/>
        <v>50693.649999999994</v>
      </c>
      <c r="G33" s="219">
        <f t="shared" si="25"/>
        <v>0</v>
      </c>
      <c r="M33" s="186"/>
      <c r="N33" s="186"/>
      <c r="O33" s="186"/>
      <c r="P33" s="186"/>
      <c r="R33" s="4"/>
      <c r="S33" s="4"/>
      <c r="T33" s="4"/>
      <c r="U33" s="4"/>
      <c r="V33" s="4"/>
    </row>
    <row r="34" spans="1:22" x14ac:dyDescent="0.25">
      <c r="B34" s="216"/>
      <c r="C34" s="216"/>
      <c r="D34" s="217"/>
      <c r="M34" s="186"/>
      <c r="N34" s="186"/>
      <c r="O34" s="186"/>
      <c r="P34" s="186"/>
    </row>
    <row r="35" spans="1:22" x14ac:dyDescent="0.25">
      <c r="A35" s="20" t="s">
        <v>107</v>
      </c>
      <c r="B35" s="25">
        <f>ROUND(0,2)</f>
        <v>0</v>
      </c>
      <c r="C35" s="25">
        <f>ROUND(SUM('[14]Ex Post Gross TD Calc'!$AA572:$AF572),2)</f>
        <v>7589.27</v>
      </c>
      <c r="D35" s="25">
        <f>ROUND(SUM('[14]NTG TD Calc'!$AA437:$AF437),2)</f>
        <v>-2344.38</v>
      </c>
      <c r="E35" s="218">
        <f>ROUND(SUM('[14]EO TD Carrying Costs'!$Y56:$AD56),2)</f>
        <v>256.27999999999997</v>
      </c>
      <c r="F35" s="219">
        <f t="shared" ref="F35:F38" si="26">SUM(B35:E35)</f>
        <v>5501.17</v>
      </c>
      <c r="G35" s="219">
        <f>ROUND(F35/12*0,2)</f>
        <v>0</v>
      </c>
      <c r="J35" s="306"/>
      <c r="K35" s="306"/>
      <c r="L35" s="306"/>
      <c r="M35" s="186"/>
      <c r="N35" s="186"/>
      <c r="O35" s="186"/>
      <c r="P35" s="186"/>
      <c r="R35" s="4"/>
      <c r="S35" s="4"/>
      <c r="T35" s="4"/>
      <c r="U35" s="4"/>
      <c r="V35" s="4"/>
    </row>
    <row r="36" spans="1:22" x14ac:dyDescent="0.25">
      <c r="A36" s="20" t="s">
        <v>108</v>
      </c>
      <c r="B36" s="218">
        <f>ROUND(0,2)</f>
        <v>0</v>
      </c>
      <c r="C36" s="218">
        <f>ROUND(SUM('[14]Ex Post Gross TD Calc'!$AA573:$AF573),2)</f>
        <v>17892.060000000001</v>
      </c>
      <c r="D36" s="218">
        <f>ROUND(SUM('[14]NTG TD Calc'!$AA438:$AF438),2)</f>
        <v>-5102.96</v>
      </c>
      <c r="E36" s="218">
        <f>ROUND(SUM('[14]EO TD Carrying Costs'!$Y57:$AD57),2)</f>
        <v>766.86</v>
      </c>
      <c r="F36" s="219">
        <f t="shared" si="26"/>
        <v>13555.960000000003</v>
      </c>
      <c r="G36" s="219">
        <f t="shared" ref="G36:G38" si="27">ROUND(F36/12*0,2)</f>
        <v>0</v>
      </c>
      <c r="J36" s="306"/>
      <c r="K36" s="306"/>
      <c r="L36" s="306"/>
      <c r="M36" s="186"/>
      <c r="N36" s="186"/>
      <c r="O36" s="186"/>
      <c r="P36" s="186"/>
      <c r="R36" s="4"/>
      <c r="S36" s="4"/>
      <c r="T36" s="4"/>
      <c r="U36" s="4"/>
      <c r="V36" s="4"/>
    </row>
    <row r="37" spans="1:22" x14ac:dyDescent="0.25">
      <c r="A37" s="20" t="s">
        <v>109</v>
      </c>
      <c r="B37" s="25">
        <f>ROUND(0,2)</f>
        <v>0</v>
      </c>
      <c r="C37" s="25">
        <f>ROUND(SUM('[14]Ex Post Gross TD Calc'!$AA574:$AF574),2)</f>
        <v>11918.09</v>
      </c>
      <c r="D37" s="25">
        <f>ROUND(SUM('[14]NTG TD Calc'!$AA439:$AF439),2)</f>
        <v>-2977.22</v>
      </c>
      <c r="E37" s="25">
        <f>ROUND(SUM('[14]EO TD Carrying Costs'!$Y58:$AD58),2)</f>
        <v>884.23</v>
      </c>
      <c r="F37" s="219">
        <f t="shared" si="26"/>
        <v>9825.1</v>
      </c>
      <c r="G37" s="219">
        <f t="shared" si="27"/>
        <v>0</v>
      </c>
      <c r="J37" s="306"/>
      <c r="K37" s="306"/>
      <c r="L37" s="306"/>
      <c r="M37" s="186"/>
      <c r="N37" s="186"/>
      <c r="O37" s="186"/>
      <c r="P37" s="186"/>
      <c r="R37" s="4"/>
      <c r="S37" s="4"/>
      <c r="T37" s="4"/>
      <c r="U37" s="4"/>
      <c r="V37" s="4"/>
    </row>
    <row r="38" spans="1:22" x14ac:dyDescent="0.25">
      <c r="A38" s="20" t="s">
        <v>110</v>
      </c>
      <c r="B38" s="218">
        <f>ROUND(0,2)</f>
        <v>0</v>
      </c>
      <c r="C38" s="218">
        <f>ROUND(SUM('[14]Ex Post Gross TD Calc'!$AA575:$AF575),2)</f>
        <v>473.52</v>
      </c>
      <c r="D38" s="218">
        <f>ROUND(SUM('[14]NTG TD Calc'!$AA440:$AF440),2)</f>
        <v>-168.04</v>
      </c>
      <c r="E38" s="218">
        <f>ROUND(SUM('[14]EO TD Carrying Costs'!$Y59:$AD59),2)</f>
        <v>174.56</v>
      </c>
      <c r="F38" s="219">
        <f t="shared" si="26"/>
        <v>480.04</v>
      </c>
      <c r="G38" s="219">
        <f t="shared" si="27"/>
        <v>0</v>
      </c>
      <c r="J38" s="306"/>
      <c r="K38" s="306"/>
      <c r="L38" s="306"/>
      <c r="M38" s="186"/>
      <c r="N38" s="186"/>
      <c r="O38" s="186"/>
      <c r="P38" s="186"/>
      <c r="R38" s="4"/>
      <c r="S38" s="4"/>
      <c r="T38" s="4"/>
      <c r="U38" s="4"/>
      <c r="V38" s="4"/>
    </row>
    <row r="39" spans="1:22" x14ac:dyDescent="0.25">
      <c r="A39" s="30" t="s">
        <v>112</v>
      </c>
      <c r="B39" s="219">
        <f>SUM(B35:B38)</f>
        <v>0</v>
      </c>
      <c r="C39" s="219">
        <f>SUM(C35:C38)</f>
        <v>37872.939999999995</v>
      </c>
      <c r="D39" s="219">
        <f t="shared" ref="D39:G39" si="28">SUM(D35:D38)</f>
        <v>-10592.6</v>
      </c>
      <c r="E39" s="219">
        <f t="shared" si="28"/>
        <v>2081.9299999999998</v>
      </c>
      <c r="F39" s="219">
        <f t="shared" si="28"/>
        <v>29362.270000000004</v>
      </c>
      <c r="G39" s="219">
        <f t="shared" si="28"/>
        <v>0</v>
      </c>
      <c r="L39" s="186"/>
      <c r="M39" s="186"/>
      <c r="N39" s="186"/>
      <c r="O39" s="186"/>
      <c r="P39" s="186"/>
      <c r="R39" s="4"/>
      <c r="S39" s="4"/>
      <c r="T39" s="4"/>
      <c r="U39" s="4"/>
      <c r="V39" s="4"/>
    </row>
    <row r="40" spans="1:22" x14ac:dyDescent="0.25">
      <c r="E40" s="4"/>
    </row>
    <row r="42" spans="1:22" x14ac:dyDescent="0.25">
      <c r="A42" s="246" t="s">
        <v>181</v>
      </c>
      <c r="J42" s="305"/>
      <c r="K42" s="305"/>
      <c r="L42" s="305"/>
      <c r="M42" s="305"/>
      <c r="N42" s="305"/>
      <c r="O42" s="305"/>
      <c r="P42" s="305"/>
      <c r="Q42" s="305"/>
    </row>
    <row r="43" spans="1:22" x14ac:dyDescent="0.25">
      <c r="A43" s="20" t="s">
        <v>24</v>
      </c>
      <c r="B43" s="25">
        <f>ROUND(0,2)</f>
        <v>0</v>
      </c>
      <c r="C43" s="25">
        <f>ROUND(SUM('[14]Ex Post Gross TD Calc'!$AG$571:$AM$571),2)</f>
        <v>137657.76</v>
      </c>
      <c r="D43" s="25">
        <f>ROUND(SUM('[14]NTG TD Calc'!$AG$436:$AM$436),2)</f>
        <v>0.03</v>
      </c>
      <c r="E43" s="25">
        <f>ROUND(SUM('[14]EO TD Carrying Costs'!$AE$55:$AI$55),2)</f>
        <v>-8083.49</v>
      </c>
      <c r="F43" s="219">
        <f>SUM(B43:E43)</f>
        <v>129574.3</v>
      </c>
      <c r="G43" s="219">
        <f>ROUND(F43/12*1,2)</f>
        <v>10797.86</v>
      </c>
      <c r="J43" s="306"/>
      <c r="K43" s="306"/>
      <c r="L43" s="306"/>
      <c r="M43" s="306"/>
      <c r="N43" s="306"/>
      <c r="O43" s="306"/>
      <c r="P43" s="306"/>
      <c r="Q43" s="306"/>
      <c r="R43" s="4"/>
      <c r="S43" s="4"/>
      <c r="T43" s="4"/>
      <c r="U43" s="4"/>
      <c r="V43" s="4"/>
    </row>
    <row r="44" spans="1:22" x14ac:dyDescent="0.25">
      <c r="A44" s="20" t="s">
        <v>25</v>
      </c>
      <c r="B44" s="218">
        <f>SUM(B47:B50)</f>
        <v>0</v>
      </c>
      <c r="C44" s="218">
        <f>SUM(C47:C50)</f>
        <v>59053.65</v>
      </c>
      <c r="D44" s="218">
        <f t="shared" ref="D44:E44" si="29">SUM(D47:D50)</f>
        <v>0.01</v>
      </c>
      <c r="E44" s="218">
        <f t="shared" si="29"/>
        <v>2774.88</v>
      </c>
      <c r="F44" s="219">
        <f>SUM(B44:E44)</f>
        <v>61828.54</v>
      </c>
      <c r="G44" s="219">
        <f>ROUND(F44/12*1,2)</f>
        <v>5152.38</v>
      </c>
      <c r="R44" s="4"/>
      <c r="S44" s="4"/>
      <c r="T44" s="4"/>
      <c r="U44" s="4"/>
      <c r="V44" s="4"/>
    </row>
    <row r="45" spans="1:22" x14ac:dyDescent="0.25">
      <c r="A45" s="20" t="s">
        <v>5</v>
      </c>
      <c r="B45" s="219">
        <f t="shared" ref="B45:G45" si="30">SUM(B43:B44)</f>
        <v>0</v>
      </c>
      <c r="C45" s="219">
        <f t="shared" si="30"/>
        <v>196711.41</v>
      </c>
      <c r="D45" s="219">
        <f t="shared" si="30"/>
        <v>0.04</v>
      </c>
      <c r="E45" s="219">
        <f t="shared" si="30"/>
        <v>-5308.61</v>
      </c>
      <c r="F45" s="219">
        <f t="shared" si="30"/>
        <v>191402.84</v>
      </c>
      <c r="G45" s="219">
        <f t="shared" si="30"/>
        <v>15950.240000000002</v>
      </c>
      <c r="R45" s="4"/>
      <c r="S45" s="4"/>
      <c r="T45" s="4"/>
      <c r="U45" s="4"/>
      <c r="V45" s="4"/>
    </row>
    <row r="46" spans="1:22" x14ac:dyDescent="0.25">
      <c r="B46" s="216"/>
      <c r="C46" s="216"/>
      <c r="D46" s="217"/>
    </row>
    <row r="47" spans="1:22" x14ac:dyDescent="0.25">
      <c r="A47" s="20" t="s">
        <v>107</v>
      </c>
      <c r="B47" s="25">
        <f>ROUND(0,2)</f>
        <v>0</v>
      </c>
      <c r="C47" s="25">
        <f>ROUND(SUM('[14]Ex Post Gross TD Calc'!$AG572:$AM572),2)</f>
        <v>13769.16</v>
      </c>
      <c r="D47" s="25">
        <f>ROUND(SUM('[14]NTG TD Calc'!$AG437:$AM437),2)</f>
        <v>0.02</v>
      </c>
      <c r="E47" s="218">
        <f>ROUND(SUM('[14]EO TD Carrying Costs'!$AE56:$AI56),2)</f>
        <v>443.83</v>
      </c>
      <c r="F47" s="219">
        <f t="shared" ref="F47:F50" si="31">SUM(B47:E47)</f>
        <v>14213.01</v>
      </c>
      <c r="G47" s="219">
        <f>ROUND(F47/12*1,2)</f>
        <v>1184.42</v>
      </c>
      <c r="J47" s="306"/>
      <c r="K47" s="306"/>
      <c r="L47" s="306"/>
      <c r="M47" s="306"/>
      <c r="N47" s="306"/>
      <c r="O47" s="306"/>
      <c r="P47" s="306"/>
      <c r="Q47" s="306"/>
      <c r="R47" s="4"/>
      <c r="S47" s="4"/>
      <c r="T47" s="4"/>
      <c r="U47" s="4"/>
      <c r="V47" s="4"/>
    </row>
    <row r="48" spans="1:22" x14ac:dyDescent="0.25">
      <c r="A48" s="20" t="s">
        <v>108</v>
      </c>
      <c r="B48" s="218">
        <f>ROUND(0,2)</f>
        <v>0</v>
      </c>
      <c r="C48" s="218">
        <f>ROUND(SUM('[14]Ex Post Gross TD Calc'!$AG573:$AM573),2)</f>
        <v>26875.279999999999</v>
      </c>
      <c r="D48" s="218">
        <f>ROUND(SUM('[14]NTG TD Calc'!$AG438:$AM438),2)</f>
        <v>0</v>
      </c>
      <c r="E48" s="218">
        <f>ROUND(SUM('[14]EO TD Carrying Costs'!$AE57:$AI57),2)</f>
        <v>1119.3900000000001</v>
      </c>
      <c r="F48" s="219">
        <f t="shared" si="31"/>
        <v>27994.67</v>
      </c>
      <c r="G48" s="219">
        <f t="shared" ref="G48:G50" si="32">ROUND(F48/12*1,2)</f>
        <v>2332.89</v>
      </c>
      <c r="J48" s="306"/>
      <c r="K48" s="306"/>
      <c r="L48" s="306"/>
      <c r="M48" s="306"/>
      <c r="N48" s="306"/>
      <c r="O48" s="306"/>
      <c r="P48" s="306"/>
      <c r="Q48" s="306"/>
      <c r="R48" s="4"/>
      <c r="S48" s="4"/>
      <c r="T48" s="4"/>
      <c r="U48" s="4"/>
      <c r="V48" s="4"/>
    </row>
    <row r="49" spans="1:22" x14ac:dyDescent="0.25">
      <c r="A49" s="20" t="s">
        <v>109</v>
      </c>
      <c r="B49" s="25">
        <f>ROUND(0,2)</f>
        <v>0</v>
      </c>
      <c r="C49" s="25">
        <f>ROUND(SUM('[14]Ex Post Gross TD Calc'!$AG574:$AM574),2)</f>
        <v>17796.580000000002</v>
      </c>
      <c r="D49" s="25">
        <f>ROUND(SUM('[14]NTG TD Calc'!$AG439:$AM439),2)</f>
        <v>-0.02</v>
      </c>
      <c r="E49" s="218">
        <f>ROUND(SUM('[14]EO TD Carrying Costs'!$AE58:$AI58),2)</f>
        <v>1056.42</v>
      </c>
      <c r="F49" s="219">
        <f t="shared" si="31"/>
        <v>18852.980000000003</v>
      </c>
      <c r="G49" s="219">
        <f t="shared" si="32"/>
        <v>1571.08</v>
      </c>
      <c r="J49" s="306"/>
      <c r="K49" s="306"/>
      <c r="L49" s="306"/>
      <c r="M49" s="306"/>
      <c r="N49" s="306"/>
      <c r="O49" s="306"/>
      <c r="P49" s="306"/>
      <c r="Q49" s="306"/>
      <c r="R49" s="4"/>
      <c r="S49" s="4"/>
      <c r="T49" s="4"/>
      <c r="U49" s="4"/>
      <c r="V49" s="4"/>
    </row>
    <row r="50" spans="1:22" x14ac:dyDescent="0.25">
      <c r="A50" s="20" t="s">
        <v>110</v>
      </c>
      <c r="B50" s="218">
        <f>ROUND(0,2)</f>
        <v>0</v>
      </c>
      <c r="C50" s="218">
        <f>ROUND(SUM('[14]Ex Post Gross TD Calc'!$AG575:$AM575),2)</f>
        <v>612.63</v>
      </c>
      <c r="D50" s="218">
        <f>ROUND(SUM('[14]NTG TD Calc'!$AG440:$AM440),2)</f>
        <v>0.01</v>
      </c>
      <c r="E50" s="218">
        <f>ROUND(SUM('[14]EO TD Carrying Costs'!$AE59:$AI59),2)</f>
        <v>155.24</v>
      </c>
      <c r="F50" s="219">
        <f t="shared" si="31"/>
        <v>767.88</v>
      </c>
      <c r="G50" s="219">
        <f t="shared" si="32"/>
        <v>63.99</v>
      </c>
      <c r="J50" s="306"/>
      <c r="K50" s="306"/>
      <c r="L50" s="306"/>
      <c r="M50" s="306"/>
      <c r="N50" s="306"/>
      <c r="O50" s="306"/>
      <c r="P50" s="306"/>
      <c r="Q50" s="306"/>
      <c r="R50" s="4"/>
      <c r="S50" s="4"/>
      <c r="T50" s="4"/>
      <c r="U50" s="4"/>
      <c r="V50" s="4"/>
    </row>
    <row r="51" spans="1:22" x14ac:dyDescent="0.25">
      <c r="A51" s="30" t="s">
        <v>112</v>
      </c>
      <c r="B51" s="219">
        <f>SUM(B47:B50)</f>
        <v>0</v>
      </c>
      <c r="C51" s="219">
        <f>SUM(C47:C50)</f>
        <v>59053.65</v>
      </c>
      <c r="D51" s="219">
        <f t="shared" ref="D51:G51" si="33">SUM(D47:D50)</f>
        <v>0.01</v>
      </c>
      <c r="E51" s="219">
        <f t="shared" si="33"/>
        <v>2774.88</v>
      </c>
      <c r="F51" s="219">
        <f t="shared" si="33"/>
        <v>61828.54</v>
      </c>
      <c r="G51" s="219">
        <f t="shared" si="33"/>
        <v>5152.3799999999992</v>
      </c>
      <c r="L51" s="186"/>
      <c r="M51" s="186"/>
      <c r="N51" s="186"/>
      <c r="O51" s="186"/>
      <c r="P51" s="186"/>
      <c r="R51" s="4"/>
      <c r="S51" s="4"/>
      <c r="T51" s="4"/>
      <c r="U51" s="4"/>
      <c r="V51" s="4"/>
    </row>
    <row r="52" spans="1:22" x14ac:dyDescent="0.25">
      <c r="E52" s="4"/>
    </row>
    <row r="53" spans="1:22" x14ac:dyDescent="0.25">
      <c r="E53" s="4"/>
    </row>
    <row r="54" spans="1:22" x14ac:dyDescent="0.25">
      <c r="A54" s="246" t="s">
        <v>254</v>
      </c>
      <c r="H54" s="39"/>
    </row>
    <row r="55" spans="1:22" x14ac:dyDescent="0.25">
      <c r="A55" s="20" t="s">
        <v>24</v>
      </c>
      <c r="B55" s="25">
        <f>ROUND(0,2)</f>
        <v>0</v>
      </c>
      <c r="C55" s="25">
        <f>ROUND(SUM('[14]Ex Post Gross TD Calc'!$AN$571:$AR$571),2)</f>
        <v>19484.43</v>
      </c>
      <c r="D55" s="25">
        <f>ROUND(SUM('[14]NTG TD Calc'!$AN$436:$AR$436),2)</f>
        <v>0</v>
      </c>
      <c r="E55" s="25">
        <f>ROUND(SUM('[14]EO TD Carrying Costs'!$AJ55:$AP55),2)</f>
        <v>-3751.12</v>
      </c>
      <c r="F55" s="219">
        <f>SUM(B55:E55)</f>
        <v>15733.310000000001</v>
      </c>
      <c r="G55" s="219">
        <f>ROUND(F55/12*11,2)</f>
        <v>14422.2</v>
      </c>
      <c r="H55" s="39"/>
    </row>
    <row r="56" spans="1:22" x14ac:dyDescent="0.25">
      <c r="A56" s="20" t="s">
        <v>25</v>
      </c>
      <c r="B56" s="218">
        <f>SUM(B59:B62)</f>
        <v>0</v>
      </c>
      <c r="C56" s="218">
        <f>SUM(C59:C62)</f>
        <v>6012.1399999999994</v>
      </c>
      <c r="D56" s="218">
        <f t="shared" ref="D56:E56" si="34">SUM(D59:D62)</f>
        <v>0.01</v>
      </c>
      <c r="E56" s="218">
        <f t="shared" si="34"/>
        <v>2260.19</v>
      </c>
      <c r="F56" s="219">
        <f>SUM(B56:E56)</f>
        <v>8272.34</v>
      </c>
      <c r="G56" s="219">
        <f>ROUND(F56/12*11,2)</f>
        <v>7582.98</v>
      </c>
      <c r="H56" s="39"/>
    </row>
    <row r="57" spans="1:22" x14ac:dyDescent="0.25">
      <c r="A57" s="20" t="s">
        <v>5</v>
      </c>
      <c r="B57" s="219">
        <f t="shared" ref="B57:G57" si="35">SUM(B55:B56)</f>
        <v>0</v>
      </c>
      <c r="C57" s="219">
        <f t="shared" si="35"/>
        <v>25496.57</v>
      </c>
      <c r="D57" s="219">
        <f t="shared" si="35"/>
        <v>0.01</v>
      </c>
      <c r="E57" s="219">
        <f t="shared" si="35"/>
        <v>-1490.9299999999998</v>
      </c>
      <c r="F57" s="219">
        <f t="shared" si="35"/>
        <v>24005.65</v>
      </c>
      <c r="G57" s="219">
        <f t="shared" si="35"/>
        <v>22005.18</v>
      </c>
      <c r="H57" s="39"/>
    </row>
    <row r="58" spans="1:22" x14ac:dyDescent="0.25">
      <c r="B58" s="216"/>
      <c r="C58" s="216"/>
      <c r="D58" s="217"/>
      <c r="H58" s="39"/>
    </row>
    <row r="59" spans="1:22" x14ac:dyDescent="0.25">
      <c r="A59" s="20" t="s">
        <v>107</v>
      </c>
      <c r="B59" s="25">
        <f>ROUND(0,2)</f>
        <v>0</v>
      </c>
      <c r="C59" s="25">
        <f>ROUND(SUM('[14]Ex Post Gross TD Calc'!$AN572:$AR572),2)</f>
        <v>1215.73</v>
      </c>
      <c r="D59" s="25">
        <f>ROUND(SUM('[14]NTG TD Calc'!$AN437:$AR437),2)</f>
        <v>0.01</v>
      </c>
      <c r="E59" s="25">
        <f>ROUND(SUM('[14]EO TD Carrying Costs'!$AJ56:$AP56),2)</f>
        <v>402.1</v>
      </c>
      <c r="F59" s="219">
        <f t="shared" ref="F59:F62" si="36">SUM(B59:E59)</f>
        <v>1617.8400000000001</v>
      </c>
      <c r="G59" s="219">
        <f>ROUND(F59/12*11,2)</f>
        <v>1483.02</v>
      </c>
      <c r="H59" s="39"/>
    </row>
    <row r="60" spans="1:22" x14ac:dyDescent="0.25">
      <c r="A60" s="20" t="s">
        <v>108</v>
      </c>
      <c r="B60" s="218">
        <f>ROUND(0,2)</f>
        <v>0</v>
      </c>
      <c r="C60" s="25">
        <f>ROUND(SUM('[14]Ex Post Gross TD Calc'!$AN573:$AR573),2)</f>
        <v>2872.39</v>
      </c>
      <c r="D60" s="25">
        <f>ROUND(SUM('[14]NTG TD Calc'!$AN438:$AR438),2)</f>
        <v>-0.01</v>
      </c>
      <c r="E60" s="25">
        <f>ROUND(SUM('[14]EO TD Carrying Costs'!$AJ57:$AP57),2)</f>
        <v>939.03</v>
      </c>
      <c r="F60" s="219">
        <f t="shared" si="36"/>
        <v>3811.41</v>
      </c>
      <c r="G60" s="219">
        <f t="shared" ref="G60:G62" si="37">ROUND(F60/12*11,2)</f>
        <v>3493.79</v>
      </c>
      <c r="H60" s="39"/>
    </row>
    <row r="61" spans="1:22" x14ac:dyDescent="0.25">
      <c r="A61" s="20" t="s">
        <v>109</v>
      </c>
      <c r="B61" s="25">
        <f>ROUND(0,2)</f>
        <v>0</v>
      </c>
      <c r="C61" s="25">
        <f>ROUND(SUM('[14]Ex Post Gross TD Calc'!$AN574:$AR574),2)</f>
        <v>1852.08</v>
      </c>
      <c r="D61" s="25">
        <f>ROUND(SUM('[14]NTG TD Calc'!$AN439:$AR439),2)</f>
        <v>0.01</v>
      </c>
      <c r="E61" s="25">
        <f>ROUND(SUM('[14]EO TD Carrying Costs'!$AJ58:$AP58),2)</f>
        <v>817.17</v>
      </c>
      <c r="F61" s="219">
        <f t="shared" si="36"/>
        <v>2669.2599999999998</v>
      </c>
      <c r="G61" s="219">
        <f t="shared" si="37"/>
        <v>2446.8200000000002</v>
      </c>
      <c r="H61" s="39"/>
    </row>
    <row r="62" spans="1:22" x14ac:dyDescent="0.25">
      <c r="A62" s="20" t="s">
        <v>110</v>
      </c>
      <c r="B62" s="218">
        <f>ROUND(0,2)</f>
        <v>0</v>
      </c>
      <c r="C62" s="25">
        <f>ROUND(SUM('[14]Ex Post Gross TD Calc'!$AN575:$AR575),2)</f>
        <v>71.94</v>
      </c>
      <c r="D62" s="25">
        <f>ROUND(SUM('[14]NTG TD Calc'!$AN440:$AR440),2)</f>
        <v>0</v>
      </c>
      <c r="E62" s="25">
        <f>ROUND(SUM('[14]EO TD Carrying Costs'!$AJ59:$AP59),2)</f>
        <v>101.89</v>
      </c>
      <c r="F62" s="219">
        <f t="shared" si="36"/>
        <v>173.82999999999998</v>
      </c>
      <c r="G62" s="219">
        <f t="shared" si="37"/>
        <v>159.34</v>
      </c>
      <c r="H62" s="39"/>
    </row>
    <row r="63" spans="1:22" x14ac:dyDescent="0.25">
      <c r="A63" s="30" t="s">
        <v>112</v>
      </c>
      <c r="B63" s="219">
        <f>SUM(B59:B62)</f>
        <v>0</v>
      </c>
      <c r="C63" s="219">
        <f>SUM(C59:C62)</f>
        <v>6012.1399999999994</v>
      </c>
      <c r="D63" s="219">
        <f t="shared" ref="D63:G63" si="38">SUM(D59:D62)</f>
        <v>0.01</v>
      </c>
      <c r="E63" s="219">
        <f t="shared" si="38"/>
        <v>2260.19</v>
      </c>
      <c r="F63" s="219">
        <f t="shared" si="38"/>
        <v>8272.34</v>
      </c>
      <c r="G63" s="219">
        <f t="shared" si="38"/>
        <v>7582.9699999999993</v>
      </c>
      <c r="H63" s="39"/>
    </row>
    <row r="64" spans="1:22" x14ac:dyDescent="0.25">
      <c r="E64" s="4"/>
    </row>
    <row r="66" spans="1:22" x14ac:dyDescent="0.25">
      <c r="A66" s="246" t="s">
        <v>183</v>
      </c>
    </row>
    <row r="67" spans="1:22" x14ac:dyDescent="0.25">
      <c r="A67" s="20" t="s">
        <v>24</v>
      </c>
      <c r="B67" s="25">
        <f>ROUND('[15]EO Matrix @Meter'!$AL$20,2)</f>
        <v>1385047.19</v>
      </c>
      <c r="C67" s="25">
        <f>ROUND(SUM('[16]Ex Post Gross TD Calc'!$Q$571:$AN$571),2)</f>
        <v>-356522.43</v>
      </c>
      <c r="D67" s="25">
        <f>ROUND(SUM('[16]NTG TD Calc'!$Q$436:$AN$436),2)</f>
        <v>-293909.08</v>
      </c>
      <c r="E67" s="25">
        <f>ROUND(SUM('[16]EO TD Carrying Costs'!$O$55:$AL$55),2)</f>
        <v>-55727.9</v>
      </c>
      <c r="F67" s="219">
        <f>SUM(B67:E67)</f>
        <v>678887.77999999991</v>
      </c>
      <c r="G67" s="219">
        <f>ROUND(F67/12*7,2)</f>
        <v>396017.87</v>
      </c>
      <c r="L67" s="186"/>
      <c r="M67" s="306"/>
      <c r="N67" s="306"/>
      <c r="O67" s="306"/>
      <c r="P67" s="306"/>
      <c r="Q67" s="306"/>
      <c r="R67" s="4"/>
      <c r="S67" s="4"/>
      <c r="T67" s="4"/>
      <c r="U67" s="4"/>
      <c r="V67" s="4"/>
    </row>
    <row r="68" spans="1:22" x14ac:dyDescent="0.25">
      <c r="A68" s="20" t="s">
        <v>25</v>
      </c>
      <c r="B68" s="218">
        <f>SUM(B71:B74)</f>
        <v>839588.63</v>
      </c>
      <c r="C68" s="218">
        <f>SUM(C71:C74)</f>
        <v>65049.640000000007</v>
      </c>
      <c r="D68" s="218">
        <f t="shared" ref="D68:E68" si="39">SUM(D71:D74)</f>
        <v>-145276.81</v>
      </c>
      <c r="E68" s="218">
        <f t="shared" si="39"/>
        <v>-4013.3000000000006</v>
      </c>
      <c r="F68" s="219">
        <f>SUM(B68:E68)</f>
        <v>755348.15999999992</v>
      </c>
      <c r="G68" s="219">
        <f>ROUND(F68/12*7,2)</f>
        <v>440619.76</v>
      </c>
      <c r="L68" s="186"/>
      <c r="R68" s="4"/>
      <c r="S68" s="4"/>
      <c r="T68" s="4"/>
      <c r="U68" s="4"/>
      <c r="V68" s="4"/>
    </row>
    <row r="69" spans="1:22" x14ac:dyDescent="0.25">
      <c r="A69" s="20" t="s">
        <v>5</v>
      </c>
      <c r="B69" s="219">
        <f t="shared" ref="B69:G69" si="40">SUM(B67:B68)</f>
        <v>2224635.8199999998</v>
      </c>
      <c r="C69" s="219">
        <f t="shared" si="40"/>
        <v>-291472.78999999998</v>
      </c>
      <c r="D69" s="219">
        <f t="shared" si="40"/>
        <v>-439185.89</v>
      </c>
      <c r="E69" s="219">
        <f t="shared" si="40"/>
        <v>-59741.200000000004</v>
      </c>
      <c r="F69" s="219">
        <f t="shared" si="40"/>
        <v>1434235.94</v>
      </c>
      <c r="G69" s="219">
        <f t="shared" si="40"/>
        <v>836637.63</v>
      </c>
      <c r="L69" s="186"/>
      <c r="R69" s="4"/>
      <c r="S69" s="4"/>
      <c r="T69" s="4"/>
      <c r="U69" s="4"/>
      <c r="V69" s="4"/>
    </row>
    <row r="70" spans="1:22" x14ac:dyDescent="0.25">
      <c r="B70" s="216"/>
      <c r="C70" s="216"/>
      <c r="D70" s="217"/>
      <c r="L70" s="186"/>
    </row>
    <row r="71" spans="1:22" x14ac:dyDescent="0.25">
      <c r="A71" s="20" t="s">
        <v>107</v>
      </c>
      <c r="B71" s="25">
        <f>ROUND('[15]EO Matrix @Meter'!$AP$20,2)</f>
        <v>76053.37</v>
      </c>
      <c r="C71" s="25">
        <f>ROUND(SUM('[16]Ex Post Gross TD Calc'!$Q572:$AN572),2)</f>
        <v>11349.51</v>
      </c>
      <c r="D71" s="25">
        <f>ROUND(SUM('[16]NTG TD Calc'!$Q437:$AN437),2)</f>
        <v>-29089.62</v>
      </c>
      <c r="E71" s="218">
        <f>ROUND(SUM('[16]EO TD Carrying Costs'!$O56:$AL56),2)</f>
        <v>-1558.66</v>
      </c>
      <c r="F71" s="219">
        <f t="shared" ref="F71:F74" si="41">SUM(B71:E71)</f>
        <v>56754.599999999991</v>
      </c>
      <c r="G71" s="219">
        <f>ROUND(F71/12*7,2)</f>
        <v>33106.85</v>
      </c>
      <c r="L71" s="186"/>
      <c r="M71" s="306"/>
      <c r="N71" s="306"/>
      <c r="O71" s="306"/>
      <c r="P71" s="306"/>
      <c r="Q71" s="306"/>
      <c r="R71" s="4"/>
      <c r="S71" s="4"/>
      <c r="T71" s="4"/>
      <c r="U71" s="4"/>
      <c r="V71" s="4"/>
    </row>
    <row r="72" spans="1:22" x14ac:dyDescent="0.25">
      <c r="A72" s="20" t="s">
        <v>108</v>
      </c>
      <c r="B72" s="218">
        <f>ROUND('[15]EO Matrix @Meter'!$AQ$20,2)</f>
        <v>187581.29</v>
      </c>
      <c r="C72" s="218">
        <f>ROUND(SUM('[16]Ex Post Gross TD Calc'!$Q573:$AN573),2)</f>
        <v>114.28</v>
      </c>
      <c r="D72" s="218">
        <f>ROUND(SUM('[16]NTG TD Calc'!$Q438:$AN438),2)</f>
        <v>-55888.89</v>
      </c>
      <c r="E72" s="218">
        <f>ROUND(SUM('[16]EO TD Carrying Costs'!$O57:$AL57),2)</f>
        <v>-2411.94</v>
      </c>
      <c r="F72" s="219">
        <f t="shared" si="41"/>
        <v>129394.73999999999</v>
      </c>
      <c r="G72" s="219">
        <f t="shared" ref="G72:G74" si="42">ROUND(F72/12*7,2)</f>
        <v>75480.27</v>
      </c>
      <c r="L72" s="186"/>
      <c r="M72" s="306"/>
      <c r="N72" s="306"/>
      <c r="O72" s="306"/>
      <c r="P72" s="306"/>
      <c r="Q72" s="306"/>
      <c r="R72" s="4"/>
      <c r="S72" s="4"/>
      <c r="T72" s="4"/>
      <c r="U72" s="4"/>
      <c r="V72" s="4"/>
    </row>
    <row r="73" spans="1:22" x14ac:dyDescent="0.25">
      <c r="A73" s="20" t="s">
        <v>109</v>
      </c>
      <c r="B73" s="25">
        <f>ROUND('[15]EO Matrix @Meter'!$AR$20,2)</f>
        <v>528596.72</v>
      </c>
      <c r="C73" s="25">
        <f>ROUND(SUM('[16]Ex Post Gross TD Calc'!$Q574:$AN574),2)</f>
        <v>48292.800000000003</v>
      </c>
      <c r="D73" s="25">
        <f>ROUND(SUM('[16]NTG TD Calc'!$Q439:$AN439),2)</f>
        <v>-59418.79</v>
      </c>
      <c r="E73" s="25">
        <f>ROUND(SUM('[16]EO TD Carrying Costs'!$O58:$AL58),2)</f>
        <v>-520.14</v>
      </c>
      <c r="F73" s="219">
        <f t="shared" si="41"/>
        <v>516950.59</v>
      </c>
      <c r="G73" s="219">
        <f t="shared" si="42"/>
        <v>301554.51</v>
      </c>
      <c r="L73" s="186"/>
      <c r="M73" s="306"/>
      <c r="N73" s="306"/>
      <c r="O73" s="306"/>
      <c r="P73" s="306"/>
      <c r="Q73" s="306"/>
      <c r="R73" s="4"/>
      <c r="S73" s="4"/>
      <c r="T73" s="4"/>
      <c r="U73" s="4"/>
      <c r="V73" s="4"/>
    </row>
    <row r="74" spans="1:22" x14ac:dyDescent="0.25">
      <c r="A74" s="20" t="s">
        <v>110</v>
      </c>
      <c r="B74" s="218">
        <f>ROUND('[15]EO Matrix @Meter'!$AS$20,2)</f>
        <v>47357.25</v>
      </c>
      <c r="C74" s="218">
        <f>ROUND(SUM('[16]Ex Post Gross TD Calc'!$Q575:$AN575),2)</f>
        <v>5293.05</v>
      </c>
      <c r="D74" s="218">
        <f>ROUND(SUM('[16]NTG TD Calc'!$Q440:$AN440),2)</f>
        <v>-879.51</v>
      </c>
      <c r="E74" s="218">
        <f>ROUND(SUM('[16]EO TD Carrying Costs'!$O59:$AL59),2)</f>
        <v>477.44</v>
      </c>
      <c r="F74" s="219">
        <f t="shared" si="41"/>
        <v>52248.23</v>
      </c>
      <c r="G74" s="219">
        <f t="shared" si="42"/>
        <v>30478.13</v>
      </c>
      <c r="L74" s="186"/>
      <c r="M74" s="306"/>
      <c r="N74" s="306"/>
      <c r="O74" s="306"/>
      <c r="P74" s="306"/>
      <c r="Q74" s="306"/>
      <c r="R74" s="4"/>
      <c r="S74" s="4"/>
      <c r="T74" s="4"/>
      <c r="U74" s="4"/>
      <c r="V74" s="4"/>
    </row>
    <row r="75" spans="1:22" x14ac:dyDescent="0.25">
      <c r="A75" s="30" t="s">
        <v>112</v>
      </c>
      <c r="B75" s="219">
        <f>SUM(B71:B74)</f>
        <v>839588.63</v>
      </c>
      <c r="C75" s="219">
        <f>SUM(C71:C74)</f>
        <v>65049.640000000007</v>
      </c>
      <c r="D75" s="219">
        <f t="shared" ref="D75:G75" si="43">SUM(D71:D74)</f>
        <v>-145276.81</v>
      </c>
      <c r="E75" s="219">
        <f t="shared" si="43"/>
        <v>-4013.3000000000006</v>
      </c>
      <c r="F75" s="219">
        <f t="shared" si="43"/>
        <v>755348.15999999992</v>
      </c>
      <c r="G75" s="219">
        <f t="shared" si="43"/>
        <v>440619.76</v>
      </c>
      <c r="L75" s="186"/>
      <c r="M75" s="186"/>
      <c r="N75" s="186"/>
      <c r="O75" s="186"/>
      <c r="P75" s="186"/>
      <c r="R75" s="4"/>
      <c r="S75" s="4"/>
      <c r="T75" s="4"/>
      <c r="U75" s="4"/>
      <c r="V75" s="4"/>
    </row>
    <row r="76" spans="1:22" x14ac:dyDescent="0.25">
      <c r="E76" s="4"/>
    </row>
    <row r="78" spans="1:22" x14ac:dyDescent="0.25">
      <c r="A78" s="246" t="s">
        <v>255</v>
      </c>
    </row>
    <row r="79" spans="1:22" x14ac:dyDescent="0.25">
      <c r="A79" s="20" t="s">
        <v>24</v>
      </c>
      <c r="B79" s="25">
        <f>ROUND('[17]EO Matrix @Meter'!$AL$22,2)</f>
        <v>1307790.1000000001</v>
      </c>
      <c r="C79" s="25">
        <f>ROUND(SUM('[18]Ex Post Gross TD Calc'!$AC$571:$AX$571),2)</f>
        <v>-249725.12</v>
      </c>
      <c r="D79" s="25">
        <f>ROUND(SUM('[18]NTG TD Calc'!$AC$436:$AX$436),2)</f>
        <v>-66457.240000000005</v>
      </c>
      <c r="E79" s="25">
        <f>ROUND(SUM('[18]EO TD Carrying Costs'!$AA$55:$AV$55),2)</f>
        <v>-15782.71</v>
      </c>
      <c r="F79" s="219">
        <f>SUM(B79:E79)</f>
        <v>975825.03</v>
      </c>
      <c r="G79" s="219">
        <f>ROUND(F79/12*11,2)</f>
        <v>894506.28</v>
      </c>
    </row>
    <row r="80" spans="1:22" x14ac:dyDescent="0.25">
      <c r="A80" s="20" t="s">
        <v>25</v>
      </c>
      <c r="B80" s="218">
        <f>SUM(B83:B86)</f>
        <v>877237.60000000009</v>
      </c>
      <c r="C80" s="218">
        <f>SUM(C83:C86)</f>
        <v>-36346.57</v>
      </c>
      <c r="D80" s="218">
        <f t="shared" ref="D80:E80" si="44">SUM(D83:D86)</f>
        <v>86784.39</v>
      </c>
      <c r="E80" s="218">
        <f t="shared" si="44"/>
        <v>1663.38</v>
      </c>
      <c r="F80" s="219">
        <f>SUM(B80:E80)</f>
        <v>929338.80000000016</v>
      </c>
      <c r="G80" s="219">
        <f>ROUND(F80/12*11,2)</f>
        <v>851893.9</v>
      </c>
    </row>
    <row r="81" spans="1:17" x14ac:dyDescent="0.25">
      <c r="A81" s="20" t="s">
        <v>5</v>
      </c>
      <c r="B81" s="219">
        <f t="shared" ref="B81:G81" si="45">SUM(B79:B80)</f>
        <v>2185027.7000000002</v>
      </c>
      <c r="C81" s="219">
        <f t="shared" si="45"/>
        <v>-286071.69</v>
      </c>
      <c r="D81" s="219">
        <f t="shared" si="45"/>
        <v>20327.149999999994</v>
      </c>
      <c r="E81" s="219">
        <f t="shared" si="45"/>
        <v>-14119.329999999998</v>
      </c>
      <c r="F81" s="219">
        <f t="shared" si="45"/>
        <v>1905163.83</v>
      </c>
      <c r="G81" s="219">
        <f t="shared" si="45"/>
        <v>1746400.1800000002</v>
      </c>
    </row>
    <row r="82" spans="1:17" x14ac:dyDescent="0.25">
      <c r="B82" s="216"/>
      <c r="C82" s="216"/>
      <c r="D82" s="217"/>
    </row>
    <row r="83" spans="1:17" x14ac:dyDescent="0.25">
      <c r="A83" s="20" t="s">
        <v>107</v>
      </c>
      <c r="B83" s="25">
        <f>ROUND('[17]EO Matrix @Meter'!$AP$22,2)</f>
        <v>151360.23000000001</v>
      </c>
      <c r="C83" s="25">
        <f>ROUND(SUM('[18]Ex Post Gross TD Calc'!$AC$572:$AX$572),2)</f>
        <v>-7300.6</v>
      </c>
      <c r="D83" s="25">
        <f>ROUND(SUM('[18]NTG TD Calc'!$AC$437:$AX$437),2)</f>
        <v>13298.81</v>
      </c>
      <c r="E83" s="25">
        <f>ROUND(SUM('[18]EO TD Carrying Costs'!$AA$56:$AV$56),2)</f>
        <v>116.58</v>
      </c>
      <c r="F83" s="219">
        <f t="shared" ref="F83:F86" si="46">SUM(B83:E83)</f>
        <v>157475.01999999999</v>
      </c>
      <c r="G83" s="219">
        <f>ROUND(F83/12*11,2)</f>
        <v>144352.1</v>
      </c>
    </row>
    <row r="84" spans="1:17" x14ac:dyDescent="0.25">
      <c r="A84" s="20" t="s">
        <v>108</v>
      </c>
      <c r="B84" s="25">
        <f>ROUND('[17]EO Matrix @Meter'!$AQ$22,2)</f>
        <v>256696.36</v>
      </c>
      <c r="C84" s="25">
        <f>ROUND(SUM('[18]Ex Post Gross TD Calc'!$AC$573:$AX$573),2)</f>
        <v>-27207.21</v>
      </c>
      <c r="D84" s="25">
        <f>ROUND(SUM('[18]NTG TD Calc'!$AC$438:$AX$438),2)</f>
        <v>45480.480000000003</v>
      </c>
      <c r="E84" s="25">
        <f>ROUND(SUM('[18]EO TD Carrying Costs'!$AA$57:$AV$57),2)</f>
        <v>373.1</v>
      </c>
      <c r="F84" s="219">
        <f t="shared" si="46"/>
        <v>275342.73</v>
      </c>
      <c r="G84" s="219">
        <f t="shared" ref="G84:G86" si="47">ROUND(F84/12*11,2)</f>
        <v>252397.5</v>
      </c>
    </row>
    <row r="85" spans="1:17" x14ac:dyDescent="0.25">
      <c r="A85" s="20" t="s">
        <v>109</v>
      </c>
      <c r="B85" s="25">
        <f>ROUND('[17]EO Matrix @Meter'!$AR$22,2)</f>
        <v>391442.94</v>
      </c>
      <c r="C85" s="25">
        <f>ROUND(SUM('[18]Ex Post Gross TD Calc'!$AC$574:$AX$574),2)</f>
        <v>-4347.97</v>
      </c>
      <c r="D85" s="25">
        <f>ROUND(SUM('[18]NTG TD Calc'!$AC$439:$AX$439),2)</f>
        <v>27878.58</v>
      </c>
      <c r="E85" s="25">
        <f>ROUND(SUM('[18]EO TD Carrying Costs'!$AA$58:$AV$58),2)</f>
        <v>941.47</v>
      </c>
      <c r="F85" s="219">
        <f t="shared" si="46"/>
        <v>415915.02</v>
      </c>
      <c r="G85" s="219">
        <f t="shared" si="47"/>
        <v>381255.44</v>
      </c>
    </row>
    <row r="86" spans="1:17" x14ac:dyDescent="0.25">
      <c r="A86" s="20" t="s">
        <v>110</v>
      </c>
      <c r="B86" s="25">
        <f>ROUND('[17]EO Matrix @Meter'!$AS$22,2)</f>
        <v>77738.070000000007</v>
      </c>
      <c r="C86" s="25">
        <f>ROUND(SUM('[18]Ex Post Gross TD Calc'!$AC$575:$AX$575),2)</f>
        <v>2509.21</v>
      </c>
      <c r="D86" s="25">
        <f>ROUND(SUM('[18]NTG TD Calc'!$AC$440:$AX$440),2)</f>
        <v>126.52</v>
      </c>
      <c r="E86" s="25">
        <f>ROUND(SUM('[18]EO TD Carrying Costs'!$AA$59:$AV$59),2)</f>
        <v>232.23</v>
      </c>
      <c r="F86" s="219">
        <f t="shared" si="46"/>
        <v>80606.030000000013</v>
      </c>
      <c r="G86" s="219">
        <f t="shared" si="47"/>
        <v>73888.86</v>
      </c>
    </row>
    <row r="87" spans="1:17" x14ac:dyDescent="0.25">
      <c r="A87" s="30" t="s">
        <v>112</v>
      </c>
      <c r="B87" s="219">
        <f>SUM(B83:B86)</f>
        <v>877237.60000000009</v>
      </c>
      <c r="C87" s="219">
        <f>SUM(C83:C86)</f>
        <v>-36346.57</v>
      </c>
      <c r="D87" s="219">
        <f t="shared" ref="D87:G87" si="48">SUM(D83:D86)</f>
        <v>86784.39</v>
      </c>
      <c r="E87" s="219">
        <f t="shared" si="48"/>
        <v>1663.38</v>
      </c>
      <c r="F87" s="219">
        <f t="shared" si="48"/>
        <v>929338.8</v>
      </c>
      <c r="G87" s="219">
        <f t="shared" si="48"/>
        <v>851893.9</v>
      </c>
    </row>
    <row r="88" spans="1:17" x14ac:dyDescent="0.25">
      <c r="E88" s="4"/>
      <c r="J88" s="306"/>
      <c r="K88" s="306"/>
      <c r="L88" s="306"/>
      <c r="M88" s="306"/>
      <c r="N88" s="306"/>
      <c r="O88" s="306"/>
      <c r="P88" s="306"/>
      <c r="Q88" s="306"/>
    </row>
    <row r="90" spans="1:17" x14ac:dyDescent="0.25">
      <c r="A90" s="53" t="s">
        <v>11</v>
      </c>
    </row>
    <row r="91" spans="1:17" x14ac:dyDescent="0.25">
      <c r="A91" s="3" t="s">
        <v>256</v>
      </c>
    </row>
    <row r="92" spans="1:17" x14ac:dyDescent="0.25">
      <c r="A92" s="3" t="s">
        <v>257</v>
      </c>
    </row>
    <row r="93" spans="1:17" x14ac:dyDescent="0.25">
      <c r="A93" s="3" t="s">
        <v>258</v>
      </c>
    </row>
    <row r="94" spans="1:17" x14ac:dyDescent="0.25">
      <c r="A94" s="3" t="s">
        <v>259</v>
      </c>
    </row>
    <row r="95" spans="1:17" x14ac:dyDescent="0.25">
      <c r="A95" s="3" t="s">
        <v>159</v>
      </c>
    </row>
    <row r="96" spans="1:17" ht="60" customHeight="1" x14ac:dyDescent="0.25">
      <c r="A96" s="324" t="s">
        <v>260</v>
      </c>
      <c r="B96" s="324"/>
      <c r="C96" s="324"/>
      <c r="D96" s="324"/>
      <c r="E96" s="324"/>
      <c r="F96" s="324"/>
      <c r="G96" s="324"/>
    </row>
  </sheetData>
  <mergeCells count="2">
    <mergeCell ref="B3:D3"/>
    <mergeCell ref="A96:G96"/>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A29" workbookViewId="0">
      <selection activeCell="P14" sqref="P14:P54"/>
    </sheetView>
  </sheetViews>
  <sheetFormatPr defaultColWidth="9.140625" defaultRowHeight="15" outlineLevelCol="1" x14ac:dyDescent="0.25"/>
  <cols>
    <col min="1" max="1" width="37.7109375" style="46" customWidth="1"/>
    <col min="2" max="2" width="12.28515625" style="46" bestFit="1" customWidth="1"/>
    <col min="3" max="3" width="12.42578125" style="46" bestFit="1" customWidth="1"/>
    <col min="4" max="4" width="12.42578125" style="46" customWidth="1"/>
    <col min="5" max="5" width="15.42578125" style="46" customWidth="1"/>
    <col min="6" max="6" width="15.85546875" style="46" bestFit="1" customWidth="1"/>
    <col min="7" max="7" width="12.28515625" style="46" bestFit="1" customWidth="1"/>
    <col min="8" max="9" width="13.28515625" style="46" bestFit="1" customWidth="1"/>
    <col min="10" max="10" width="12.28515625" style="46" bestFit="1" customWidth="1"/>
    <col min="11" max="11" width="12.5703125" style="46" customWidth="1"/>
    <col min="12" max="12" width="12.85546875" style="46" customWidth="1"/>
    <col min="13" max="13" width="16" style="46" customWidth="1"/>
    <col min="14" max="14" width="15" style="46" bestFit="1" customWidth="1"/>
    <col min="15" max="15" width="16" style="46" bestFit="1" customWidth="1"/>
    <col min="16" max="16" width="15.28515625" style="46" bestFit="1" customWidth="1" outlineLevel="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12/01/2023</v>
      </c>
      <c r="B1" s="3"/>
      <c r="C1" s="3"/>
      <c r="D1" s="3"/>
    </row>
    <row r="2" spans="1:35" x14ac:dyDescent="0.25">
      <c r="E2" s="3" t="s">
        <v>142</v>
      </c>
    </row>
    <row r="3" spans="1:35" ht="30" x14ac:dyDescent="0.25">
      <c r="E3" s="48" t="s">
        <v>46</v>
      </c>
      <c r="F3" s="70" t="s">
        <v>58</v>
      </c>
      <c r="G3" s="48" t="s">
        <v>3</v>
      </c>
      <c r="H3" s="70" t="s">
        <v>55</v>
      </c>
      <c r="I3" s="48" t="s">
        <v>10</v>
      </c>
      <c r="J3" s="48" t="s">
        <v>59</v>
      </c>
      <c r="S3" s="48"/>
    </row>
    <row r="4" spans="1:35" x14ac:dyDescent="0.25">
      <c r="A4" s="20" t="s">
        <v>24</v>
      </c>
      <c r="B4" s="20"/>
      <c r="C4" s="20"/>
      <c r="D4" s="20"/>
      <c r="E4" s="22">
        <f>SUM(C19:M19)</f>
        <v>-81959.48490000001</v>
      </c>
      <c r="F4" s="22">
        <f>SUM(C26:L26)</f>
        <v>-59027.579999999987</v>
      </c>
      <c r="G4" s="22">
        <f>F4-E4</f>
        <v>22931.904900000023</v>
      </c>
      <c r="H4" s="22">
        <f>+B42</f>
        <v>-88394.584100000022</v>
      </c>
      <c r="I4" s="22">
        <f>SUM(C50:L50)</f>
        <v>-3230.99</v>
      </c>
      <c r="J4" s="25">
        <f>SUM(G4:I4)</f>
        <v>-68693.669200000004</v>
      </c>
      <c r="K4" s="47">
        <f>+J4-M42</f>
        <v>0</v>
      </c>
      <c r="N4" s="47"/>
    </row>
    <row r="5" spans="1:35" ht="15.75" thickBot="1" x14ac:dyDescent="0.3">
      <c r="A5" s="20" t="s">
        <v>25</v>
      </c>
      <c r="B5" s="20"/>
      <c r="C5" s="20"/>
      <c r="D5" s="20"/>
      <c r="E5" s="22">
        <f>SUM(C20:M23)</f>
        <v>86100.628460000007</v>
      </c>
      <c r="F5" s="22">
        <f>SUM(C27:L30)</f>
        <v>-9863.8400000000038</v>
      </c>
      <c r="G5" s="22">
        <f>F5-E5</f>
        <v>-95964.468460000004</v>
      </c>
      <c r="H5" s="22">
        <f>SUM(B43:B46)</f>
        <v>165570.22645999986</v>
      </c>
      <c r="I5" s="22">
        <f>SUM(C51:L54)</f>
        <v>4175.09</v>
      </c>
      <c r="J5" s="25">
        <f>SUM(G5:I5)</f>
        <v>73780.847999999853</v>
      </c>
      <c r="K5" s="47">
        <f>+J5-SUM(M43:M46)</f>
        <v>0</v>
      </c>
      <c r="N5" s="47"/>
    </row>
    <row r="6" spans="1:35" ht="16.5" thickTop="1" thickBot="1" x14ac:dyDescent="0.3">
      <c r="E6" s="27">
        <f t="shared" ref="E6:J6" si="0">SUM(E4:E5)</f>
        <v>4141.1435599999968</v>
      </c>
      <c r="F6" s="27">
        <f t="shared" si="0"/>
        <v>-68891.419999999984</v>
      </c>
      <c r="G6" s="27">
        <f t="shared" si="0"/>
        <v>-73032.56355999998</v>
      </c>
      <c r="H6" s="27">
        <f t="shared" si="0"/>
        <v>77175.642359999838</v>
      </c>
      <c r="I6" s="27">
        <f t="shared" si="0"/>
        <v>944.10000000000036</v>
      </c>
      <c r="J6" s="27">
        <f t="shared" si="0"/>
        <v>5087.1787999998487</v>
      </c>
      <c r="T6" s="5"/>
    </row>
    <row r="7" spans="1:35" ht="45.75" thickTop="1" x14ac:dyDescent="0.25">
      <c r="J7" s="225"/>
      <c r="K7" s="224" t="s">
        <v>123</v>
      </c>
    </row>
    <row r="8" spans="1:35" ht="17.25" customHeight="1" x14ac:dyDescent="0.25">
      <c r="A8" s="20" t="s">
        <v>107</v>
      </c>
      <c r="J8" s="25">
        <f>ROUND($J$5*K8,2)</f>
        <v>10016.81</v>
      </c>
      <c r="K8" s="222">
        <f>+'PCR Cycle 2'!L8</f>
        <v>0.13576441564001979</v>
      </c>
    </row>
    <row r="9" spans="1:35" ht="17.25" customHeight="1" x14ac:dyDescent="0.25">
      <c r="A9" s="20" t="s">
        <v>108</v>
      </c>
      <c r="J9" s="25">
        <f t="shared" ref="J9:J11" si="1">ROUND($J$5*K9,2)</f>
        <v>26274.52</v>
      </c>
      <c r="K9" s="222">
        <f>+'PCR Cycle 2'!L9</f>
        <v>0.35611574316442379</v>
      </c>
    </row>
    <row r="10" spans="1:35" ht="17.25" customHeight="1" x14ac:dyDescent="0.25">
      <c r="A10" s="20" t="s">
        <v>109</v>
      </c>
      <c r="J10" s="25">
        <f t="shared" si="1"/>
        <v>30863.9</v>
      </c>
      <c r="K10" s="222">
        <f>+'PCR Cycle 2'!L10</f>
        <v>0.4183185730547726</v>
      </c>
    </row>
    <row r="11" spans="1:35" ht="17.25" customHeight="1" thickBot="1" x14ac:dyDescent="0.3">
      <c r="A11" s="20" t="s">
        <v>110</v>
      </c>
      <c r="J11" s="25">
        <f t="shared" si="1"/>
        <v>6625.61</v>
      </c>
      <c r="K11" s="222">
        <f>+'PCR Cycle 2'!L11</f>
        <v>8.9801268140783777E-2</v>
      </c>
    </row>
    <row r="12" spans="1:35" ht="17.25" customHeight="1" thickTop="1" thickBot="1" x14ac:dyDescent="0.3">
      <c r="A12" s="20" t="s">
        <v>112</v>
      </c>
      <c r="J12" s="27">
        <f>SUM(J8:J11)</f>
        <v>73780.840000000011</v>
      </c>
      <c r="K12" s="223">
        <f>SUM(K8:K11)</f>
        <v>1</v>
      </c>
    </row>
    <row r="13" spans="1:35" ht="16.5" thickTop="1" thickBot="1" x14ac:dyDescent="0.3">
      <c r="V13" s="4"/>
      <c r="W13" s="5"/>
    </row>
    <row r="14" spans="1:35" ht="105.75" thickBot="1" x14ac:dyDescent="0.3">
      <c r="B14" s="115" t="str">
        <f>+'PCR Cycle 2'!B14</f>
        <v>Cumulative Over/Under Carryover From 6/01/2023 Filing</v>
      </c>
      <c r="C14" s="267" t="str">
        <f>+'PCR Cycle 2'!C14</f>
        <v>Reverse May 2023 - July 2023 Forecast From 6/01/2023 Filing</v>
      </c>
      <c r="D14" s="267"/>
      <c r="E14" s="332" t="s">
        <v>33</v>
      </c>
      <c r="F14" s="332"/>
      <c r="G14" s="333"/>
      <c r="H14" s="338" t="s">
        <v>33</v>
      </c>
      <c r="I14" s="339"/>
      <c r="J14" s="340"/>
      <c r="K14" s="328" t="s">
        <v>8</v>
      </c>
      <c r="L14" s="329"/>
      <c r="M14" s="330"/>
      <c r="P14" s="292" t="s">
        <v>284</v>
      </c>
    </row>
    <row r="15" spans="1:35" x14ac:dyDescent="0.25">
      <c r="A15" s="46" t="s">
        <v>86</v>
      </c>
      <c r="C15" s="105"/>
      <c r="D15" s="265"/>
      <c r="E15" s="19">
        <f>+'PCR Cycle 2'!E15</f>
        <v>45077</v>
      </c>
      <c r="F15" s="19">
        <f t="shared" ref="F15:M15" si="2">EOMONTH(E15,1)</f>
        <v>45107</v>
      </c>
      <c r="G15" s="19">
        <f t="shared" si="2"/>
        <v>45138</v>
      </c>
      <c r="H15" s="14">
        <f t="shared" si="2"/>
        <v>45169</v>
      </c>
      <c r="I15" s="19">
        <f t="shared" si="2"/>
        <v>45199</v>
      </c>
      <c r="J15" s="15">
        <f t="shared" si="2"/>
        <v>45230</v>
      </c>
      <c r="K15" s="19">
        <f t="shared" si="2"/>
        <v>45260</v>
      </c>
      <c r="L15" s="19">
        <f t="shared" si="2"/>
        <v>45291</v>
      </c>
      <c r="M15" s="15">
        <f t="shared" si="2"/>
        <v>45322</v>
      </c>
      <c r="P15" s="186"/>
      <c r="Z15" s="1"/>
      <c r="AA15" s="1"/>
      <c r="AB15" s="1"/>
      <c r="AC15" s="1"/>
      <c r="AD15" s="1"/>
      <c r="AE15" s="1"/>
      <c r="AF15" s="1"/>
      <c r="AG15" s="1"/>
      <c r="AH15" s="1"/>
      <c r="AI15" s="1"/>
    </row>
    <row r="16" spans="1:35" x14ac:dyDescent="0.25">
      <c r="A16" s="46" t="s">
        <v>5</v>
      </c>
      <c r="C16" s="97">
        <v>78210.340000000011</v>
      </c>
      <c r="D16" s="97"/>
      <c r="E16" s="109">
        <f t="shared" ref="E16:L16" si="3">SUM(E26:E30)</f>
        <v>-39105.170000000006</v>
      </c>
      <c r="F16" s="109">
        <f t="shared" si="3"/>
        <v>-39105.170000000006</v>
      </c>
      <c r="G16" s="110">
        <f t="shared" si="3"/>
        <v>-39105.170000000006</v>
      </c>
      <c r="H16" s="16">
        <f t="shared" si="3"/>
        <v>-5957.25</v>
      </c>
      <c r="I16" s="55">
        <f t="shared" si="3"/>
        <v>-5957.25</v>
      </c>
      <c r="J16" s="162">
        <f t="shared" si="3"/>
        <v>-5957.25</v>
      </c>
      <c r="K16" s="155">
        <f t="shared" si="3"/>
        <v>-5957.25</v>
      </c>
      <c r="L16" s="78">
        <f t="shared" si="3"/>
        <v>-5957.25</v>
      </c>
      <c r="M16" s="79"/>
      <c r="P16" s="186">
        <f>-SUM(K16:M16)</f>
        <v>11914.5</v>
      </c>
    </row>
    <row r="17" spans="1:16" x14ac:dyDescent="0.25">
      <c r="C17" s="99"/>
      <c r="D17" s="99"/>
      <c r="E17" s="17"/>
      <c r="F17" s="17"/>
      <c r="G17" s="17"/>
      <c r="H17" s="10"/>
      <c r="I17" s="17"/>
      <c r="J17" s="11"/>
      <c r="K17" s="31"/>
      <c r="L17" s="31"/>
      <c r="M17" s="29"/>
      <c r="P17" s="186"/>
    </row>
    <row r="18" spans="1:16" x14ac:dyDescent="0.25">
      <c r="A18" s="46" t="s">
        <v>87</v>
      </c>
      <c r="C18" s="99"/>
      <c r="D18" s="99"/>
      <c r="E18" s="18"/>
      <c r="F18" s="18"/>
      <c r="G18" s="18"/>
      <c r="H18" s="91"/>
      <c r="I18" s="18"/>
      <c r="J18" s="163"/>
      <c r="K18" s="31"/>
      <c r="L18" s="31"/>
      <c r="M18" s="29"/>
      <c r="N18" s="3" t="s">
        <v>50</v>
      </c>
      <c r="O18" s="39"/>
      <c r="P18" s="186"/>
    </row>
    <row r="19" spans="1:16" x14ac:dyDescent="0.25">
      <c r="A19" s="46" t="s">
        <v>24</v>
      </c>
      <c r="C19" s="97">
        <v>63774.435899999997</v>
      </c>
      <c r="D19" s="97"/>
      <c r="E19" s="132">
        <f>'[4]May 2023'!$G70</f>
        <v>-15362.15</v>
      </c>
      <c r="F19" s="132">
        <f>'[4]June 2023'!$G70</f>
        <v>-20971.87</v>
      </c>
      <c r="G19" s="132">
        <f>'[4]July 2023'!$G70</f>
        <v>-27864.95</v>
      </c>
      <c r="H19" s="183">
        <f>'[4]August 2023'!$G70</f>
        <v>-23780.83</v>
      </c>
      <c r="I19" s="118">
        <f>'[4]September 2023'!$G70</f>
        <v>-14337.7</v>
      </c>
      <c r="J19" s="164">
        <f>'[4]October 2023'!$G70</f>
        <v>-9612.81</v>
      </c>
      <c r="K19" s="120">
        <f>'PCR Cycle 2'!K27*$N19</f>
        <v>-8368.1009000000013</v>
      </c>
      <c r="L19" s="41">
        <f>'PCR Cycle 2'!L27*$N19</f>
        <v>-11931.712300000001</v>
      </c>
      <c r="M19" s="61">
        <f>'PCR Cycle 2'!M27*$N19</f>
        <v>-13503.7976</v>
      </c>
      <c r="N19" s="72">
        <v>-5.0000000000000002E-5</v>
      </c>
      <c r="O19" s="4"/>
      <c r="P19" s="186">
        <f t="shared" ref="P19:P23" si="4">-SUM(K19:M19)</f>
        <v>33803.610800000002</v>
      </c>
    </row>
    <row r="20" spans="1:16" x14ac:dyDescent="0.25">
      <c r="A20" s="46" t="s">
        <v>135</v>
      </c>
      <c r="C20" s="97">
        <v>7525.3610999999974</v>
      </c>
      <c r="D20" s="97"/>
      <c r="E20" s="132">
        <f>'[4]May 2023'!$G71</f>
        <v>-2101.04</v>
      </c>
      <c r="F20" s="132">
        <f>'[4]June 2023'!$G71</f>
        <v>-2652.69</v>
      </c>
      <c r="G20" s="132">
        <f>'[4]July 2023'!$G71</f>
        <v>-3030.31</v>
      </c>
      <c r="H20" s="183">
        <f>'[4]August 2023'!$G71</f>
        <v>-1378.29</v>
      </c>
      <c r="I20" s="118">
        <f>'[4]September 2023'!$G71</f>
        <v>589.79</v>
      </c>
      <c r="J20" s="164">
        <f>'[4]October 2023'!$G71</f>
        <v>513.27</v>
      </c>
      <c r="K20" s="120">
        <f>'PCR Cycle 2'!K28*$N20</f>
        <v>459.96215000000012</v>
      </c>
      <c r="L20" s="41">
        <f>'PCR Cycle 2'!L28*$N20</f>
        <v>506.69099000000011</v>
      </c>
      <c r="M20" s="61">
        <f>'PCR Cycle 2'!M28*$N20</f>
        <v>515.3606400000001</v>
      </c>
      <c r="N20" s="72">
        <v>1.0000000000000003E-5</v>
      </c>
      <c r="O20" s="4"/>
      <c r="P20" s="186">
        <f t="shared" si="4"/>
        <v>-1482.0137800000002</v>
      </c>
    </row>
    <row r="21" spans="1:16" x14ac:dyDescent="0.25">
      <c r="A21" s="46" t="s">
        <v>136</v>
      </c>
      <c r="C21" s="97">
        <v>-35977.682520000002</v>
      </c>
      <c r="D21" s="97"/>
      <c r="E21" s="132">
        <f>'[4]May 2023'!$G72</f>
        <v>10162.09</v>
      </c>
      <c r="F21" s="132">
        <f>'[4]June 2023'!$G72</f>
        <v>11836.39</v>
      </c>
      <c r="G21" s="132">
        <f>'[4]July 2023'!$G72</f>
        <v>13209.789999999999</v>
      </c>
      <c r="H21" s="183">
        <f>'[4]August 2023'!$G72</f>
        <v>11226.67</v>
      </c>
      <c r="I21" s="118">
        <f>'[4]September 2023'!$G72</f>
        <v>6403.93</v>
      </c>
      <c r="J21" s="164">
        <f>'[4]October 2023'!$G72</f>
        <v>5454.02</v>
      </c>
      <c r="K21" s="120">
        <f>'PCR Cycle 2'!K29*$N21</f>
        <v>5074.6469999999999</v>
      </c>
      <c r="L21" s="41">
        <f>'PCR Cycle 2'!L29*$N21</f>
        <v>5590.1945999999998</v>
      </c>
      <c r="M21" s="61">
        <f>'PCR Cycle 2'!M29*$N21</f>
        <v>5685.8446199999998</v>
      </c>
      <c r="N21" s="72">
        <v>6.0000000000000002E-5</v>
      </c>
      <c r="O21" s="4"/>
      <c r="P21" s="186">
        <f t="shared" si="4"/>
        <v>-16350.68622</v>
      </c>
    </row>
    <row r="22" spans="1:16" x14ac:dyDescent="0.25">
      <c r="A22" s="46" t="s">
        <v>137</v>
      </c>
      <c r="C22" s="97">
        <v>-35841.20536</v>
      </c>
      <c r="D22" s="97"/>
      <c r="E22" s="132">
        <f>'[4]May 2023'!$G73</f>
        <v>10720.39</v>
      </c>
      <c r="F22" s="132">
        <f>'[4]June 2023'!$G73</f>
        <v>11715.61</v>
      </c>
      <c r="G22" s="132">
        <f>'[4]July 2023'!$G73</f>
        <v>12391.33</v>
      </c>
      <c r="H22" s="183">
        <f>'[4]August 2023'!$G73</f>
        <v>10118.33</v>
      </c>
      <c r="I22" s="118">
        <f>'[4]September 2023'!$G73</f>
        <v>4917.03</v>
      </c>
      <c r="J22" s="164">
        <f>'[4]October 2023'!$G73</f>
        <v>4339.1400000000003</v>
      </c>
      <c r="K22" s="120">
        <f>'PCR Cycle 2'!K30*$N22</f>
        <v>4107.509970000001</v>
      </c>
      <c r="L22" s="41">
        <f>'PCR Cycle 2'!L30*$N22</f>
        <v>4524.8034300000008</v>
      </c>
      <c r="M22" s="61">
        <f>'PCR Cycle 2'!M30*$N22</f>
        <v>4602.2242800000004</v>
      </c>
      <c r="N22" s="72">
        <v>3.0000000000000004E-5</v>
      </c>
      <c r="O22" s="4"/>
      <c r="P22" s="186">
        <f t="shared" si="4"/>
        <v>-13234.537680000003</v>
      </c>
    </row>
    <row r="23" spans="1:16" x14ac:dyDescent="0.25">
      <c r="A23" s="46" t="s">
        <v>138</v>
      </c>
      <c r="C23" s="97">
        <v>-16313.546760000003</v>
      </c>
      <c r="D23" s="97"/>
      <c r="E23" s="132">
        <f>'[4]May 2023'!$G74</f>
        <v>5641.9</v>
      </c>
      <c r="F23" s="132">
        <f>'[4]June 2023'!$G74</f>
        <v>4949.41</v>
      </c>
      <c r="G23" s="132">
        <f>'[4]July 2023'!$G74</f>
        <v>6592.54</v>
      </c>
      <c r="H23" s="183">
        <f>'[4]August 2023'!$G74</f>
        <v>5974.41</v>
      </c>
      <c r="I23" s="118">
        <f>'[4]September 2023'!$G74</f>
        <v>1743.19</v>
      </c>
      <c r="J23" s="164">
        <f>'[4]October 2023'!$G74</f>
        <v>1713.96</v>
      </c>
      <c r="K23" s="120">
        <f>'PCR Cycle 2'!K31*$N23</f>
        <v>1424.44308</v>
      </c>
      <c r="L23" s="41">
        <f>'PCR Cycle 2'!L31*$N23</f>
        <v>1569.15624</v>
      </c>
      <c r="M23" s="61">
        <f>'PCR Cycle 2'!M31*$N23</f>
        <v>1596.0050000000001</v>
      </c>
      <c r="N23" s="72">
        <v>4.0000000000000003E-5</v>
      </c>
      <c r="O23" s="4"/>
      <c r="P23" s="186">
        <f t="shared" si="4"/>
        <v>-4589.6043200000004</v>
      </c>
    </row>
    <row r="24" spans="1:16" x14ac:dyDescent="0.25">
      <c r="C24" s="67"/>
      <c r="D24" s="67"/>
      <c r="E24" s="68"/>
      <c r="F24" s="68"/>
      <c r="G24" s="68"/>
      <c r="H24" s="67"/>
      <c r="I24" s="68"/>
      <c r="J24" s="165"/>
      <c r="K24" s="56"/>
      <c r="L24" s="56"/>
      <c r="M24" s="13"/>
      <c r="O24" s="4"/>
    </row>
    <row r="25" spans="1:16" x14ac:dyDescent="0.25">
      <c r="A25" s="46" t="s">
        <v>89</v>
      </c>
      <c r="C25" s="36"/>
      <c r="D25" s="36"/>
      <c r="E25" s="37"/>
      <c r="F25" s="37"/>
      <c r="G25" s="37"/>
      <c r="H25" s="36"/>
      <c r="I25" s="37"/>
      <c r="J25" s="168"/>
      <c r="K25" s="52"/>
      <c r="L25" s="52"/>
      <c r="M25" s="38"/>
    </row>
    <row r="26" spans="1:16" x14ac:dyDescent="0.25">
      <c r="A26" s="46" t="s">
        <v>24</v>
      </c>
      <c r="C26" s="97">
        <v>67016.36</v>
      </c>
      <c r="D26" s="97"/>
      <c r="E26" s="109">
        <f>ROUND(+'EO Cycle 2'!$F$43/24+'EO Cycle 2'!$F$54/24+'EO Cycle 2'!$F$65/24+'EO Cycle 2'!$F$76/24,2)</f>
        <v>-33508.18</v>
      </c>
      <c r="F26" s="109">
        <f>ROUND(+'EO Cycle 2'!$F$43/24+'EO Cycle 2'!$F$54/24+'EO Cycle 2'!$F$65/24+'EO Cycle 2'!$F$76/24,2)</f>
        <v>-33508.18</v>
      </c>
      <c r="G26" s="109">
        <f>ROUND(+'EO Cycle 2'!$F$43/24+'EO Cycle 2'!$F$54/24+'EO Cycle 2'!$F$65/24+'EO Cycle 2'!$F$76/24,2)</f>
        <v>-33508.18</v>
      </c>
      <c r="H26" s="300">
        <f>ROUND('EO Cycle 2'!$F$54/24+'EO Cycle 2'!$F$65/24+'EO Cycle 2'!$F$76/24+'EO Cycle 2'!$F$87/24,2)</f>
        <v>-5103.88</v>
      </c>
      <c r="I26" s="118">
        <f>ROUND('EO Cycle 2'!$F$54/24+'EO Cycle 2'!$F$65/24+'EO Cycle 2'!$F$76/24+'EO Cycle 2'!$F$87/24,2)</f>
        <v>-5103.88</v>
      </c>
      <c r="J26" s="164">
        <f>ROUND('EO Cycle 2'!$F$54/24+'EO Cycle 2'!$F$65/24+'EO Cycle 2'!$F$76/24+'EO Cycle 2'!$F$87/24,2)</f>
        <v>-5103.88</v>
      </c>
      <c r="K26" s="139">
        <f>ROUND('EO Cycle 2'!$F$54/24+'EO Cycle 2'!$F$65/24+'EO Cycle 2'!$F$76/24+'EO Cycle 2'!$F$87/24,2)</f>
        <v>-5103.88</v>
      </c>
      <c r="L26" s="139">
        <f>ROUND('EO Cycle 2'!$F$54/24+'EO Cycle 2'!$F$65/24+'EO Cycle 2'!$F$76/24+'EO Cycle 2'!$F$87/24,2)</f>
        <v>-5103.88</v>
      </c>
      <c r="M26" s="79"/>
      <c r="P26" s="186">
        <f t="shared" ref="P26:P32" si="5">-SUM(K26:M26)</f>
        <v>10207.76</v>
      </c>
    </row>
    <row r="27" spans="1:16" x14ac:dyDescent="0.25">
      <c r="A27" s="46" t="s">
        <v>135</v>
      </c>
      <c r="C27" s="97">
        <v>15807.94</v>
      </c>
      <c r="D27" s="97"/>
      <c r="E27" s="109">
        <f>ROUND(+'EO Cycle 2'!$F47/24+'EO Cycle 2'!$F58/24+'EO Cycle 2'!$F69/24+'EO Cycle 2'!$F80/24,2)</f>
        <v>-7903.97</v>
      </c>
      <c r="F27" s="109">
        <f>ROUND(+'EO Cycle 2'!$F47/24+'EO Cycle 2'!$F58/24+'EO Cycle 2'!$F69/24+'EO Cycle 2'!$F80/24,2)</f>
        <v>-7903.97</v>
      </c>
      <c r="G27" s="109">
        <f>ROUND(+'EO Cycle 2'!$F47/24+'EO Cycle 2'!$F58/24+'EO Cycle 2'!$F69/24+'EO Cycle 2'!$F80/24,2)</f>
        <v>-7903.97</v>
      </c>
      <c r="H27" s="300">
        <f>ROUND(+'EO Cycle 2'!$F58/24+'EO Cycle 2'!$F69/24+'EO Cycle 2'!$F80/24+'EO Cycle 2'!$F91/24,2)</f>
        <v>-1416.13</v>
      </c>
      <c r="I27" s="118">
        <f>ROUND(+'EO Cycle 2'!$F58/24+'EO Cycle 2'!$F69/24+'EO Cycle 2'!$F80/24+'EO Cycle 2'!$F91/24,2)</f>
        <v>-1416.13</v>
      </c>
      <c r="J27" s="164">
        <f>ROUND(+'EO Cycle 2'!$F58/24+'EO Cycle 2'!$F69/24+'EO Cycle 2'!$F80/24+'EO Cycle 2'!$F91/24,2)</f>
        <v>-1416.13</v>
      </c>
      <c r="K27" s="139">
        <f>ROUND(+'EO Cycle 2'!$F58/24+'EO Cycle 2'!$F69/24+'EO Cycle 2'!$F80/24+'EO Cycle 2'!$F91/24,2)</f>
        <v>-1416.13</v>
      </c>
      <c r="L27" s="139">
        <f>ROUND(+'EO Cycle 2'!$F58/24+'EO Cycle 2'!$F69/24+'EO Cycle 2'!$F80/24+'EO Cycle 2'!$F91/24,2)</f>
        <v>-1416.13</v>
      </c>
      <c r="M27" s="79"/>
      <c r="P27" s="186">
        <f t="shared" si="5"/>
        <v>2832.26</v>
      </c>
    </row>
    <row r="28" spans="1:16" x14ac:dyDescent="0.25">
      <c r="A28" s="46" t="s">
        <v>136</v>
      </c>
      <c r="C28" s="97">
        <v>-2769.78</v>
      </c>
      <c r="D28" s="97"/>
      <c r="E28" s="109">
        <f>ROUND(+'EO Cycle 2'!$F48/24+'EO Cycle 2'!$F59/24+'EO Cycle 2'!$F70/24+'EO Cycle 2'!$F81/24,2)</f>
        <v>1384.89</v>
      </c>
      <c r="F28" s="109">
        <f>ROUND(+'EO Cycle 2'!$F48/24+'EO Cycle 2'!$F59/24+'EO Cycle 2'!$F70/24+'EO Cycle 2'!$F81/24,2)</f>
        <v>1384.89</v>
      </c>
      <c r="G28" s="109">
        <f>ROUND(+'EO Cycle 2'!$F48/24+'EO Cycle 2'!$F59/24+'EO Cycle 2'!$F70/24+'EO Cycle 2'!$F81/24,2)</f>
        <v>1384.89</v>
      </c>
      <c r="H28" s="300">
        <f>ROUND(+'EO Cycle 2'!$F59/24+'EO Cycle 2'!$F70/24+'EO Cycle 2'!$F81/24+'EO Cycle 2'!$F92/24,2)</f>
        <v>329.2</v>
      </c>
      <c r="I28" s="118">
        <f>ROUND(+'EO Cycle 2'!$F59/24+'EO Cycle 2'!$F70/24+'EO Cycle 2'!$F81/24+'EO Cycle 2'!$F92/24,2)</f>
        <v>329.2</v>
      </c>
      <c r="J28" s="164">
        <f>ROUND(+'EO Cycle 2'!$F59/24+'EO Cycle 2'!$F70/24+'EO Cycle 2'!$F81/24+'EO Cycle 2'!$F92/24,2)</f>
        <v>329.2</v>
      </c>
      <c r="K28" s="139">
        <f>ROUND(+'EO Cycle 2'!$F59/24+'EO Cycle 2'!$F70/24+'EO Cycle 2'!$F81/24+'EO Cycle 2'!$F92/24,2)</f>
        <v>329.2</v>
      </c>
      <c r="L28" s="139">
        <f>ROUND(+'EO Cycle 2'!$F59/24+'EO Cycle 2'!$F70/24+'EO Cycle 2'!$F81/24+'EO Cycle 2'!$F92/24,2)</f>
        <v>329.2</v>
      </c>
      <c r="M28" s="79"/>
      <c r="P28" s="186">
        <f t="shared" si="5"/>
        <v>-658.4</v>
      </c>
    </row>
    <row r="29" spans="1:16" x14ac:dyDescent="0.25">
      <c r="A29" s="46" t="s">
        <v>137</v>
      </c>
      <c r="C29" s="97">
        <v>4605.38</v>
      </c>
      <c r="D29" s="97"/>
      <c r="E29" s="109">
        <f>ROUND(+'EO Cycle 2'!$F49/24+'EO Cycle 2'!$F60/24+'EO Cycle 2'!$F71/24+'EO Cycle 2'!$F82/24,2)</f>
        <v>-2302.69</v>
      </c>
      <c r="F29" s="109">
        <f>ROUND(+'EO Cycle 2'!$F49/24+'EO Cycle 2'!$F60/24+'EO Cycle 2'!$F71/24+'EO Cycle 2'!$F82/24,2)</f>
        <v>-2302.69</v>
      </c>
      <c r="G29" s="109">
        <f>ROUND(+'EO Cycle 2'!$F49/24+'EO Cycle 2'!$F60/24+'EO Cycle 2'!$F71/24+'EO Cycle 2'!$F82/24,2)</f>
        <v>-2302.69</v>
      </c>
      <c r="H29" s="300">
        <f>ROUND(+'EO Cycle 2'!$F60/24+'EO Cycle 2'!$F71/24+'EO Cycle 2'!$F82/24+'EO Cycle 2'!$F93/24,2)</f>
        <v>-372.24</v>
      </c>
      <c r="I29" s="118">
        <f>ROUND(+'EO Cycle 2'!$F60/24+'EO Cycle 2'!$F71/24+'EO Cycle 2'!$F82/24+'EO Cycle 2'!$F93/24,2)</f>
        <v>-372.24</v>
      </c>
      <c r="J29" s="164">
        <f>ROUND(+'EO Cycle 2'!$F60/24+'EO Cycle 2'!$F71/24+'EO Cycle 2'!$F82/24+'EO Cycle 2'!$F93/24,2)</f>
        <v>-372.24</v>
      </c>
      <c r="K29" s="139">
        <f>ROUND(+'EO Cycle 2'!$F60/24+'EO Cycle 2'!$F71/24+'EO Cycle 2'!$F82/24+'EO Cycle 2'!$F93/24,2)</f>
        <v>-372.24</v>
      </c>
      <c r="L29" s="139">
        <f>ROUND(+'EO Cycle 2'!$F60/24+'EO Cycle 2'!$F71/24+'EO Cycle 2'!$F82/24+'EO Cycle 2'!$F93/24,2)</f>
        <v>-372.24</v>
      </c>
      <c r="M29" s="79"/>
      <c r="P29" s="186">
        <f t="shared" si="5"/>
        <v>744.48</v>
      </c>
    </row>
    <row r="30" spans="1:16" x14ac:dyDescent="0.25">
      <c r="A30" s="46" t="s">
        <v>138</v>
      </c>
      <c r="C30" s="97">
        <v>-6449.56</v>
      </c>
      <c r="D30" s="97"/>
      <c r="E30" s="109">
        <f>ROUND(+'EO Cycle 2'!$F50/24+'EO Cycle 2'!$F61/24+'EO Cycle 2'!$F72/24+'EO Cycle 2'!$F83/24,2)</f>
        <v>3224.78</v>
      </c>
      <c r="F30" s="109">
        <f>ROUND(+'EO Cycle 2'!$F50/24+'EO Cycle 2'!$F61/24+'EO Cycle 2'!$F72/24+'EO Cycle 2'!$F83/24,2)</f>
        <v>3224.78</v>
      </c>
      <c r="G30" s="109">
        <f>ROUND(+'EO Cycle 2'!$F50/24+'EO Cycle 2'!$F61/24+'EO Cycle 2'!$F72/24+'EO Cycle 2'!$F83/24,2)</f>
        <v>3224.78</v>
      </c>
      <c r="H30" s="300">
        <f>ROUND(+'EO Cycle 2'!$F61/24+'EO Cycle 2'!$F72/24+'EO Cycle 2'!$F83/24+'EO Cycle 2'!$F94/24,2)</f>
        <v>605.79999999999995</v>
      </c>
      <c r="I30" s="118">
        <f>ROUND(+'EO Cycle 2'!$F61/24+'EO Cycle 2'!$F72/24+'EO Cycle 2'!$F83/24+'EO Cycle 2'!$F94/24,2)</f>
        <v>605.79999999999995</v>
      </c>
      <c r="J30" s="164">
        <f>ROUND(+'EO Cycle 2'!$F61/24+'EO Cycle 2'!$F72/24+'EO Cycle 2'!$F83/24+'EO Cycle 2'!$F94/24,2)</f>
        <v>605.79999999999995</v>
      </c>
      <c r="K30" s="139">
        <f>ROUND(+'EO Cycle 2'!$F61/24+'EO Cycle 2'!$F72/24+'EO Cycle 2'!$F83/24+'EO Cycle 2'!$F94/24,2)</f>
        <v>605.79999999999995</v>
      </c>
      <c r="L30" s="139">
        <f>ROUND(+'EO Cycle 2'!$F61/24+'EO Cycle 2'!$F72/24+'EO Cycle 2'!$F83/24+'EO Cycle 2'!$F94/24,2)</f>
        <v>605.79999999999995</v>
      </c>
      <c r="M30" s="79"/>
      <c r="O30" s="47"/>
      <c r="P30" s="186">
        <f t="shared" si="5"/>
        <v>-1211.5999999999999</v>
      </c>
    </row>
    <row r="31" spans="1:16" x14ac:dyDescent="0.25">
      <c r="C31" s="99"/>
      <c r="D31" s="99"/>
      <c r="E31" s="18"/>
      <c r="F31" s="18"/>
      <c r="G31" s="18"/>
      <c r="H31" s="91"/>
      <c r="I31" s="18"/>
      <c r="J31" s="163"/>
      <c r="K31" s="56"/>
      <c r="L31" s="56"/>
      <c r="M31" s="13"/>
    </row>
    <row r="32" spans="1:16" ht="15.75" thickBot="1" x14ac:dyDescent="0.3">
      <c r="A32" s="3" t="s">
        <v>14</v>
      </c>
      <c r="B32" s="3"/>
      <c r="C32" s="103">
        <v>-1232.72</v>
      </c>
      <c r="D32" s="103"/>
      <c r="E32" s="132">
        <v>749.86000000000013</v>
      </c>
      <c r="F32" s="132">
        <v>523.16999999999996</v>
      </c>
      <c r="G32" s="133">
        <v>316.45</v>
      </c>
      <c r="H32" s="26">
        <v>192.37</v>
      </c>
      <c r="I32" s="119">
        <v>157.72999999999999</v>
      </c>
      <c r="J32" s="169">
        <v>122.2</v>
      </c>
      <c r="K32" s="158">
        <v>77.239999999999995</v>
      </c>
      <c r="L32" s="141">
        <v>37.799999999999997</v>
      </c>
      <c r="M32" s="82"/>
      <c r="P32" s="186">
        <f t="shared" si="5"/>
        <v>-115.03999999999999</v>
      </c>
    </row>
    <row r="33" spans="1:16" x14ac:dyDescent="0.25">
      <c r="C33" s="64"/>
      <c r="D33" s="64"/>
      <c r="E33" s="145"/>
      <c r="F33" s="145"/>
      <c r="G33" s="146"/>
      <c r="H33" s="64"/>
      <c r="I33" s="33"/>
      <c r="J33" s="170"/>
      <c r="K33" s="34"/>
      <c r="L33" s="34"/>
      <c r="M33" s="60"/>
    </row>
    <row r="34" spans="1:16" x14ac:dyDescent="0.25">
      <c r="A34" s="46" t="s">
        <v>52</v>
      </c>
      <c r="C34" s="65"/>
      <c r="D34" s="65"/>
      <c r="E34" s="146"/>
      <c r="F34" s="146"/>
      <c r="G34" s="146"/>
      <c r="H34" s="65"/>
      <c r="I34" s="35"/>
      <c r="J34" s="171"/>
      <c r="K34" s="34"/>
      <c r="L34" s="34"/>
      <c r="M34" s="60"/>
    </row>
    <row r="35" spans="1:16" x14ac:dyDescent="0.25">
      <c r="A35" s="46" t="s">
        <v>24</v>
      </c>
      <c r="C35" s="100">
        <f t="shared" ref="C35:M35" si="6">C26-C19</f>
        <v>3241.9241000000038</v>
      </c>
      <c r="D35" s="100"/>
      <c r="E35" s="41">
        <f t="shared" si="6"/>
        <v>-18146.03</v>
      </c>
      <c r="F35" s="41">
        <f t="shared" si="6"/>
        <v>-12536.310000000001</v>
      </c>
      <c r="G35" s="108">
        <f t="shared" si="6"/>
        <v>-5643.23</v>
      </c>
      <c r="H35" s="40">
        <f t="shared" si="6"/>
        <v>18676.95</v>
      </c>
      <c r="I35" s="41">
        <f t="shared" si="6"/>
        <v>9233.82</v>
      </c>
      <c r="J35" s="61">
        <f t="shared" si="6"/>
        <v>4508.9299999999994</v>
      </c>
      <c r="K35" s="120">
        <f t="shared" si="6"/>
        <v>3264.2209000000012</v>
      </c>
      <c r="L35" s="41">
        <f t="shared" si="6"/>
        <v>6827.8323000000009</v>
      </c>
      <c r="M35" s="61">
        <f t="shared" si="6"/>
        <v>13503.7976</v>
      </c>
    </row>
    <row r="36" spans="1:16" x14ac:dyDescent="0.25">
      <c r="A36" s="46" t="s">
        <v>135</v>
      </c>
      <c r="C36" s="100">
        <f t="shared" ref="C36:M36" si="7">C27-C20</f>
        <v>8282.5789000000041</v>
      </c>
      <c r="D36" s="100"/>
      <c r="E36" s="41">
        <f t="shared" si="7"/>
        <v>-5802.93</v>
      </c>
      <c r="F36" s="41">
        <f t="shared" si="7"/>
        <v>-5251.2800000000007</v>
      </c>
      <c r="G36" s="108">
        <f t="shared" si="7"/>
        <v>-4873.66</v>
      </c>
      <c r="H36" s="40">
        <f t="shared" si="7"/>
        <v>-37.840000000000146</v>
      </c>
      <c r="I36" s="41">
        <f t="shared" si="7"/>
        <v>-2005.92</v>
      </c>
      <c r="J36" s="61">
        <f t="shared" si="7"/>
        <v>-1929.4</v>
      </c>
      <c r="K36" s="120">
        <f t="shared" si="7"/>
        <v>-1876.0921500000002</v>
      </c>
      <c r="L36" s="41">
        <f t="shared" si="7"/>
        <v>-1922.8209900000002</v>
      </c>
      <c r="M36" s="61">
        <f t="shared" si="7"/>
        <v>-515.3606400000001</v>
      </c>
    </row>
    <row r="37" spans="1:16" x14ac:dyDescent="0.25">
      <c r="A37" s="46" t="s">
        <v>136</v>
      </c>
      <c r="C37" s="100">
        <f t="shared" ref="C37:M37" si="8">C28-C21</f>
        <v>33207.902520000003</v>
      </c>
      <c r="D37" s="100"/>
      <c r="E37" s="41">
        <f t="shared" si="8"/>
        <v>-8777.2000000000007</v>
      </c>
      <c r="F37" s="41">
        <f t="shared" si="8"/>
        <v>-10451.5</v>
      </c>
      <c r="G37" s="108">
        <f t="shared" si="8"/>
        <v>-11824.9</v>
      </c>
      <c r="H37" s="40">
        <f t="shared" si="8"/>
        <v>-10897.47</v>
      </c>
      <c r="I37" s="41">
        <f t="shared" si="8"/>
        <v>-6074.7300000000005</v>
      </c>
      <c r="J37" s="61">
        <f t="shared" si="8"/>
        <v>-5124.8200000000006</v>
      </c>
      <c r="K37" s="120">
        <f t="shared" si="8"/>
        <v>-4745.4470000000001</v>
      </c>
      <c r="L37" s="41">
        <f t="shared" si="8"/>
        <v>-5260.9946</v>
      </c>
      <c r="M37" s="61">
        <f t="shared" si="8"/>
        <v>-5685.8446199999998</v>
      </c>
    </row>
    <row r="38" spans="1:16" x14ac:dyDescent="0.25">
      <c r="A38" s="46" t="s">
        <v>137</v>
      </c>
      <c r="C38" s="100">
        <f t="shared" ref="C38:M38" si="9">C29-C22</f>
        <v>40446.585359999997</v>
      </c>
      <c r="D38" s="100"/>
      <c r="E38" s="41">
        <f t="shared" si="9"/>
        <v>-13023.08</v>
      </c>
      <c r="F38" s="41">
        <f t="shared" si="9"/>
        <v>-14018.300000000001</v>
      </c>
      <c r="G38" s="108">
        <f t="shared" si="9"/>
        <v>-14694.02</v>
      </c>
      <c r="H38" s="40">
        <f t="shared" si="9"/>
        <v>-10490.57</v>
      </c>
      <c r="I38" s="41">
        <f t="shared" si="9"/>
        <v>-5289.2699999999995</v>
      </c>
      <c r="J38" s="61">
        <f t="shared" si="9"/>
        <v>-4711.38</v>
      </c>
      <c r="K38" s="120">
        <f t="shared" si="9"/>
        <v>-4479.7499700000008</v>
      </c>
      <c r="L38" s="41">
        <f t="shared" si="9"/>
        <v>-4897.0434300000006</v>
      </c>
      <c r="M38" s="61">
        <f t="shared" si="9"/>
        <v>-4602.2242800000004</v>
      </c>
    </row>
    <row r="39" spans="1:16" x14ac:dyDescent="0.25">
      <c r="A39" s="46" t="s">
        <v>138</v>
      </c>
      <c r="C39" s="100">
        <f t="shared" ref="C39:M39" si="10">C30-C23</f>
        <v>9863.9867600000034</v>
      </c>
      <c r="D39" s="100"/>
      <c r="E39" s="41">
        <f t="shared" si="10"/>
        <v>-2417.1199999999994</v>
      </c>
      <c r="F39" s="41">
        <f t="shared" si="10"/>
        <v>-1724.6299999999997</v>
      </c>
      <c r="G39" s="108">
        <f t="shared" si="10"/>
        <v>-3367.7599999999998</v>
      </c>
      <c r="H39" s="40">
        <f t="shared" si="10"/>
        <v>-5368.61</v>
      </c>
      <c r="I39" s="41">
        <f t="shared" si="10"/>
        <v>-1137.3900000000001</v>
      </c>
      <c r="J39" s="61">
        <f t="shared" si="10"/>
        <v>-1108.1600000000001</v>
      </c>
      <c r="K39" s="120">
        <f t="shared" si="10"/>
        <v>-818.64308000000005</v>
      </c>
      <c r="L39" s="41">
        <f t="shared" si="10"/>
        <v>-963.35624000000007</v>
      </c>
      <c r="M39" s="61">
        <f t="shared" si="10"/>
        <v>-1596.0050000000001</v>
      </c>
    </row>
    <row r="40" spans="1:16" x14ac:dyDescent="0.25">
      <c r="C40" s="99"/>
      <c r="D40" s="99"/>
      <c r="E40" s="17"/>
      <c r="F40" s="17"/>
      <c r="G40" s="17"/>
      <c r="H40" s="10"/>
      <c r="I40" s="17"/>
      <c r="J40" s="11"/>
      <c r="K40" s="17"/>
      <c r="L40" s="17"/>
      <c r="M40" s="11"/>
    </row>
    <row r="41" spans="1:16" x14ac:dyDescent="0.25">
      <c r="A41" s="46" t="s">
        <v>53</v>
      </c>
      <c r="C41" s="99"/>
      <c r="D41" s="99"/>
      <c r="E41" s="17"/>
      <c r="F41" s="17"/>
      <c r="G41" s="17"/>
      <c r="H41" s="10"/>
      <c r="I41" s="17"/>
      <c r="J41" s="11"/>
      <c r="K41" s="17"/>
      <c r="L41" s="17"/>
      <c r="M41" s="11"/>
    </row>
    <row r="42" spans="1:16" x14ac:dyDescent="0.25">
      <c r="A42" s="46" t="s">
        <v>24</v>
      </c>
      <c r="B42" s="315">
        <v>-88394.584100000022</v>
      </c>
      <c r="C42" s="100">
        <f t="shared" ref="C42:M42" si="11">B42+C35+B50</f>
        <v>-85152.660000000018</v>
      </c>
      <c r="D42" s="100"/>
      <c r="E42" s="41">
        <f>C42+E35+C50+D50</f>
        <v>-102293.30000000002</v>
      </c>
      <c r="F42" s="41">
        <f t="shared" si="11"/>
        <v>-115305.45000000001</v>
      </c>
      <c r="G42" s="108">
        <f t="shared" si="11"/>
        <v>-121510.26000000001</v>
      </c>
      <c r="H42" s="40">
        <f t="shared" si="11"/>
        <v>-103460.23000000001</v>
      </c>
      <c r="I42" s="41">
        <f t="shared" si="11"/>
        <v>-94829.7</v>
      </c>
      <c r="J42" s="61">
        <f t="shared" si="11"/>
        <v>-90853.2</v>
      </c>
      <c r="K42" s="120">
        <f t="shared" si="11"/>
        <v>-88088.009099999996</v>
      </c>
      <c r="L42" s="41">
        <f t="shared" si="11"/>
        <v>-81741.056800000006</v>
      </c>
      <c r="M42" s="61">
        <f t="shared" si="11"/>
        <v>-68693.669200000004</v>
      </c>
      <c r="P42" s="186"/>
    </row>
    <row r="43" spans="1:16" x14ac:dyDescent="0.25">
      <c r="A43" s="46" t="s">
        <v>135</v>
      </c>
      <c r="B43" s="315">
        <v>-169480.98890000005</v>
      </c>
      <c r="C43" s="100">
        <f t="shared" ref="C43:M43" si="12">B43+C36+B51</f>
        <v>-161198.41000000006</v>
      </c>
      <c r="D43" s="100"/>
      <c r="E43" s="41">
        <f t="shared" ref="E43:E46" si="13">C43+E36+C51+D51</f>
        <v>-165357.08000000005</v>
      </c>
      <c r="F43" s="41">
        <f t="shared" si="12"/>
        <v>-171437.61000000004</v>
      </c>
      <c r="G43" s="108">
        <f t="shared" si="12"/>
        <v>-177180.71000000005</v>
      </c>
      <c r="H43" s="40">
        <f t="shared" si="12"/>
        <v>-178141.56000000006</v>
      </c>
      <c r="I43" s="41">
        <f t="shared" si="12"/>
        <v>-181100.15000000008</v>
      </c>
      <c r="J43" s="61">
        <f t="shared" si="12"/>
        <v>-183993.78000000009</v>
      </c>
      <c r="K43" s="120">
        <f t="shared" si="12"/>
        <v>-186850.86215000009</v>
      </c>
      <c r="L43" s="41">
        <f t="shared" si="12"/>
        <v>-189770.13314000011</v>
      </c>
      <c r="M43" s="61">
        <f t="shared" si="12"/>
        <v>-191297.46378000011</v>
      </c>
      <c r="P43" s="186"/>
    </row>
    <row r="44" spans="1:16" x14ac:dyDescent="0.25">
      <c r="A44" s="46" t="s">
        <v>136</v>
      </c>
      <c r="B44" s="315">
        <v>157859.97747999988</v>
      </c>
      <c r="C44" s="100">
        <f t="shared" ref="C44:M44" si="14">B44+C37+B52</f>
        <v>191067.87999999989</v>
      </c>
      <c r="D44" s="100"/>
      <c r="E44" s="41">
        <f t="shared" si="13"/>
        <v>180502.30999999988</v>
      </c>
      <c r="F44" s="41">
        <f t="shared" si="14"/>
        <v>170994.57999999987</v>
      </c>
      <c r="G44" s="108">
        <f t="shared" si="14"/>
        <v>160077.27999999988</v>
      </c>
      <c r="H44" s="40">
        <f t="shared" si="14"/>
        <v>150056.57999999987</v>
      </c>
      <c r="I44" s="41">
        <f t="shared" si="14"/>
        <v>144813.54999999987</v>
      </c>
      <c r="J44" s="61">
        <f t="shared" si="14"/>
        <v>140480.31999999986</v>
      </c>
      <c r="K44" s="120">
        <f t="shared" si="14"/>
        <v>136501.54299999986</v>
      </c>
      <c r="L44" s="41">
        <f t="shared" si="14"/>
        <v>131984.87839999984</v>
      </c>
      <c r="M44" s="61">
        <f t="shared" si="14"/>
        <v>127020.54377999983</v>
      </c>
      <c r="P44" s="186"/>
    </row>
    <row r="45" spans="1:16" x14ac:dyDescent="0.25">
      <c r="A45" s="46" t="s">
        <v>137</v>
      </c>
      <c r="B45" s="315">
        <v>65186.044640000066</v>
      </c>
      <c r="C45" s="100">
        <f t="shared" ref="C45:M45" si="15">B45+C38+B53</f>
        <v>105632.63000000006</v>
      </c>
      <c r="D45" s="100"/>
      <c r="E45" s="41">
        <f t="shared" si="13"/>
        <v>91699.370000000068</v>
      </c>
      <c r="F45" s="41">
        <f t="shared" si="15"/>
        <v>78182.380000000063</v>
      </c>
      <c r="G45" s="108">
        <f t="shared" si="15"/>
        <v>63927.130000000056</v>
      </c>
      <c r="H45" s="40">
        <f t="shared" si="15"/>
        <v>53813.040000000059</v>
      </c>
      <c r="I45" s="41">
        <f t="shared" si="15"/>
        <v>48839.640000000065</v>
      </c>
      <c r="J45" s="61">
        <f t="shared" si="15"/>
        <v>44403.900000000067</v>
      </c>
      <c r="K45" s="120">
        <f t="shared" si="15"/>
        <v>40174.770030000065</v>
      </c>
      <c r="L45" s="41">
        <f t="shared" si="15"/>
        <v>35505.056600000069</v>
      </c>
      <c r="M45" s="61">
        <f t="shared" si="15"/>
        <v>31106.252320000065</v>
      </c>
      <c r="P45" s="186"/>
    </row>
    <row r="46" spans="1:16" x14ac:dyDescent="0.25">
      <c r="A46" s="46" t="s">
        <v>138</v>
      </c>
      <c r="B46" s="315">
        <v>112005.19323999998</v>
      </c>
      <c r="C46" s="100">
        <f>B46+C39+B54</f>
        <v>121869.17999999998</v>
      </c>
      <c r="D46" s="100"/>
      <c r="E46" s="41">
        <f t="shared" si="13"/>
        <v>118268.23999999998</v>
      </c>
      <c r="F46" s="41">
        <f t="shared" ref="F46:M46" si="16">E46+F39+E54</f>
        <v>117153.47999999997</v>
      </c>
      <c r="G46" s="108">
        <f t="shared" si="16"/>
        <v>114393.54999999997</v>
      </c>
      <c r="H46" s="40">
        <f t="shared" si="16"/>
        <v>109638.06999999998</v>
      </c>
      <c r="I46" s="41">
        <f t="shared" si="16"/>
        <v>109101.41999999998</v>
      </c>
      <c r="J46" s="61">
        <f t="shared" si="16"/>
        <v>108580.42999999998</v>
      </c>
      <c r="K46" s="120">
        <f t="shared" si="16"/>
        <v>108346.71691999998</v>
      </c>
      <c r="L46" s="41">
        <f t="shared" si="16"/>
        <v>107966.27067999999</v>
      </c>
      <c r="M46" s="61">
        <f t="shared" si="16"/>
        <v>106951.51567999998</v>
      </c>
      <c r="P46" s="186"/>
    </row>
    <row r="47" spans="1:16" x14ac:dyDescent="0.25">
      <c r="C47" s="99"/>
      <c r="D47" s="99"/>
      <c r="E47" s="17"/>
      <c r="F47" s="17"/>
      <c r="G47" s="17"/>
      <c r="H47" s="10"/>
      <c r="I47" s="17"/>
      <c r="J47" s="11"/>
      <c r="K47" s="17"/>
      <c r="L47" s="17"/>
      <c r="M47" s="11"/>
    </row>
    <row r="48" spans="1:16" x14ac:dyDescent="0.25">
      <c r="A48" s="39" t="s">
        <v>88</v>
      </c>
      <c r="B48" s="39"/>
      <c r="C48" s="104"/>
      <c r="D48" s="104"/>
      <c r="E48" s="83">
        <f>+'PCR Cycle 2'!E50</f>
        <v>5.1044699999999998E-3</v>
      </c>
      <c r="F48" s="83">
        <f>+'PCR Cycle 2'!F50</f>
        <v>5.1503699999999996E-3</v>
      </c>
      <c r="G48" s="83">
        <f>+'PCR Cycle 2'!G50</f>
        <v>5.2820799999999998E-3</v>
      </c>
      <c r="H48" s="84">
        <f>+'PCR Cycle 2'!H50</f>
        <v>5.3483699999999999E-3</v>
      </c>
      <c r="I48" s="83">
        <f>+'PCR Cycle 2'!I50</f>
        <v>5.3539599999999996E-3</v>
      </c>
      <c r="J48" s="92">
        <f>+'PCR Cycle 2'!J50</f>
        <v>5.3597599999999999E-3</v>
      </c>
      <c r="K48" s="83">
        <f>+'PCR Cycle 2'!K50</f>
        <v>5.3597599999999999E-3</v>
      </c>
      <c r="L48" s="83">
        <f>+'PCR Cycle 2'!L50</f>
        <v>5.3597599999999999E-3</v>
      </c>
      <c r="M48" s="85"/>
    </row>
    <row r="49" spans="1:16" x14ac:dyDescent="0.25">
      <c r="A49" s="39" t="s">
        <v>37</v>
      </c>
      <c r="B49" s="39"/>
      <c r="C49" s="106"/>
      <c r="D49" s="106"/>
      <c r="E49" s="83"/>
      <c r="F49" s="83"/>
      <c r="G49" s="83"/>
      <c r="H49" s="84"/>
      <c r="I49" s="83"/>
      <c r="J49" s="85"/>
      <c r="K49" s="83"/>
      <c r="L49" s="83"/>
      <c r="M49" s="85"/>
    </row>
    <row r="50" spans="1:16" x14ac:dyDescent="0.25">
      <c r="A50" s="46" t="s">
        <v>24</v>
      </c>
      <c r="C50" s="316">
        <v>1005.3900000000001</v>
      </c>
      <c r="D50" s="100"/>
      <c r="E50" s="41">
        <f>ROUND((C42+C50+D50+E35/2)*E$48,2)</f>
        <v>-475.84</v>
      </c>
      <c r="F50" s="41">
        <f t="shared" ref="F50:M50" si="17">ROUND((E42+E50+F35/2)*F$48,2)</f>
        <v>-561.58000000000004</v>
      </c>
      <c r="G50" s="108">
        <f t="shared" si="17"/>
        <v>-626.91999999999996</v>
      </c>
      <c r="H50" s="40">
        <f t="shared" si="17"/>
        <v>-603.29</v>
      </c>
      <c r="I50" s="120">
        <f t="shared" si="17"/>
        <v>-532.42999999999995</v>
      </c>
      <c r="J50" s="49">
        <f t="shared" si="17"/>
        <v>-499.03</v>
      </c>
      <c r="K50" s="159">
        <f t="shared" si="17"/>
        <v>-480.88</v>
      </c>
      <c r="L50" s="108">
        <f t="shared" si="17"/>
        <v>-456.41</v>
      </c>
      <c r="M50" s="61">
        <f t="shared" si="17"/>
        <v>0</v>
      </c>
      <c r="P50" s="186">
        <f t="shared" ref="P50:P54" si="18">-SUM(K50:M50)</f>
        <v>937.29</v>
      </c>
    </row>
    <row r="51" spans="1:16" x14ac:dyDescent="0.25">
      <c r="A51" s="46" t="s">
        <v>135</v>
      </c>
      <c r="C51" s="316">
        <v>1644.26</v>
      </c>
      <c r="D51" s="100"/>
      <c r="E51" s="41">
        <f t="shared" ref="E51:E54" si="19">ROUND((C43+C51+D51+E36/2)*E$48,2)</f>
        <v>-829.25</v>
      </c>
      <c r="F51" s="41">
        <f t="shared" ref="F51:M51" si="20">ROUND((E43+E51+F36/2)*F$48,2)</f>
        <v>-869.44</v>
      </c>
      <c r="G51" s="108">
        <f t="shared" si="20"/>
        <v>-923.01</v>
      </c>
      <c r="H51" s="40">
        <f t="shared" si="20"/>
        <v>-952.67</v>
      </c>
      <c r="I51" s="120">
        <f t="shared" si="20"/>
        <v>-964.23</v>
      </c>
      <c r="J51" s="49">
        <f t="shared" si="20"/>
        <v>-980.99</v>
      </c>
      <c r="K51" s="159">
        <f t="shared" si="20"/>
        <v>-996.45</v>
      </c>
      <c r="L51" s="108">
        <f t="shared" si="20"/>
        <v>-1011.97</v>
      </c>
      <c r="M51" s="61">
        <f t="shared" si="20"/>
        <v>0</v>
      </c>
      <c r="P51" s="186">
        <f t="shared" si="18"/>
        <v>2008.42</v>
      </c>
    </row>
    <row r="52" spans="1:16" x14ac:dyDescent="0.25">
      <c r="A52" s="46" t="s">
        <v>136</v>
      </c>
      <c r="C52" s="316">
        <v>-1788.37</v>
      </c>
      <c r="D52" s="100"/>
      <c r="E52" s="41">
        <f t="shared" si="19"/>
        <v>943.77</v>
      </c>
      <c r="F52" s="41">
        <f>ROUND((E44+E52+F37/2)*F$48,2)</f>
        <v>907.6</v>
      </c>
      <c r="G52" s="108">
        <f t="shared" ref="G52:M52" si="21">ROUND((F44+F52+G37/2)*G$48,2)</f>
        <v>876.77</v>
      </c>
      <c r="H52" s="40">
        <f t="shared" si="21"/>
        <v>831.7</v>
      </c>
      <c r="I52" s="120">
        <f t="shared" si="21"/>
        <v>791.59</v>
      </c>
      <c r="J52" s="49">
        <f t="shared" si="21"/>
        <v>766.67</v>
      </c>
      <c r="K52" s="159">
        <f t="shared" si="21"/>
        <v>744.33</v>
      </c>
      <c r="L52" s="108">
        <f t="shared" si="21"/>
        <v>721.51</v>
      </c>
      <c r="M52" s="61">
        <f t="shared" si="21"/>
        <v>0</v>
      </c>
      <c r="P52" s="186">
        <f t="shared" si="18"/>
        <v>-1465.8400000000001</v>
      </c>
    </row>
    <row r="53" spans="1:16" x14ac:dyDescent="0.25">
      <c r="A53" s="46" t="s">
        <v>137</v>
      </c>
      <c r="C53" s="316">
        <v>-910.18000000000006</v>
      </c>
      <c r="D53" s="100"/>
      <c r="E53" s="41">
        <f t="shared" si="19"/>
        <v>501.31</v>
      </c>
      <c r="F53" s="41">
        <f t="shared" ref="F53:M53" si="22">ROUND((E45+E53+F38/2)*F$48,2)</f>
        <v>438.77</v>
      </c>
      <c r="G53" s="108">
        <f t="shared" si="22"/>
        <v>376.48</v>
      </c>
      <c r="H53" s="40">
        <f t="shared" si="22"/>
        <v>315.87</v>
      </c>
      <c r="I53" s="120">
        <f t="shared" si="22"/>
        <v>275.64</v>
      </c>
      <c r="J53" s="49">
        <f t="shared" si="22"/>
        <v>250.62</v>
      </c>
      <c r="K53" s="159">
        <f t="shared" si="22"/>
        <v>227.33</v>
      </c>
      <c r="L53" s="108">
        <f t="shared" si="22"/>
        <v>203.42</v>
      </c>
      <c r="M53" s="61">
        <f t="shared" si="22"/>
        <v>0</v>
      </c>
      <c r="P53" s="186">
        <f t="shared" si="18"/>
        <v>-430.75</v>
      </c>
    </row>
    <row r="54" spans="1:16" ht="15.75" thickBot="1" x14ac:dyDescent="0.3">
      <c r="A54" s="46" t="s">
        <v>138</v>
      </c>
      <c r="C54" s="316">
        <v>-1183.8200000000002</v>
      </c>
      <c r="D54" s="100"/>
      <c r="E54" s="41">
        <f t="shared" si="19"/>
        <v>609.87</v>
      </c>
      <c r="F54" s="41">
        <f t="shared" ref="F54:M54" si="23">ROUND((E46+E54+F39/2)*F$48,2)</f>
        <v>607.83000000000004</v>
      </c>
      <c r="G54" s="108">
        <f t="shared" si="23"/>
        <v>613.13</v>
      </c>
      <c r="H54" s="40">
        <f t="shared" si="23"/>
        <v>600.74</v>
      </c>
      <c r="I54" s="120">
        <f t="shared" si="23"/>
        <v>587.16999999999996</v>
      </c>
      <c r="J54" s="49">
        <f t="shared" si="23"/>
        <v>584.92999999999995</v>
      </c>
      <c r="K54" s="159">
        <f t="shared" si="23"/>
        <v>582.91</v>
      </c>
      <c r="L54" s="108">
        <f t="shared" si="23"/>
        <v>581.25</v>
      </c>
      <c r="M54" s="61">
        <f t="shared" si="23"/>
        <v>0</v>
      </c>
      <c r="P54" s="186">
        <f t="shared" si="18"/>
        <v>-1164.1599999999999</v>
      </c>
    </row>
    <row r="55" spans="1:16" ht="16.5" thickTop="1" thickBot="1" x14ac:dyDescent="0.3">
      <c r="A55" s="54" t="s">
        <v>22</v>
      </c>
      <c r="B55" s="54"/>
      <c r="C55" s="107">
        <v>0</v>
      </c>
      <c r="D55" s="107"/>
      <c r="E55" s="42">
        <f t="shared" ref="E55:J55" si="24">SUM(E50:E54)+SUM(E42:E46)-E58</f>
        <v>0</v>
      </c>
      <c r="F55" s="42">
        <f t="shared" si="24"/>
        <v>0</v>
      </c>
      <c r="G55" s="50">
        <f t="shared" ref="G55:I55" si="25">SUM(G50:G54)+SUM(G42:G46)-G58</f>
        <v>0</v>
      </c>
      <c r="H55" s="143">
        <f t="shared" si="25"/>
        <v>2.9103830456733704E-11</v>
      </c>
      <c r="I55" s="50">
        <f t="shared" si="25"/>
        <v>0</v>
      </c>
      <c r="J55" s="62">
        <f t="shared" si="24"/>
        <v>-3.637978807091713E-11</v>
      </c>
      <c r="K55" s="160">
        <f t="shared" ref="K55:M55" si="26">SUM(K50:K54)+SUM(K42:K46)-K58</f>
        <v>-2.1827872842550278E-11</v>
      </c>
      <c r="L55" s="50">
        <f t="shared" si="26"/>
        <v>-7.6852302299812436E-11</v>
      </c>
      <c r="M55" s="62">
        <f t="shared" si="26"/>
        <v>-8.3673512563109398E-11</v>
      </c>
    </row>
    <row r="56" spans="1:16" ht="16.5" thickTop="1" thickBot="1" x14ac:dyDescent="0.3">
      <c r="A56" s="54" t="s">
        <v>23</v>
      </c>
      <c r="B56" s="54"/>
      <c r="C56" s="107">
        <v>0</v>
      </c>
      <c r="D56" s="107"/>
      <c r="E56" s="42">
        <f t="shared" ref="E56:J56" si="27">SUM(E50:E54)-E32</f>
        <v>0</v>
      </c>
      <c r="F56" s="42">
        <f t="shared" si="27"/>
        <v>1.0000000000104592E-2</v>
      </c>
      <c r="G56" s="50">
        <f t="shared" ref="G56:I56" si="28">SUM(G50:G54)-G32</f>
        <v>0</v>
      </c>
      <c r="H56" s="143">
        <f t="shared" si="28"/>
        <v>-1.999999999998181E-2</v>
      </c>
      <c r="I56" s="50">
        <f t="shared" si="28"/>
        <v>1.0000000000133014E-2</v>
      </c>
      <c r="J56" s="62">
        <f t="shared" si="27"/>
        <v>0</v>
      </c>
      <c r="K56" s="161">
        <f t="shared" ref="K56:M56" si="29">SUM(K50:K54)-K32</f>
        <v>1.2789769243681803E-13</v>
      </c>
      <c r="L56" s="42">
        <f t="shared" si="29"/>
        <v>-1.5631940186722204E-13</v>
      </c>
      <c r="M56" s="42">
        <f t="shared" si="29"/>
        <v>0</v>
      </c>
    </row>
    <row r="57" spans="1:16" ht="16.5" thickTop="1" thickBot="1" x14ac:dyDescent="0.3">
      <c r="C57" s="99"/>
      <c r="D57" s="99"/>
      <c r="E57" s="17"/>
      <c r="F57" s="17"/>
      <c r="G57" s="17"/>
      <c r="H57" s="10"/>
      <c r="I57" s="17"/>
      <c r="J57" s="11"/>
      <c r="K57" s="17"/>
      <c r="L57" s="17"/>
      <c r="M57" s="11"/>
    </row>
    <row r="58" spans="1:16" ht="15.75" thickBot="1" x14ac:dyDescent="0.3">
      <c r="A58" s="46" t="s">
        <v>36</v>
      </c>
      <c r="B58" s="116">
        <f>SUM(B42:B46)</f>
        <v>77175.642359999838</v>
      </c>
      <c r="C58" s="100">
        <f t="shared" ref="C58:M58" si="30">(C16-SUM(C19:C23))+SUM(C50:C54)+B58</f>
        <v>170985.89999999985</v>
      </c>
      <c r="D58" s="100"/>
      <c r="E58" s="41">
        <f>(E16-SUM(E19:E23))+SUM(D50:E54)+C58</f>
        <v>123569.39999999985</v>
      </c>
      <c r="F58" s="41">
        <f t="shared" si="30"/>
        <v>80110.559999999852</v>
      </c>
      <c r="G58" s="108">
        <f t="shared" si="30"/>
        <v>40023.439999999842</v>
      </c>
      <c r="H58" s="40">
        <f t="shared" si="30"/>
        <v>32098.249999999847</v>
      </c>
      <c r="I58" s="41">
        <f t="shared" si="30"/>
        <v>26982.499999999847</v>
      </c>
      <c r="J58" s="61">
        <f t="shared" si="30"/>
        <v>18739.869999999846</v>
      </c>
      <c r="K58" s="159">
        <f t="shared" si="30"/>
        <v>10161.398699999847</v>
      </c>
      <c r="L58" s="108">
        <f t="shared" si="30"/>
        <v>3982.8157399998463</v>
      </c>
      <c r="M58" s="61">
        <f t="shared" si="30"/>
        <v>5087.1787999998451</v>
      </c>
    </row>
    <row r="59" spans="1:16" x14ac:dyDescent="0.25">
      <c r="A59" s="46" t="s">
        <v>12</v>
      </c>
      <c r="C59" s="117"/>
      <c r="D59" s="17"/>
      <c r="E59" s="17"/>
      <c r="F59" s="17"/>
      <c r="G59" s="17"/>
      <c r="H59" s="10"/>
      <c r="I59" s="17"/>
      <c r="J59" s="11"/>
      <c r="K59" s="17"/>
      <c r="L59" s="17"/>
      <c r="M59" s="11"/>
    </row>
    <row r="60" spans="1:16" ht="15.75" thickBot="1" x14ac:dyDescent="0.3">
      <c r="A60" s="37"/>
      <c r="B60" s="37"/>
      <c r="C60" s="144"/>
      <c r="D60" s="266"/>
      <c r="E60" s="44"/>
      <c r="F60" s="44"/>
      <c r="G60" s="44"/>
      <c r="H60" s="43"/>
      <c r="I60" s="44"/>
      <c r="J60" s="45"/>
      <c r="K60" s="44"/>
      <c r="L60" s="44"/>
      <c r="M60" s="45"/>
    </row>
    <row r="62" spans="1:16" x14ac:dyDescent="0.25">
      <c r="A62" s="69" t="s">
        <v>11</v>
      </c>
      <c r="B62" s="69"/>
      <c r="C62" s="69"/>
      <c r="D62" s="69"/>
    </row>
    <row r="63" spans="1:16" ht="31.5" customHeight="1" x14ac:dyDescent="0.25">
      <c r="A63" s="331" t="s">
        <v>160</v>
      </c>
      <c r="B63" s="331"/>
      <c r="C63" s="331"/>
      <c r="D63" s="331"/>
      <c r="E63" s="331"/>
      <c r="F63" s="331"/>
      <c r="G63" s="331"/>
      <c r="H63" s="331"/>
      <c r="I63" s="331"/>
      <c r="J63" s="331"/>
      <c r="K63" s="232"/>
      <c r="L63" s="232"/>
      <c r="M63" s="232"/>
    </row>
    <row r="64" spans="1:16" ht="63" customHeight="1" x14ac:dyDescent="0.25">
      <c r="A64" s="331" t="s">
        <v>261</v>
      </c>
      <c r="B64" s="331"/>
      <c r="C64" s="331"/>
      <c r="D64" s="331"/>
      <c r="E64" s="331"/>
      <c r="F64" s="331"/>
      <c r="G64" s="331"/>
      <c r="H64" s="331"/>
      <c r="I64" s="331"/>
      <c r="J64" s="331"/>
      <c r="K64" s="331"/>
      <c r="L64" s="232"/>
    </row>
    <row r="65" spans="1:13" ht="18.75" customHeight="1" x14ac:dyDescent="0.25">
      <c r="A65" s="331" t="s">
        <v>187</v>
      </c>
      <c r="B65" s="331"/>
      <c r="C65" s="331"/>
      <c r="D65" s="331"/>
      <c r="E65" s="331"/>
      <c r="F65" s="331"/>
      <c r="G65" s="331"/>
      <c r="H65" s="331"/>
      <c r="I65" s="331"/>
      <c r="J65" s="331"/>
      <c r="K65" s="232"/>
      <c r="L65" s="232"/>
      <c r="M65" s="232"/>
    </row>
    <row r="66" spans="1:13" x14ac:dyDescent="0.25">
      <c r="A66" s="63" t="s">
        <v>31</v>
      </c>
      <c r="B66" s="63"/>
      <c r="C66" s="63"/>
      <c r="D66" s="63"/>
      <c r="E66" s="39"/>
      <c r="F66" s="39"/>
      <c r="G66" s="39"/>
      <c r="H66" s="39"/>
      <c r="I66" s="39"/>
      <c r="J66" s="39"/>
    </row>
    <row r="67" spans="1:13" x14ac:dyDescent="0.25">
      <c r="A67" s="63" t="s">
        <v>240</v>
      </c>
      <c r="B67" s="63"/>
      <c r="C67" s="63"/>
      <c r="D67" s="63"/>
      <c r="E67" s="39"/>
      <c r="F67" s="39"/>
      <c r="G67" s="39"/>
      <c r="H67" s="39"/>
      <c r="I67" s="39"/>
      <c r="J67" s="39"/>
    </row>
    <row r="68" spans="1:13" x14ac:dyDescent="0.25">
      <c r="A68" s="63" t="s">
        <v>95</v>
      </c>
      <c r="B68" s="63"/>
      <c r="C68" s="63"/>
      <c r="D68" s="63"/>
      <c r="E68" s="39"/>
      <c r="F68" s="39"/>
      <c r="G68" s="39"/>
      <c r="H68" s="39"/>
      <c r="I68" s="39"/>
      <c r="J68" s="39"/>
    </row>
    <row r="69" spans="1:13" x14ac:dyDescent="0.25">
      <c r="A69" s="3" t="s">
        <v>185</v>
      </c>
      <c r="B69" s="3"/>
      <c r="C69" s="3"/>
      <c r="D69" s="3"/>
    </row>
    <row r="71" spans="1:13" ht="36" customHeight="1" x14ac:dyDescent="0.25">
      <c r="A71" s="327"/>
      <c r="B71" s="327"/>
      <c r="C71" s="327"/>
      <c r="D71" s="327"/>
      <c r="E71" s="327"/>
      <c r="F71" s="327"/>
      <c r="G71" s="327"/>
    </row>
  </sheetData>
  <mergeCells count="7">
    <mergeCell ref="A71:G71"/>
    <mergeCell ref="A65:J65"/>
    <mergeCell ref="E14:G14"/>
    <mergeCell ref="H14:J14"/>
    <mergeCell ref="K14:M14"/>
    <mergeCell ref="A63:J63"/>
    <mergeCell ref="A64:K64"/>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workbookViewId="0">
      <selection activeCell="O3" sqref="O3"/>
    </sheetView>
  </sheetViews>
  <sheetFormatPr defaultColWidth="9.140625" defaultRowHeight="15" outlineLevelCol="1" x14ac:dyDescent="0.25"/>
  <cols>
    <col min="1" max="1" width="37.7109375" style="46" customWidth="1"/>
    <col min="2" max="2" width="12.28515625" style="46" bestFit="1" customWidth="1"/>
    <col min="3" max="3" width="12.42578125" style="46" bestFit="1" customWidth="1"/>
    <col min="4" max="4" width="12.42578125" style="46" customWidth="1"/>
    <col min="5" max="5" width="15.42578125" style="46" customWidth="1"/>
    <col min="6" max="6" width="15.85546875" style="46" bestFit="1" customWidth="1"/>
    <col min="7" max="7" width="12.28515625" style="46" bestFit="1" customWidth="1"/>
    <col min="8" max="9" width="13.28515625" style="46" bestFit="1" customWidth="1"/>
    <col min="10" max="10" width="12.28515625" style="46" bestFit="1" customWidth="1"/>
    <col min="11" max="11" width="12.5703125" style="46" customWidth="1"/>
    <col min="12" max="12" width="12.85546875" style="46" customWidth="1"/>
    <col min="13" max="13" width="16" style="46" customWidth="1"/>
    <col min="14" max="14" width="15" style="46" bestFit="1" customWidth="1"/>
    <col min="15" max="15" width="16" style="46" bestFit="1" customWidth="1"/>
    <col min="16" max="16" width="15.28515625" style="46" bestFit="1" customWidth="1" outlineLevel="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12/01/2023</v>
      </c>
      <c r="B1" s="3"/>
      <c r="C1" s="3"/>
      <c r="D1" s="3"/>
    </row>
    <row r="2" spans="1:35" x14ac:dyDescent="0.25">
      <c r="E2" s="3" t="s">
        <v>169</v>
      </c>
    </row>
    <row r="3" spans="1:35" ht="30" x14ac:dyDescent="0.25">
      <c r="E3" s="48" t="s">
        <v>46</v>
      </c>
      <c r="F3" s="70" t="s">
        <v>58</v>
      </c>
      <c r="G3" s="48" t="s">
        <v>3</v>
      </c>
      <c r="H3" s="70" t="s">
        <v>55</v>
      </c>
      <c r="I3" s="48" t="s">
        <v>10</v>
      </c>
      <c r="J3" s="48" t="s">
        <v>59</v>
      </c>
      <c r="S3" s="48"/>
    </row>
    <row r="4" spans="1:35" x14ac:dyDescent="0.25">
      <c r="A4" s="20" t="s">
        <v>24</v>
      </c>
      <c r="B4" s="20"/>
      <c r="C4" s="20"/>
      <c r="D4" s="20"/>
      <c r="E4" s="22">
        <f>SUM(C16:M16)</f>
        <v>400935.49813000002</v>
      </c>
      <c r="F4" s="22">
        <f>SUM(C23:L23)</f>
        <v>349434.66999999993</v>
      </c>
      <c r="G4" s="22">
        <f>F4-E4</f>
        <v>-51500.828130000096</v>
      </c>
      <c r="H4" s="22">
        <f>+B39</f>
        <v>112255.47333000004</v>
      </c>
      <c r="I4" s="22">
        <f>SUM(C47:L47)</f>
        <v>4385.38</v>
      </c>
      <c r="J4" s="25">
        <f>SUM(G4:I4)</f>
        <v>65140.025199999938</v>
      </c>
      <c r="K4" s="47">
        <f>+J4-M39</f>
        <v>-1.0913936421275139E-10</v>
      </c>
      <c r="N4" s="47"/>
    </row>
    <row r="5" spans="1:35" x14ac:dyDescent="0.25">
      <c r="A5" s="20" t="s">
        <v>107</v>
      </c>
      <c r="B5" s="20"/>
      <c r="C5" s="20"/>
      <c r="D5" s="20"/>
      <c r="E5" s="22">
        <f t="shared" ref="E5:E8" si="0">SUM(C17:M17)</f>
        <v>35831.142039999999</v>
      </c>
      <c r="F5" s="22">
        <f t="shared" ref="F5:F8" si="1">SUM(C24:L24)</f>
        <v>31212.700000000004</v>
      </c>
      <c r="G5" s="22">
        <f t="shared" ref="G5:G8" si="2">F5-E5</f>
        <v>-4618.4420399999944</v>
      </c>
      <c r="H5" s="22">
        <f t="shared" ref="H5:H8" si="3">+B40</f>
        <v>9555.0566799999888</v>
      </c>
      <c r="I5" s="22">
        <f t="shared" ref="I5:I8" si="4">SUM(C48:L48)</f>
        <v>376.95</v>
      </c>
      <c r="J5" s="25">
        <f t="shared" ref="J5:J8" si="5">SUM(G5:I5)</f>
        <v>5313.5646399999941</v>
      </c>
      <c r="K5" s="47">
        <f>+J5-M40</f>
        <v>0</v>
      </c>
      <c r="N5" s="47"/>
    </row>
    <row r="6" spans="1:35" x14ac:dyDescent="0.25">
      <c r="A6" s="20" t="s">
        <v>108</v>
      </c>
      <c r="B6" s="20"/>
      <c r="C6" s="20"/>
      <c r="D6" s="20"/>
      <c r="E6" s="22">
        <f t="shared" si="0"/>
        <v>93296.06581</v>
      </c>
      <c r="F6" s="22">
        <f t="shared" si="1"/>
        <v>69041.45</v>
      </c>
      <c r="G6" s="22">
        <f t="shared" si="2"/>
        <v>-24254.615810000003</v>
      </c>
      <c r="H6" s="22">
        <f t="shared" si="3"/>
        <v>55894.701520000039</v>
      </c>
      <c r="I6" s="22">
        <f t="shared" si="4"/>
        <v>1837.29</v>
      </c>
      <c r="J6" s="25">
        <f t="shared" si="5"/>
        <v>33477.375710000037</v>
      </c>
      <c r="K6" s="47">
        <f>+J6-M41</f>
        <v>0</v>
      </c>
      <c r="N6" s="47"/>
    </row>
    <row r="7" spans="1:35" x14ac:dyDescent="0.25">
      <c r="A7" s="20" t="s">
        <v>109</v>
      </c>
      <c r="B7" s="20"/>
      <c r="C7" s="20"/>
      <c r="D7" s="20"/>
      <c r="E7" s="22">
        <f t="shared" si="0"/>
        <v>257393.92332999996</v>
      </c>
      <c r="F7" s="22">
        <f t="shared" si="1"/>
        <v>225641.33999999997</v>
      </c>
      <c r="G7" s="22">
        <f t="shared" si="2"/>
        <v>-31752.583329999994</v>
      </c>
      <c r="H7" s="22">
        <f t="shared" si="3"/>
        <v>64784.323970000012</v>
      </c>
      <c r="I7" s="22">
        <f t="shared" si="4"/>
        <v>2625.1099999999997</v>
      </c>
      <c r="J7" s="25">
        <f t="shared" si="5"/>
        <v>35656.850640000019</v>
      </c>
      <c r="K7" s="47">
        <f>+J7-M42</f>
        <v>0</v>
      </c>
      <c r="N7" s="47"/>
    </row>
    <row r="8" spans="1:35" ht="15.75" thickBot="1" x14ac:dyDescent="0.3">
      <c r="A8" s="20" t="s">
        <v>110</v>
      </c>
      <c r="B8" s="20"/>
      <c r="C8" s="20"/>
      <c r="D8" s="20"/>
      <c r="E8" s="22">
        <f t="shared" si="0"/>
        <v>31058.047340000001</v>
      </c>
      <c r="F8" s="22">
        <f t="shared" si="1"/>
        <v>22194.04</v>
      </c>
      <c r="G8" s="22">
        <f t="shared" si="2"/>
        <v>-8864.0073400000001</v>
      </c>
      <c r="H8" s="22">
        <f t="shared" si="3"/>
        <v>11258.4133</v>
      </c>
      <c r="I8" s="22">
        <f t="shared" si="4"/>
        <v>319.78000000000003</v>
      </c>
      <c r="J8" s="25">
        <f t="shared" si="5"/>
        <v>2714.1859600000003</v>
      </c>
      <c r="K8" s="47">
        <f>+J8-M43</f>
        <v>0</v>
      </c>
      <c r="N8" s="47"/>
    </row>
    <row r="9" spans="1:35" ht="16.5" thickTop="1" thickBot="1" x14ac:dyDescent="0.3">
      <c r="E9" s="27">
        <f t="shared" ref="E9:J9" si="6">SUM(E4:E8)</f>
        <v>818514.67665000004</v>
      </c>
      <c r="F9" s="27">
        <f t="shared" si="6"/>
        <v>697524.2</v>
      </c>
      <c r="G9" s="27">
        <f t="shared" si="6"/>
        <v>-120990.47665000008</v>
      </c>
      <c r="H9" s="27">
        <f t="shared" si="6"/>
        <v>253747.96880000009</v>
      </c>
      <c r="I9" s="27">
        <f t="shared" si="6"/>
        <v>9544.51</v>
      </c>
      <c r="J9" s="27">
        <f t="shared" si="6"/>
        <v>142302.00214999999</v>
      </c>
      <c r="T9" s="5"/>
    </row>
    <row r="10" spans="1:35" ht="16.5" thickTop="1" thickBot="1" x14ac:dyDescent="0.3">
      <c r="V10" s="4"/>
      <c r="W10" s="5"/>
    </row>
    <row r="11" spans="1:35" ht="105.75" thickBot="1" x14ac:dyDescent="0.3">
      <c r="B11" s="115" t="str">
        <f>+'PCR Cycle 2'!B14</f>
        <v>Cumulative Over/Under Carryover From 6/01/2023 Filing</v>
      </c>
      <c r="C11" s="267" t="str">
        <f>+'PCR Cycle 2'!C14</f>
        <v>Reverse May 2023 - July 2023 Forecast From 6/01/2023 Filing</v>
      </c>
      <c r="D11" s="267"/>
      <c r="E11" s="332" t="s">
        <v>33</v>
      </c>
      <c r="F11" s="332"/>
      <c r="G11" s="333"/>
      <c r="H11" s="338" t="s">
        <v>33</v>
      </c>
      <c r="I11" s="339"/>
      <c r="J11" s="340"/>
      <c r="K11" s="328" t="s">
        <v>8</v>
      </c>
      <c r="L11" s="329"/>
      <c r="M11" s="330"/>
      <c r="P11" s="292" t="s">
        <v>284</v>
      </c>
    </row>
    <row r="12" spans="1:35" x14ac:dyDescent="0.25">
      <c r="A12" s="46" t="s">
        <v>86</v>
      </c>
      <c r="C12" s="105"/>
      <c r="D12" s="265"/>
      <c r="E12" s="19">
        <f>+'PCR Cycle 2'!E15</f>
        <v>45077</v>
      </c>
      <c r="F12" s="19">
        <f t="shared" ref="F12:M12" si="7">EOMONTH(E12,1)</f>
        <v>45107</v>
      </c>
      <c r="G12" s="19">
        <f t="shared" si="7"/>
        <v>45138</v>
      </c>
      <c r="H12" s="14">
        <f t="shared" si="7"/>
        <v>45169</v>
      </c>
      <c r="I12" s="19">
        <f t="shared" si="7"/>
        <v>45199</v>
      </c>
      <c r="J12" s="15">
        <f t="shared" si="7"/>
        <v>45230</v>
      </c>
      <c r="K12" s="19">
        <f t="shared" si="7"/>
        <v>45260</v>
      </c>
      <c r="L12" s="19">
        <f t="shared" si="7"/>
        <v>45291</v>
      </c>
      <c r="M12" s="15">
        <f t="shared" si="7"/>
        <v>45322</v>
      </c>
      <c r="P12" s="186"/>
      <c r="Z12" s="1"/>
      <c r="AA12" s="1"/>
      <c r="AB12" s="1"/>
      <c r="AC12" s="1"/>
      <c r="AD12" s="1"/>
      <c r="AE12" s="1"/>
      <c r="AF12" s="1"/>
      <c r="AG12" s="1"/>
      <c r="AH12" s="1"/>
      <c r="AI12" s="1"/>
    </row>
    <row r="13" spans="1:35" x14ac:dyDescent="0.25">
      <c r="A13" s="46" t="s">
        <v>5</v>
      </c>
      <c r="C13" s="97">
        <v>-40349.4</v>
      </c>
      <c r="D13" s="97"/>
      <c r="E13" s="109">
        <f t="shared" ref="E13:L13" si="8">SUM(E23:E27)</f>
        <v>20174.7</v>
      </c>
      <c r="F13" s="109">
        <f t="shared" si="8"/>
        <v>20174.7</v>
      </c>
      <c r="G13" s="110">
        <f t="shared" si="8"/>
        <v>20174.7</v>
      </c>
      <c r="H13" s="16">
        <f t="shared" si="8"/>
        <v>135469.9</v>
      </c>
      <c r="I13" s="55">
        <f t="shared" si="8"/>
        <v>135469.9</v>
      </c>
      <c r="J13" s="162">
        <f t="shared" si="8"/>
        <v>135469.9</v>
      </c>
      <c r="K13" s="155">
        <f t="shared" si="8"/>
        <v>135469.9</v>
      </c>
      <c r="L13" s="78">
        <f t="shared" si="8"/>
        <v>135469.9</v>
      </c>
      <c r="M13" s="79"/>
      <c r="P13" s="186">
        <f>-SUM(K13:M13)</f>
        <v>-270939.8</v>
      </c>
    </row>
    <row r="14" spans="1:35" x14ac:dyDescent="0.25">
      <c r="C14" s="99"/>
      <c r="D14" s="99"/>
      <c r="E14" s="17"/>
      <c r="F14" s="17"/>
      <c r="G14" s="17"/>
      <c r="H14" s="10"/>
      <c r="I14" s="17"/>
      <c r="J14" s="11"/>
      <c r="K14" s="31"/>
      <c r="L14" s="31"/>
      <c r="M14" s="29"/>
      <c r="P14" s="186"/>
    </row>
    <row r="15" spans="1:35" x14ac:dyDescent="0.25">
      <c r="A15" s="46" t="s">
        <v>87</v>
      </c>
      <c r="C15" s="99"/>
      <c r="D15" s="99"/>
      <c r="E15" s="18"/>
      <c r="F15" s="18"/>
      <c r="G15" s="18"/>
      <c r="H15" s="91"/>
      <c r="I15" s="18"/>
      <c r="J15" s="163"/>
      <c r="K15" s="31"/>
      <c r="L15" s="31"/>
      <c r="M15" s="29"/>
      <c r="N15" s="3" t="s">
        <v>50</v>
      </c>
      <c r="O15" s="39"/>
      <c r="P15" s="186"/>
    </row>
    <row r="16" spans="1:35" x14ac:dyDescent="0.25">
      <c r="A16" s="46" t="s">
        <v>24</v>
      </c>
      <c r="C16" s="97">
        <v>-82906.766669999983</v>
      </c>
      <c r="D16" s="97"/>
      <c r="E16" s="132">
        <f>'[4]May 2023'!$G120</f>
        <v>19970.12</v>
      </c>
      <c r="F16" s="132">
        <f>'[4]June 2023'!$G120</f>
        <v>27263.05</v>
      </c>
      <c r="G16" s="132">
        <f>'[4]July 2023'!$G120</f>
        <v>36226.25</v>
      </c>
      <c r="H16" s="183">
        <f>'[4]August 2023'!$G120</f>
        <v>54369.950000000004</v>
      </c>
      <c r="I16" s="118">
        <f>'[4]September 2023'!$G120</f>
        <v>85530.84</v>
      </c>
      <c r="J16" s="164">
        <f>'[4]October 2023'!$G120</f>
        <v>57660.39</v>
      </c>
      <c r="K16" s="120">
        <f>'PCR Cycle 2'!K27*$N16</f>
        <v>50208.605399999993</v>
      </c>
      <c r="L16" s="41">
        <f>'PCR Cycle 2'!L27*$N16</f>
        <v>71590.273799999995</v>
      </c>
      <c r="M16" s="61">
        <f>'PCR Cycle 2'!M27*$N16</f>
        <v>81022.785599999988</v>
      </c>
      <c r="N16" s="72">
        <v>2.9999999999999997E-4</v>
      </c>
      <c r="O16" s="4"/>
      <c r="P16" s="186">
        <f t="shared" ref="P16:P20" si="9">-SUM(K16:M16)</f>
        <v>-202821.66479999997</v>
      </c>
    </row>
    <row r="17" spans="1:16" x14ac:dyDescent="0.25">
      <c r="A17" s="46" t="s">
        <v>135</v>
      </c>
      <c r="C17" s="97">
        <v>-9030.4333200000001</v>
      </c>
      <c r="D17" s="97"/>
      <c r="E17" s="132">
        <f>'[4]May 2023'!$G121</f>
        <v>2513.44</v>
      </c>
      <c r="F17" s="132">
        <f>'[4]June 2023'!$G121</f>
        <v>3176.87</v>
      </c>
      <c r="G17" s="132">
        <f>'[4]July 2023'!$G121</f>
        <v>3635.63</v>
      </c>
      <c r="H17" s="183">
        <f>'[4]August 2023'!$G121</f>
        <v>4466.1400000000003</v>
      </c>
      <c r="I17" s="118">
        <f>'[4]September 2023'!$G121</f>
        <v>7163.6</v>
      </c>
      <c r="J17" s="164">
        <f>'[4]October 2023'!$G121</f>
        <v>6121.73</v>
      </c>
      <c r="K17" s="120">
        <f>'PCR Cycle 2'!K28*$N17</f>
        <v>5519.5457999999999</v>
      </c>
      <c r="L17" s="41">
        <f>'PCR Cycle 2'!L28*$N17</f>
        <v>6080.2918799999998</v>
      </c>
      <c r="M17" s="61">
        <f>'PCR Cycle 2'!M28*$N17</f>
        <v>6184.3276800000003</v>
      </c>
      <c r="N17" s="72">
        <v>1.2E-4</v>
      </c>
      <c r="O17" s="4"/>
      <c r="P17" s="186">
        <f t="shared" si="9"/>
        <v>-17784.165359999999</v>
      </c>
    </row>
    <row r="18" spans="1:16" x14ac:dyDescent="0.25">
      <c r="A18" s="46" t="s">
        <v>136</v>
      </c>
      <c r="C18" s="97">
        <v>-33210.168479999993</v>
      </c>
      <c r="D18" s="97"/>
      <c r="E18" s="132">
        <f>'[4]May 2023'!$G122</f>
        <v>9375.85</v>
      </c>
      <c r="F18" s="132">
        <f>'[4]June 2023'!$G122</f>
        <v>10925.18</v>
      </c>
      <c r="G18" s="132">
        <f>'[4]July 2023'!$G122</f>
        <v>12193.66</v>
      </c>
      <c r="H18" s="183">
        <f>'[4]August 2023'!$G122</f>
        <v>14193.17</v>
      </c>
      <c r="I18" s="118">
        <f>'[4]September 2023'!$G122</f>
        <v>18038.38</v>
      </c>
      <c r="J18" s="164">
        <f>'[4]October 2023'!$G122</f>
        <v>15453.05</v>
      </c>
      <c r="K18" s="120">
        <f>'PCR Cycle 2'!K29*$N18</f>
        <v>14378.166500000001</v>
      </c>
      <c r="L18" s="41">
        <f>'PCR Cycle 2'!L29*$N18</f>
        <v>15838.884700000001</v>
      </c>
      <c r="M18" s="61">
        <f>'PCR Cycle 2'!M29*$N18</f>
        <v>16109.893090000001</v>
      </c>
      <c r="N18" s="72">
        <v>1.7000000000000001E-4</v>
      </c>
      <c r="O18" s="4"/>
      <c r="P18" s="186">
        <f t="shared" si="9"/>
        <v>-46326.944289999999</v>
      </c>
    </row>
    <row r="19" spans="1:16" x14ac:dyDescent="0.25">
      <c r="A19" s="46" t="s">
        <v>137</v>
      </c>
      <c r="C19" s="97">
        <v>-40321.356030000003</v>
      </c>
      <c r="D19" s="97"/>
      <c r="E19" s="132">
        <f>'[4]May 2023'!$G123</f>
        <v>12060.44</v>
      </c>
      <c r="F19" s="132">
        <f>'[4]June 2023'!$G123</f>
        <v>13180.07</v>
      </c>
      <c r="G19" s="132">
        <f>'[4]July 2023'!$G123</f>
        <v>13940.24</v>
      </c>
      <c r="H19" s="183">
        <f>'[4]August 2023'!$G123</f>
        <v>26221.58</v>
      </c>
      <c r="I19" s="118">
        <f>'[4]September 2023'!$G123</f>
        <v>50718.28</v>
      </c>
      <c r="J19" s="164">
        <f>'[4]October 2023'!$G123</f>
        <v>44837.78</v>
      </c>
      <c r="K19" s="120">
        <f>'PCR Cycle 2'!K30*$N19</f>
        <v>42444.269690000001</v>
      </c>
      <c r="L19" s="41">
        <f>'PCR Cycle 2'!L30*$N19</f>
        <v>46756.302109999997</v>
      </c>
      <c r="M19" s="61">
        <f>'PCR Cycle 2'!M30*$N19</f>
        <v>47556.317560000003</v>
      </c>
      <c r="N19" s="72">
        <v>3.1E-4</v>
      </c>
      <c r="O19" s="4"/>
      <c r="P19" s="186">
        <f t="shared" si="9"/>
        <v>-136756.88936</v>
      </c>
    </row>
    <row r="20" spans="1:16" x14ac:dyDescent="0.25">
      <c r="A20" s="46" t="s">
        <v>138</v>
      </c>
      <c r="C20" s="97">
        <v>-5826.2667000000001</v>
      </c>
      <c r="D20" s="97"/>
      <c r="E20" s="132">
        <f>'[4]May 2023'!$G124</f>
        <v>2014.97</v>
      </c>
      <c r="F20" s="132">
        <f>'[4]June 2023'!$G124</f>
        <v>1767.65</v>
      </c>
      <c r="G20" s="132">
        <f>'[4]July 2023'!$G124</f>
        <v>2354.48</v>
      </c>
      <c r="H20" s="183">
        <f>'[4]August 2023'!$G124</f>
        <v>4928.28</v>
      </c>
      <c r="I20" s="118">
        <f>'[4]September 2023'!$G124</f>
        <v>5332.37</v>
      </c>
      <c r="J20" s="164">
        <f>'[4]October 2023'!$G124</f>
        <v>5570.35</v>
      </c>
      <c r="K20" s="120">
        <f>'PCR Cycle 2'!K31*$N20</f>
        <v>4629.4400100000003</v>
      </c>
      <c r="L20" s="41">
        <f>'PCR Cycle 2'!L31*$N20</f>
        <v>5099.7577800000008</v>
      </c>
      <c r="M20" s="61">
        <f>'PCR Cycle 2'!M31*$N20</f>
        <v>5187.0162500000006</v>
      </c>
      <c r="N20" s="72">
        <v>1.3000000000000002E-4</v>
      </c>
      <c r="O20" s="4"/>
      <c r="P20" s="186">
        <f t="shared" si="9"/>
        <v>-14916.214040000003</v>
      </c>
    </row>
    <row r="21" spans="1:16" x14ac:dyDescent="0.25">
      <c r="C21" s="67"/>
      <c r="D21" s="67"/>
      <c r="E21" s="68"/>
      <c r="F21" s="68"/>
      <c r="G21" s="68"/>
      <c r="H21" s="67"/>
      <c r="I21" s="68"/>
      <c r="J21" s="165"/>
      <c r="K21" s="56"/>
      <c r="L21" s="56"/>
      <c r="M21" s="13"/>
      <c r="O21" s="4"/>
    </row>
    <row r="22" spans="1:16" x14ac:dyDescent="0.25">
      <c r="A22" s="46" t="s">
        <v>89</v>
      </c>
      <c r="C22" s="36"/>
      <c r="D22" s="36"/>
      <c r="E22" s="37"/>
      <c r="F22" s="37"/>
      <c r="G22" s="37"/>
      <c r="H22" s="36"/>
      <c r="I22" s="37"/>
      <c r="J22" s="168"/>
      <c r="K22" s="52"/>
      <c r="L22" s="52"/>
      <c r="M22" s="38"/>
    </row>
    <row r="23" spans="1:16" x14ac:dyDescent="0.25">
      <c r="A23" s="46" t="s">
        <v>24</v>
      </c>
      <c r="C23" s="97">
        <v>-25150.94</v>
      </c>
      <c r="D23" s="97"/>
      <c r="E23" s="109">
        <f>ROUND('EO Cycle 3'!$F31/12+'EO Cycle 3'!$F43/12,2)</f>
        <v>12575.47</v>
      </c>
      <c r="F23" s="109">
        <f>ROUND('EO Cycle 3'!$F31/12+'EO Cycle 3'!$F43/12,2)</f>
        <v>12575.47</v>
      </c>
      <c r="G23" s="109">
        <f>ROUND('EO Cycle 3'!$F31/12+'EO Cycle 3'!$F43/12,2)</f>
        <v>12575.47</v>
      </c>
      <c r="H23" s="16">
        <f>ROUND(+'EO Cycle 3'!$F43/12+'EO Cycle 3'!$F67/12,2)</f>
        <v>67371.839999999997</v>
      </c>
      <c r="I23" s="16">
        <f>ROUND(+'EO Cycle 3'!$F43/12+'EO Cycle 3'!$F67/12,2)</f>
        <v>67371.839999999997</v>
      </c>
      <c r="J23" s="16">
        <f>ROUND(+'EO Cycle 3'!$F43/12+'EO Cycle 3'!$F67/12,2)</f>
        <v>67371.839999999997</v>
      </c>
      <c r="K23" s="139">
        <f>ROUND(+'EO Cycle 3'!$F43/12+'EO Cycle 3'!$F67/12,2)</f>
        <v>67371.839999999997</v>
      </c>
      <c r="L23" s="139">
        <f>ROUND(+'EO Cycle 3'!$F43/12+'EO Cycle 3'!$F67/12,2)</f>
        <v>67371.839999999997</v>
      </c>
      <c r="M23" s="79"/>
      <c r="P23" s="186">
        <f t="shared" ref="P23:P29" si="10">-SUM(K23:M23)</f>
        <v>-134743.67999999999</v>
      </c>
    </row>
    <row r="24" spans="1:16" x14ac:dyDescent="0.25">
      <c r="A24" s="46" t="s">
        <v>135</v>
      </c>
      <c r="C24" s="97">
        <v>-3285.7</v>
      </c>
      <c r="D24" s="97"/>
      <c r="E24" s="109">
        <f>ROUND('EO Cycle 3'!$F35/12+'EO Cycle 3'!$F47/12,2)</f>
        <v>1642.85</v>
      </c>
      <c r="F24" s="109">
        <f>ROUND('EO Cycle 3'!$F35/12+'EO Cycle 3'!$F47/12,2)</f>
        <v>1642.85</v>
      </c>
      <c r="G24" s="109">
        <f>ROUND('EO Cycle 3'!$F35/12+'EO Cycle 3'!$F47/12,2)</f>
        <v>1642.85</v>
      </c>
      <c r="H24" s="16">
        <f>ROUND(+'EO Cycle 3'!$F47/12+'EO Cycle 3'!$F71/12,2)</f>
        <v>5913.97</v>
      </c>
      <c r="I24" s="16">
        <f>ROUND(+'EO Cycle 3'!$F47/12+'EO Cycle 3'!$F71/12,2)</f>
        <v>5913.97</v>
      </c>
      <c r="J24" s="16">
        <f>ROUND(+'EO Cycle 3'!$F47/12+'EO Cycle 3'!$F71/12,2)</f>
        <v>5913.97</v>
      </c>
      <c r="K24" s="139">
        <f>ROUND(+'EO Cycle 3'!$F47/12+'EO Cycle 3'!$F71/12,2)</f>
        <v>5913.97</v>
      </c>
      <c r="L24" s="139">
        <f>ROUND(+'EO Cycle 3'!$F47/12+'EO Cycle 3'!$F71/12,2)</f>
        <v>5913.97</v>
      </c>
      <c r="M24" s="79"/>
      <c r="P24" s="186">
        <f t="shared" si="10"/>
        <v>-11827.94</v>
      </c>
    </row>
    <row r="25" spans="1:16" x14ac:dyDescent="0.25">
      <c r="A25" s="46" t="s">
        <v>136</v>
      </c>
      <c r="C25" s="97">
        <v>-6925.1</v>
      </c>
      <c r="D25" s="97"/>
      <c r="E25" s="109">
        <f>ROUND('EO Cycle 3'!$F36/12+'EO Cycle 3'!$F48/12,2)</f>
        <v>3462.55</v>
      </c>
      <c r="F25" s="109">
        <f>ROUND('EO Cycle 3'!$F36/12+'EO Cycle 3'!$F48/12,2)</f>
        <v>3462.55</v>
      </c>
      <c r="G25" s="109">
        <f>ROUND('EO Cycle 3'!$F36/12+'EO Cycle 3'!$F48/12,2)</f>
        <v>3462.55</v>
      </c>
      <c r="H25" s="16">
        <f>ROUND(+'EO Cycle 3'!$F48/12+'EO Cycle 3'!$F72/12,2)</f>
        <v>13115.78</v>
      </c>
      <c r="I25" s="16">
        <f>ROUND(+'EO Cycle 3'!$F48/12+'EO Cycle 3'!$F72/12,2)</f>
        <v>13115.78</v>
      </c>
      <c r="J25" s="16">
        <f>ROUND(+'EO Cycle 3'!$F48/12+'EO Cycle 3'!$F72/12,2)</f>
        <v>13115.78</v>
      </c>
      <c r="K25" s="139">
        <f>ROUND(+'EO Cycle 3'!$F48/12+'EO Cycle 3'!$F72/12,2)</f>
        <v>13115.78</v>
      </c>
      <c r="L25" s="139">
        <f>ROUND(+'EO Cycle 3'!$F48/12+'EO Cycle 3'!$F72/12,2)</f>
        <v>13115.78</v>
      </c>
      <c r="M25" s="79"/>
      <c r="P25" s="186">
        <f t="shared" si="10"/>
        <v>-26231.56</v>
      </c>
    </row>
    <row r="26" spans="1:16" x14ac:dyDescent="0.25">
      <c r="A26" s="46" t="s">
        <v>137</v>
      </c>
      <c r="C26" s="97">
        <v>-4779.68</v>
      </c>
      <c r="D26" s="97"/>
      <c r="E26" s="109">
        <f>ROUND('EO Cycle 3'!$F37/12+'EO Cycle 3'!$F49/12,2)</f>
        <v>2389.84</v>
      </c>
      <c r="F26" s="109">
        <f>ROUND('EO Cycle 3'!$F37/12+'EO Cycle 3'!$F49/12,2)</f>
        <v>2389.84</v>
      </c>
      <c r="G26" s="109">
        <f>ROUND('EO Cycle 3'!$F37/12+'EO Cycle 3'!$F49/12,2)</f>
        <v>2389.84</v>
      </c>
      <c r="H26" s="16">
        <f>ROUND(+'EO Cycle 3'!$F49/12+'EO Cycle 3'!$F73/12,2)</f>
        <v>44650.3</v>
      </c>
      <c r="I26" s="16">
        <f>ROUND(+'EO Cycle 3'!$F49/12+'EO Cycle 3'!$F73/12,2)</f>
        <v>44650.3</v>
      </c>
      <c r="J26" s="16">
        <f>ROUND(+'EO Cycle 3'!$F49/12+'EO Cycle 3'!$F73/12,2)</f>
        <v>44650.3</v>
      </c>
      <c r="K26" s="139">
        <f>ROUND(+'EO Cycle 3'!$F49/12+'EO Cycle 3'!$F73/12,2)</f>
        <v>44650.3</v>
      </c>
      <c r="L26" s="139">
        <f>ROUND(+'EO Cycle 3'!$F49/12+'EO Cycle 3'!$F73/12,2)</f>
        <v>44650.3</v>
      </c>
      <c r="M26" s="79"/>
      <c r="P26" s="186">
        <f t="shared" si="10"/>
        <v>-89300.6</v>
      </c>
    </row>
    <row r="27" spans="1:16" x14ac:dyDescent="0.25">
      <c r="A27" s="46" t="s">
        <v>138</v>
      </c>
      <c r="C27" s="97">
        <v>-207.98</v>
      </c>
      <c r="D27" s="97"/>
      <c r="E27" s="109">
        <f>ROUND('EO Cycle 3'!$F38/12+'EO Cycle 3'!$F50/12,2)</f>
        <v>103.99</v>
      </c>
      <c r="F27" s="109">
        <f>ROUND('EO Cycle 3'!$F38/12+'EO Cycle 3'!$F50/12,2)</f>
        <v>103.99</v>
      </c>
      <c r="G27" s="109">
        <f>ROUND('EO Cycle 3'!$F38/12+'EO Cycle 3'!$F50/12,2)</f>
        <v>103.99</v>
      </c>
      <c r="H27" s="16">
        <f>ROUND(+'EO Cycle 3'!$F50/12+'EO Cycle 3'!$F74/12,2)</f>
        <v>4418.01</v>
      </c>
      <c r="I27" s="16">
        <f>ROUND(+'EO Cycle 3'!$F50/12+'EO Cycle 3'!$F74/12,2)</f>
        <v>4418.01</v>
      </c>
      <c r="J27" s="16">
        <f>ROUND(+'EO Cycle 3'!$F50/12+'EO Cycle 3'!$F74/12,2)</f>
        <v>4418.01</v>
      </c>
      <c r="K27" s="139">
        <f>ROUND(+'EO Cycle 3'!$F50/12+'EO Cycle 3'!$F74/12,2)</f>
        <v>4418.01</v>
      </c>
      <c r="L27" s="139">
        <f>ROUND(+'EO Cycle 3'!$F50/12+'EO Cycle 3'!$F74/12,2)</f>
        <v>4418.01</v>
      </c>
      <c r="M27" s="79"/>
      <c r="O27" s="47"/>
      <c r="P27" s="186">
        <f t="shared" si="10"/>
        <v>-8836.02</v>
      </c>
    </row>
    <row r="28" spans="1:16" x14ac:dyDescent="0.25">
      <c r="C28" s="99"/>
      <c r="D28" s="99"/>
      <c r="E28" s="18"/>
      <c r="F28" s="18"/>
      <c r="G28" s="18"/>
      <c r="H28" s="91"/>
      <c r="I28" s="18"/>
      <c r="J28" s="163"/>
      <c r="K28" s="56"/>
      <c r="L28" s="56"/>
      <c r="M28" s="13"/>
    </row>
    <row r="29" spans="1:16" ht="15.75" thickBot="1" x14ac:dyDescent="0.3">
      <c r="A29" s="3" t="s">
        <v>14</v>
      </c>
      <c r="B29" s="3"/>
      <c r="C29" s="103">
        <v>-3510.31</v>
      </c>
      <c r="D29" s="103"/>
      <c r="E29" s="132">
        <v>1879.99</v>
      </c>
      <c r="F29" s="132">
        <v>1747.18</v>
      </c>
      <c r="G29" s="133">
        <v>1578.41</v>
      </c>
      <c r="H29" s="26">
        <v>1561.51</v>
      </c>
      <c r="I29" s="119">
        <v>1571.44</v>
      </c>
      <c r="J29" s="169">
        <v>1513.27</v>
      </c>
      <c r="K29" s="158">
        <v>1586.01</v>
      </c>
      <c r="L29" s="141">
        <v>1617.01</v>
      </c>
      <c r="M29" s="82"/>
      <c r="P29" s="186">
        <f t="shared" si="10"/>
        <v>-3203.02</v>
      </c>
    </row>
    <row r="30" spans="1:16" x14ac:dyDescent="0.25">
      <c r="C30" s="64"/>
      <c r="D30" s="64"/>
      <c r="E30" s="145"/>
      <c r="F30" s="145"/>
      <c r="G30" s="146"/>
      <c r="H30" s="64"/>
      <c r="I30" s="33"/>
      <c r="J30" s="170"/>
      <c r="K30" s="34"/>
      <c r="L30" s="34"/>
      <c r="M30" s="60"/>
    </row>
    <row r="31" spans="1:16" x14ac:dyDescent="0.25">
      <c r="A31" s="46" t="s">
        <v>52</v>
      </c>
      <c r="C31" s="65"/>
      <c r="D31" s="65"/>
      <c r="E31" s="146"/>
      <c r="F31" s="146"/>
      <c r="G31" s="146"/>
      <c r="H31" s="65"/>
      <c r="I31" s="35"/>
      <c r="J31" s="171"/>
      <c r="K31" s="34"/>
      <c r="L31" s="34"/>
      <c r="M31" s="60"/>
    </row>
    <row r="32" spans="1:16" x14ac:dyDescent="0.25">
      <c r="A32" s="46" t="s">
        <v>24</v>
      </c>
      <c r="C32" s="100">
        <f t="shared" ref="C32:M36" si="11">C23-C16</f>
        <v>57755.82666999998</v>
      </c>
      <c r="D32" s="100"/>
      <c r="E32" s="41">
        <f t="shared" si="11"/>
        <v>-7394.65</v>
      </c>
      <c r="F32" s="41">
        <f t="shared" si="11"/>
        <v>-14687.58</v>
      </c>
      <c r="G32" s="108">
        <f t="shared" si="11"/>
        <v>-23650.78</v>
      </c>
      <c r="H32" s="40">
        <f t="shared" si="11"/>
        <v>13001.889999999992</v>
      </c>
      <c r="I32" s="41">
        <f t="shared" si="11"/>
        <v>-18159</v>
      </c>
      <c r="J32" s="61">
        <f t="shared" si="11"/>
        <v>9711.4499999999971</v>
      </c>
      <c r="K32" s="120">
        <f t="shared" si="11"/>
        <v>17163.234600000003</v>
      </c>
      <c r="L32" s="41">
        <f t="shared" si="11"/>
        <v>-4218.4337999999989</v>
      </c>
      <c r="M32" s="61">
        <f t="shared" si="11"/>
        <v>-81022.785599999988</v>
      </c>
    </row>
    <row r="33" spans="1:16" x14ac:dyDescent="0.25">
      <c r="A33" s="46" t="s">
        <v>135</v>
      </c>
      <c r="C33" s="100">
        <f t="shared" si="11"/>
        <v>5744.7333200000003</v>
      </c>
      <c r="D33" s="100"/>
      <c r="E33" s="41">
        <f t="shared" si="11"/>
        <v>-870.59000000000015</v>
      </c>
      <c r="F33" s="41">
        <f t="shared" si="11"/>
        <v>-1534.02</v>
      </c>
      <c r="G33" s="108">
        <f t="shared" si="11"/>
        <v>-1992.7800000000002</v>
      </c>
      <c r="H33" s="40">
        <f t="shared" si="11"/>
        <v>1447.83</v>
      </c>
      <c r="I33" s="41">
        <f t="shared" si="11"/>
        <v>-1249.6300000000001</v>
      </c>
      <c r="J33" s="61">
        <f t="shared" si="11"/>
        <v>-207.75999999999931</v>
      </c>
      <c r="K33" s="120">
        <f t="shared" si="11"/>
        <v>394.42420000000038</v>
      </c>
      <c r="L33" s="41">
        <f t="shared" si="11"/>
        <v>-166.32187999999951</v>
      </c>
      <c r="M33" s="61">
        <f t="shared" si="11"/>
        <v>-6184.3276800000003</v>
      </c>
    </row>
    <row r="34" spans="1:16" x14ac:dyDescent="0.25">
      <c r="A34" s="46" t="s">
        <v>136</v>
      </c>
      <c r="C34" s="100">
        <f t="shared" si="11"/>
        <v>26285.068479999994</v>
      </c>
      <c r="D34" s="100"/>
      <c r="E34" s="41">
        <f t="shared" si="11"/>
        <v>-5913.3</v>
      </c>
      <c r="F34" s="41">
        <f t="shared" si="11"/>
        <v>-7462.63</v>
      </c>
      <c r="G34" s="108">
        <f t="shared" si="11"/>
        <v>-8731.11</v>
      </c>
      <c r="H34" s="40">
        <f t="shared" si="11"/>
        <v>-1077.3899999999994</v>
      </c>
      <c r="I34" s="41">
        <f t="shared" si="11"/>
        <v>-4922.6000000000004</v>
      </c>
      <c r="J34" s="61">
        <f t="shared" si="11"/>
        <v>-2337.2699999999986</v>
      </c>
      <c r="K34" s="120">
        <f t="shared" si="11"/>
        <v>-1262.3865000000005</v>
      </c>
      <c r="L34" s="41">
        <f t="shared" si="11"/>
        <v>-2723.1046999999999</v>
      </c>
      <c r="M34" s="61">
        <f t="shared" si="11"/>
        <v>-16109.893090000001</v>
      </c>
    </row>
    <row r="35" spans="1:16" x14ac:dyDescent="0.25">
      <c r="A35" s="46" t="s">
        <v>137</v>
      </c>
      <c r="C35" s="100">
        <f t="shared" si="11"/>
        <v>35541.676030000002</v>
      </c>
      <c r="D35" s="100"/>
      <c r="E35" s="41">
        <f t="shared" si="11"/>
        <v>-9670.6</v>
      </c>
      <c r="F35" s="41">
        <f t="shared" si="11"/>
        <v>-10790.23</v>
      </c>
      <c r="G35" s="108">
        <f t="shared" si="11"/>
        <v>-11550.4</v>
      </c>
      <c r="H35" s="40">
        <f t="shared" si="11"/>
        <v>18428.72</v>
      </c>
      <c r="I35" s="41">
        <f t="shared" si="11"/>
        <v>-6067.9799999999959</v>
      </c>
      <c r="J35" s="61">
        <f t="shared" si="11"/>
        <v>-187.47999999999593</v>
      </c>
      <c r="K35" s="120">
        <f t="shared" si="11"/>
        <v>2206.0303100000019</v>
      </c>
      <c r="L35" s="41">
        <f t="shared" si="11"/>
        <v>-2106.002109999994</v>
      </c>
      <c r="M35" s="61">
        <f t="shared" si="11"/>
        <v>-47556.317560000003</v>
      </c>
    </row>
    <row r="36" spans="1:16" x14ac:dyDescent="0.25">
      <c r="A36" s="46" t="s">
        <v>138</v>
      </c>
      <c r="C36" s="100">
        <f t="shared" si="11"/>
        <v>5618.2867000000006</v>
      </c>
      <c r="D36" s="100"/>
      <c r="E36" s="41">
        <f t="shared" si="11"/>
        <v>-1910.98</v>
      </c>
      <c r="F36" s="41">
        <f t="shared" si="11"/>
        <v>-1663.66</v>
      </c>
      <c r="G36" s="108">
        <f t="shared" si="11"/>
        <v>-2250.4900000000002</v>
      </c>
      <c r="H36" s="40">
        <f t="shared" si="11"/>
        <v>-510.26999999999953</v>
      </c>
      <c r="I36" s="41">
        <f t="shared" si="11"/>
        <v>-914.35999999999967</v>
      </c>
      <c r="J36" s="61">
        <f t="shared" si="11"/>
        <v>-1152.3400000000001</v>
      </c>
      <c r="K36" s="120">
        <f t="shared" si="11"/>
        <v>-211.43001000000004</v>
      </c>
      <c r="L36" s="41">
        <f t="shared" si="11"/>
        <v>-681.7477800000006</v>
      </c>
      <c r="M36" s="61">
        <f t="shared" si="11"/>
        <v>-5187.0162500000006</v>
      </c>
    </row>
    <row r="37" spans="1:16" x14ac:dyDescent="0.25">
      <c r="C37" s="99"/>
      <c r="D37" s="99"/>
      <c r="E37" s="17"/>
      <c r="F37" s="17"/>
      <c r="G37" s="17"/>
      <c r="H37" s="10"/>
      <c r="I37" s="17"/>
      <c r="J37" s="11"/>
      <c r="K37" s="17"/>
      <c r="L37" s="17"/>
      <c r="M37" s="11"/>
    </row>
    <row r="38" spans="1:16" x14ac:dyDescent="0.25">
      <c r="A38" s="46" t="s">
        <v>53</v>
      </c>
      <c r="C38" s="99"/>
      <c r="D38" s="99"/>
      <c r="E38" s="17"/>
      <c r="F38" s="17"/>
      <c r="G38" s="17"/>
      <c r="H38" s="10"/>
      <c r="I38" s="17"/>
      <c r="J38" s="11"/>
      <c r="K38" s="17"/>
      <c r="L38" s="17"/>
      <c r="M38" s="11"/>
    </row>
    <row r="39" spans="1:16" x14ac:dyDescent="0.25">
      <c r="A39" s="46" t="s">
        <v>24</v>
      </c>
      <c r="B39" s="315">
        <v>112255.47333000004</v>
      </c>
      <c r="C39" s="100">
        <f t="shared" ref="C39:M43" si="12">B39+C32+B47</f>
        <v>170011.30000000002</v>
      </c>
      <c r="D39" s="100"/>
      <c r="E39" s="41">
        <f>C39+E32+C47+D47</f>
        <v>161029.98000000001</v>
      </c>
      <c r="F39" s="41">
        <f t="shared" si="12"/>
        <v>147183.25000000003</v>
      </c>
      <c r="G39" s="108">
        <f t="shared" si="12"/>
        <v>124328.34000000003</v>
      </c>
      <c r="H39" s="40">
        <f t="shared" si="12"/>
        <v>138049.40000000002</v>
      </c>
      <c r="I39" s="41">
        <f t="shared" si="12"/>
        <v>120593.97000000003</v>
      </c>
      <c r="J39" s="61">
        <f t="shared" si="12"/>
        <v>130999.69000000003</v>
      </c>
      <c r="K39" s="120">
        <f t="shared" si="12"/>
        <v>148839.02460000003</v>
      </c>
      <c r="L39" s="41">
        <f t="shared" si="12"/>
        <v>145372.34080000003</v>
      </c>
      <c r="M39" s="61">
        <f t="shared" si="12"/>
        <v>65140.025200000047</v>
      </c>
      <c r="P39" s="186"/>
    </row>
    <row r="40" spans="1:16" x14ac:dyDescent="0.25">
      <c r="A40" s="46" t="s">
        <v>135</v>
      </c>
      <c r="B40" s="315">
        <v>9555.0566799999888</v>
      </c>
      <c r="C40" s="100">
        <f t="shared" si="12"/>
        <v>15299.78999999999</v>
      </c>
      <c r="D40" s="100"/>
      <c r="E40" s="41">
        <f t="shared" ref="E40:E43" si="13">C40+E33+C48+D48</f>
        <v>14289.52999999999</v>
      </c>
      <c r="F40" s="41">
        <f t="shared" si="12"/>
        <v>12830.669999999989</v>
      </c>
      <c r="G40" s="108">
        <f t="shared" si="12"/>
        <v>10907.919999999989</v>
      </c>
      <c r="H40" s="40">
        <f t="shared" si="12"/>
        <v>12418.629999999988</v>
      </c>
      <c r="I40" s="41">
        <f t="shared" si="12"/>
        <v>11231.549999999988</v>
      </c>
      <c r="J40" s="61">
        <f t="shared" si="12"/>
        <v>11087.26999999999</v>
      </c>
      <c r="K40" s="120">
        <f t="shared" si="12"/>
        <v>11541.67419999999</v>
      </c>
      <c r="L40" s="41">
        <f t="shared" si="12"/>
        <v>11436.15231999999</v>
      </c>
      <c r="M40" s="61">
        <f t="shared" si="12"/>
        <v>5313.5646399999896</v>
      </c>
      <c r="P40" s="186"/>
    </row>
    <row r="41" spans="1:16" x14ac:dyDescent="0.25">
      <c r="A41" s="46" t="s">
        <v>136</v>
      </c>
      <c r="B41" s="315">
        <v>55894.701520000039</v>
      </c>
      <c r="C41" s="100">
        <f t="shared" si="12"/>
        <v>82179.770000000033</v>
      </c>
      <c r="D41" s="100"/>
      <c r="E41" s="41">
        <f t="shared" si="13"/>
        <v>75522.770000000033</v>
      </c>
      <c r="F41" s="41">
        <f t="shared" si="12"/>
        <v>68460.740000000034</v>
      </c>
      <c r="G41" s="108">
        <f t="shared" si="12"/>
        <v>60101.450000000033</v>
      </c>
      <c r="H41" s="40">
        <f t="shared" si="12"/>
        <v>59364.580000000031</v>
      </c>
      <c r="I41" s="41">
        <f t="shared" si="12"/>
        <v>54762.36000000003</v>
      </c>
      <c r="J41" s="61">
        <f t="shared" si="12"/>
        <v>52731.460000000036</v>
      </c>
      <c r="K41" s="120">
        <f t="shared" si="12"/>
        <v>51757.963500000034</v>
      </c>
      <c r="L41" s="41">
        <f t="shared" si="12"/>
        <v>49315.648800000032</v>
      </c>
      <c r="M41" s="61">
        <f t="shared" si="12"/>
        <v>33477.375710000029</v>
      </c>
      <c r="P41" s="186"/>
    </row>
    <row r="42" spans="1:16" x14ac:dyDescent="0.25">
      <c r="A42" s="46" t="s">
        <v>137</v>
      </c>
      <c r="B42" s="315">
        <v>64784.323970000012</v>
      </c>
      <c r="C42" s="100">
        <f t="shared" si="12"/>
        <v>100326.00000000001</v>
      </c>
      <c r="D42" s="100"/>
      <c r="E42" s="41">
        <f t="shared" si="13"/>
        <v>89764.900000000009</v>
      </c>
      <c r="F42" s="41">
        <f t="shared" si="12"/>
        <v>79457.550000000017</v>
      </c>
      <c r="G42" s="108">
        <f t="shared" si="12"/>
        <v>68344.170000000027</v>
      </c>
      <c r="H42" s="40">
        <f t="shared" si="12"/>
        <v>87164.390000000029</v>
      </c>
      <c r="I42" s="41">
        <f t="shared" si="12"/>
        <v>81513.320000000036</v>
      </c>
      <c r="J42" s="61">
        <f t="shared" si="12"/>
        <v>81778.500000000044</v>
      </c>
      <c r="K42" s="120">
        <f t="shared" si="12"/>
        <v>84423.350310000053</v>
      </c>
      <c r="L42" s="41">
        <f t="shared" si="12"/>
        <v>82763.928200000068</v>
      </c>
      <c r="M42" s="61">
        <f t="shared" si="12"/>
        <v>35656.850640000062</v>
      </c>
      <c r="P42" s="186"/>
    </row>
    <row r="43" spans="1:16" x14ac:dyDescent="0.25">
      <c r="A43" s="46" t="s">
        <v>138</v>
      </c>
      <c r="B43" s="315">
        <v>11258.4133</v>
      </c>
      <c r="C43" s="100">
        <f>B43+C36+B51</f>
        <v>16876.7</v>
      </c>
      <c r="D43" s="100"/>
      <c r="E43" s="41">
        <f t="shared" si="13"/>
        <v>14815.95</v>
      </c>
      <c r="F43" s="41">
        <f t="shared" si="12"/>
        <v>13232.79</v>
      </c>
      <c r="G43" s="108">
        <f t="shared" si="12"/>
        <v>11054.740000000002</v>
      </c>
      <c r="H43" s="40">
        <f t="shared" si="12"/>
        <v>10608.810000000001</v>
      </c>
      <c r="I43" s="41">
        <f t="shared" si="12"/>
        <v>9752.5500000000011</v>
      </c>
      <c r="J43" s="61">
        <f t="shared" si="12"/>
        <v>8654.8700000000008</v>
      </c>
      <c r="K43" s="120">
        <f t="shared" si="12"/>
        <v>8492.9199900000003</v>
      </c>
      <c r="L43" s="41">
        <f t="shared" si="12"/>
        <v>7857.2622099999999</v>
      </c>
      <c r="M43" s="61">
        <f t="shared" si="12"/>
        <v>2714.1859599999993</v>
      </c>
      <c r="P43" s="186"/>
    </row>
    <row r="44" spans="1:16" x14ac:dyDescent="0.25">
      <c r="C44" s="99"/>
      <c r="D44" s="99"/>
      <c r="E44" s="17"/>
      <c r="F44" s="17"/>
      <c r="G44" s="17"/>
      <c r="H44" s="10"/>
      <c r="I44" s="17"/>
      <c r="J44" s="11"/>
      <c r="K44" s="17"/>
      <c r="L44" s="17"/>
      <c r="M44" s="11"/>
    </row>
    <row r="45" spans="1:16" x14ac:dyDescent="0.25">
      <c r="A45" s="39" t="s">
        <v>88</v>
      </c>
      <c r="B45" s="39"/>
      <c r="C45" s="104"/>
      <c r="D45" s="104"/>
      <c r="E45" s="83">
        <f>+'PCR Cycle 2'!E50</f>
        <v>5.1044699999999998E-3</v>
      </c>
      <c r="F45" s="83">
        <f>+'PCR Cycle 2'!F50</f>
        <v>5.1503699999999996E-3</v>
      </c>
      <c r="G45" s="83">
        <f>+'PCR Cycle 2'!G50</f>
        <v>5.2820799999999998E-3</v>
      </c>
      <c r="H45" s="84">
        <f>+'PCR Cycle 2'!H50</f>
        <v>5.3483699999999999E-3</v>
      </c>
      <c r="I45" s="83">
        <f>+'PCR Cycle 2'!I50</f>
        <v>5.3539599999999996E-3</v>
      </c>
      <c r="J45" s="92">
        <f>+'PCR Cycle 2'!J50</f>
        <v>5.3597599999999999E-3</v>
      </c>
      <c r="K45" s="83">
        <f>+'PCR Cycle 2'!K50</f>
        <v>5.3597599999999999E-3</v>
      </c>
      <c r="L45" s="83">
        <f>+'PCR Cycle 2'!L50</f>
        <v>5.3597599999999999E-3</v>
      </c>
      <c r="M45" s="85"/>
    </row>
    <row r="46" spans="1:16" x14ac:dyDescent="0.25">
      <c r="A46" s="39" t="s">
        <v>37</v>
      </c>
      <c r="B46" s="39"/>
      <c r="C46" s="106"/>
      <c r="D46" s="106"/>
      <c r="E46" s="83"/>
      <c r="F46" s="83"/>
      <c r="G46" s="83"/>
      <c r="H46" s="84"/>
      <c r="I46" s="83"/>
      <c r="J46" s="85"/>
      <c r="K46" s="83"/>
      <c r="L46" s="83"/>
      <c r="M46" s="85"/>
    </row>
    <row r="47" spans="1:16" x14ac:dyDescent="0.25">
      <c r="A47" s="46" t="s">
        <v>24</v>
      </c>
      <c r="C47" s="316">
        <v>-1586.67</v>
      </c>
      <c r="D47" s="100"/>
      <c r="E47" s="41">
        <f>ROUND((C39+C47+D47+E32/2)*E$45,2)</f>
        <v>840.85</v>
      </c>
      <c r="F47" s="41">
        <f t="shared" ref="F47:M51" si="14">ROUND((E39+E47+F32/2)*F$45,2)</f>
        <v>795.87</v>
      </c>
      <c r="G47" s="108">
        <f t="shared" si="14"/>
        <v>719.17</v>
      </c>
      <c r="H47" s="40">
        <f t="shared" si="14"/>
        <v>703.57</v>
      </c>
      <c r="I47" s="120">
        <f t="shared" si="14"/>
        <v>694.27</v>
      </c>
      <c r="J47" s="49">
        <f t="shared" si="14"/>
        <v>676.1</v>
      </c>
      <c r="K47" s="159">
        <f t="shared" si="14"/>
        <v>751.75</v>
      </c>
      <c r="L47" s="108">
        <f t="shared" si="14"/>
        <v>790.47</v>
      </c>
      <c r="M47" s="61">
        <f t="shared" si="14"/>
        <v>0</v>
      </c>
      <c r="P47" s="186">
        <f t="shared" ref="P47:P51" si="15">-SUM(K47:M47)</f>
        <v>-1542.22</v>
      </c>
    </row>
    <row r="48" spans="1:16" x14ac:dyDescent="0.25">
      <c r="A48" s="46" t="s">
        <v>135</v>
      </c>
      <c r="C48" s="316">
        <v>-139.67000000000002</v>
      </c>
      <c r="D48" s="100"/>
      <c r="E48" s="41">
        <f t="shared" ref="E48:E51" si="16">ROUND((C40+C48+D48+E33/2)*E$45,2)</f>
        <v>75.16</v>
      </c>
      <c r="F48" s="41">
        <f t="shared" si="14"/>
        <v>70.03</v>
      </c>
      <c r="G48" s="108">
        <f t="shared" si="14"/>
        <v>62.88</v>
      </c>
      <c r="H48" s="40">
        <f t="shared" si="14"/>
        <v>62.55</v>
      </c>
      <c r="I48" s="120">
        <f t="shared" si="14"/>
        <v>63.48</v>
      </c>
      <c r="J48" s="49">
        <f t="shared" si="14"/>
        <v>59.98</v>
      </c>
      <c r="K48" s="159">
        <f t="shared" si="14"/>
        <v>60.8</v>
      </c>
      <c r="L48" s="108">
        <f t="shared" si="14"/>
        <v>61.74</v>
      </c>
      <c r="M48" s="61">
        <f t="shared" si="14"/>
        <v>0</v>
      </c>
      <c r="P48" s="186">
        <f t="shared" si="15"/>
        <v>-122.53999999999999</v>
      </c>
    </row>
    <row r="49" spans="1:16" x14ac:dyDescent="0.25">
      <c r="A49" s="46" t="s">
        <v>136</v>
      </c>
      <c r="C49" s="316">
        <v>-743.7</v>
      </c>
      <c r="D49" s="100"/>
      <c r="E49" s="41">
        <f t="shared" si="16"/>
        <v>400.6</v>
      </c>
      <c r="F49" s="41">
        <f t="shared" si="14"/>
        <v>371.82</v>
      </c>
      <c r="G49" s="108">
        <f t="shared" si="14"/>
        <v>340.52</v>
      </c>
      <c r="H49" s="40">
        <f t="shared" si="14"/>
        <v>320.38</v>
      </c>
      <c r="I49" s="120">
        <f t="shared" si="14"/>
        <v>306.37</v>
      </c>
      <c r="J49" s="49">
        <f t="shared" si="14"/>
        <v>288.89</v>
      </c>
      <c r="K49" s="159">
        <f t="shared" si="14"/>
        <v>280.79000000000002</v>
      </c>
      <c r="L49" s="108">
        <f t="shared" si="14"/>
        <v>271.62</v>
      </c>
      <c r="M49" s="61">
        <f t="shared" si="14"/>
        <v>0</v>
      </c>
      <c r="P49" s="186">
        <f t="shared" si="15"/>
        <v>-552.41000000000008</v>
      </c>
    </row>
    <row r="50" spans="1:16" x14ac:dyDescent="0.25">
      <c r="A50" s="46" t="s">
        <v>137</v>
      </c>
      <c r="C50" s="316">
        <v>-890.5</v>
      </c>
      <c r="D50" s="100"/>
      <c r="E50" s="41">
        <f t="shared" si="16"/>
        <v>482.88</v>
      </c>
      <c r="F50" s="41">
        <f t="shared" si="14"/>
        <v>437.02</v>
      </c>
      <c r="G50" s="108">
        <f t="shared" si="14"/>
        <v>391.5</v>
      </c>
      <c r="H50" s="40">
        <f t="shared" si="14"/>
        <v>416.91</v>
      </c>
      <c r="I50" s="120">
        <f t="shared" si="14"/>
        <v>452.66</v>
      </c>
      <c r="J50" s="49">
        <f t="shared" si="14"/>
        <v>438.82</v>
      </c>
      <c r="K50" s="159">
        <f t="shared" si="14"/>
        <v>446.58</v>
      </c>
      <c r="L50" s="108">
        <f t="shared" si="14"/>
        <v>449.24</v>
      </c>
      <c r="M50" s="61">
        <f t="shared" si="14"/>
        <v>0</v>
      </c>
      <c r="P50" s="186">
        <f t="shared" si="15"/>
        <v>-895.81999999999994</v>
      </c>
    </row>
    <row r="51" spans="1:16" ht="15.75" thickBot="1" x14ac:dyDescent="0.3">
      <c r="A51" s="46" t="s">
        <v>138</v>
      </c>
      <c r="C51" s="316">
        <v>-149.76999999999998</v>
      </c>
      <c r="D51" s="100"/>
      <c r="E51" s="41">
        <f t="shared" si="16"/>
        <v>80.5</v>
      </c>
      <c r="F51" s="41">
        <f t="shared" si="14"/>
        <v>72.44</v>
      </c>
      <c r="G51" s="108">
        <f t="shared" si="14"/>
        <v>64.34</v>
      </c>
      <c r="H51" s="40">
        <f t="shared" si="14"/>
        <v>58.1</v>
      </c>
      <c r="I51" s="120">
        <f t="shared" si="14"/>
        <v>54.66</v>
      </c>
      <c r="J51" s="49">
        <f t="shared" si="14"/>
        <v>49.48</v>
      </c>
      <c r="K51" s="159">
        <f t="shared" si="14"/>
        <v>46.09</v>
      </c>
      <c r="L51" s="108">
        <f t="shared" si="14"/>
        <v>43.94</v>
      </c>
      <c r="M51" s="61">
        <f t="shared" si="14"/>
        <v>0</v>
      </c>
      <c r="P51" s="186">
        <f t="shared" si="15"/>
        <v>-90.03</v>
      </c>
    </row>
    <row r="52" spans="1:16" ht="16.5" thickTop="1" thickBot="1" x14ac:dyDescent="0.3">
      <c r="A52" s="54" t="s">
        <v>22</v>
      </c>
      <c r="B52" s="54"/>
      <c r="C52" s="107">
        <v>0</v>
      </c>
      <c r="D52" s="107"/>
      <c r="E52" s="42">
        <f t="shared" ref="E52:J52" si="17">SUM(E47:E51)+SUM(E39:E43)-E55</f>
        <v>0</v>
      </c>
      <c r="F52" s="42">
        <f t="shared" si="17"/>
        <v>0</v>
      </c>
      <c r="G52" s="50">
        <f t="shared" ref="G52:I52" si="18">SUM(G47:G51)+SUM(G39:G43)-G55</f>
        <v>0</v>
      </c>
      <c r="H52" s="143">
        <f t="shared" si="18"/>
        <v>0</v>
      </c>
      <c r="I52" s="50">
        <f t="shared" si="18"/>
        <v>0</v>
      </c>
      <c r="J52" s="62">
        <f t="shared" si="17"/>
        <v>0</v>
      </c>
      <c r="K52" s="160">
        <f t="shared" ref="K52:M52" si="19">SUM(K47:K51)+SUM(K39:K43)-K55</f>
        <v>0</v>
      </c>
      <c r="L52" s="50">
        <f t="shared" si="19"/>
        <v>0</v>
      </c>
      <c r="M52" s="62">
        <f t="shared" si="19"/>
        <v>0</v>
      </c>
    </row>
    <row r="53" spans="1:16" ht="16.5" thickTop="1" thickBot="1" x14ac:dyDescent="0.3">
      <c r="A53" s="54" t="s">
        <v>23</v>
      </c>
      <c r="B53" s="54"/>
      <c r="C53" s="107">
        <v>0</v>
      </c>
      <c r="D53" s="107"/>
      <c r="E53" s="42">
        <f t="shared" ref="E53:J53" si="20">SUM(E47:E51)-E29</f>
        <v>0</v>
      </c>
      <c r="F53" s="42">
        <f t="shared" si="20"/>
        <v>0</v>
      </c>
      <c r="G53" s="50">
        <f t="shared" ref="G53:I53" si="21">SUM(G47:G51)-G29</f>
        <v>0</v>
      </c>
      <c r="H53" s="143">
        <f t="shared" si="21"/>
        <v>0</v>
      </c>
      <c r="I53" s="50">
        <f t="shared" si="21"/>
        <v>0</v>
      </c>
      <c r="J53" s="62">
        <f t="shared" si="20"/>
        <v>0</v>
      </c>
      <c r="K53" s="161">
        <f t="shared" ref="K53:M53" si="22">SUM(K47:K51)-K29</f>
        <v>0</v>
      </c>
      <c r="L53" s="42">
        <f t="shared" si="22"/>
        <v>0</v>
      </c>
      <c r="M53" s="42">
        <f t="shared" si="22"/>
        <v>0</v>
      </c>
    </row>
    <row r="54" spans="1:16" ht="16.5" thickTop="1" thickBot="1" x14ac:dyDescent="0.3">
      <c r="C54" s="99"/>
      <c r="D54" s="99"/>
      <c r="E54" s="17"/>
      <c r="F54" s="17"/>
      <c r="G54" s="17"/>
      <c r="H54" s="10"/>
      <c r="I54" s="17"/>
      <c r="J54" s="11"/>
      <c r="K54" s="17"/>
      <c r="L54" s="17"/>
      <c r="M54" s="11"/>
    </row>
    <row r="55" spans="1:16" ht="15.75" thickBot="1" x14ac:dyDescent="0.3">
      <c r="A55" s="46" t="s">
        <v>36</v>
      </c>
      <c r="B55" s="116">
        <f>SUM(B39:B43)</f>
        <v>253747.96880000009</v>
      </c>
      <c r="C55" s="100">
        <f t="shared" ref="C55:M55" si="23">(C13-SUM(C16:C20))+SUM(C47:C51)+B55</f>
        <v>381183.25000000012</v>
      </c>
      <c r="D55" s="100"/>
      <c r="E55" s="41">
        <f>(E13-SUM(E16:E20))+SUM(D47:E51)+C55</f>
        <v>357303.12000000011</v>
      </c>
      <c r="F55" s="41">
        <f t="shared" si="23"/>
        <v>322912.18000000011</v>
      </c>
      <c r="G55" s="108">
        <f t="shared" si="23"/>
        <v>276315.03000000014</v>
      </c>
      <c r="H55" s="40">
        <f t="shared" si="23"/>
        <v>309167.32000000012</v>
      </c>
      <c r="I55" s="41">
        <f t="shared" si="23"/>
        <v>279425.19000000012</v>
      </c>
      <c r="J55" s="61">
        <f t="shared" si="23"/>
        <v>286765.06000000011</v>
      </c>
      <c r="K55" s="159">
        <f t="shared" si="23"/>
        <v>306640.94260000013</v>
      </c>
      <c r="L55" s="108">
        <f t="shared" si="23"/>
        <v>298362.34233000013</v>
      </c>
      <c r="M55" s="61">
        <f t="shared" si="23"/>
        <v>142302.00215000013</v>
      </c>
    </row>
    <row r="56" spans="1:16" x14ac:dyDescent="0.25">
      <c r="A56" s="46" t="s">
        <v>12</v>
      </c>
      <c r="C56" s="117"/>
      <c r="D56" s="17"/>
      <c r="E56" s="17"/>
      <c r="F56" s="17"/>
      <c r="G56" s="17"/>
      <c r="H56" s="10"/>
      <c r="I56" s="17"/>
      <c r="J56" s="11"/>
      <c r="K56" s="17"/>
      <c r="L56" s="17"/>
      <c r="M56" s="11"/>
    </row>
    <row r="57" spans="1:16" ht="15.75" thickBot="1" x14ac:dyDescent="0.3">
      <c r="A57" s="37"/>
      <c r="B57" s="37"/>
      <c r="C57" s="144"/>
      <c r="D57" s="266"/>
      <c r="E57" s="44"/>
      <c r="F57" s="44"/>
      <c r="G57" s="44"/>
      <c r="H57" s="43"/>
      <c r="I57" s="44"/>
      <c r="J57" s="45"/>
      <c r="K57" s="44"/>
      <c r="L57" s="44"/>
      <c r="M57" s="45"/>
    </row>
    <row r="59" spans="1:16" x14ac:dyDescent="0.25">
      <c r="A59" s="69" t="s">
        <v>11</v>
      </c>
      <c r="B59" s="69"/>
      <c r="C59" s="69"/>
      <c r="D59" s="69"/>
    </row>
    <row r="60" spans="1:16" ht="31.5" customHeight="1" x14ac:dyDescent="0.25">
      <c r="A60" s="331" t="s">
        <v>160</v>
      </c>
      <c r="B60" s="331"/>
      <c r="C60" s="331"/>
      <c r="D60" s="331"/>
      <c r="E60" s="331"/>
      <c r="F60" s="331"/>
      <c r="G60" s="331"/>
      <c r="H60" s="331"/>
      <c r="I60" s="331"/>
      <c r="J60" s="331"/>
      <c r="K60" s="277"/>
      <c r="L60" s="277"/>
      <c r="M60" s="277"/>
    </row>
    <row r="61" spans="1:16" ht="57.75" customHeight="1" x14ac:dyDescent="0.25">
      <c r="A61" s="331" t="s">
        <v>261</v>
      </c>
      <c r="B61" s="331"/>
      <c r="C61" s="331"/>
      <c r="D61" s="331"/>
      <c r="E61" s="331"/>
      <c r="F61" s="331"/>
      <c r="G61" s="331"/>
      <c r="H61" s="331"/>
      <c r="I61" s="331"/>
      <c r="J61" s="331"/>
      <c r="K61" s="331"/>
      <c r="L61" s="277"/>
    </row>
    <row r="62" spans="1:16" ht="18.75" customHeight="1" x14ac:dyDescent="0.25">
      <c r="A62" s="331" t="s">
        <v>188</v>
      </c>
      <c r="B62" s="331"/>
      <c r="C62" s="331"/>
      <c r="D62" s="331"/>
      <c r="E62" s="331"/>
      <c r="F62" s="331"/>
      <c r="G62" s="331"/>
      <c r="H62" s="331"/>
      <c r="I62" s="331"/>
      <c r="J62" s="331"/>
      <c r="K62" s="277"/>
      <c r="L62" s="277"/>
      <c r="M62" s="277"/>
    </row>
    <row r="63" spans="1:16" x14ac:dyDescent="0.25">
      <c r="A63" s="63" t="s">
        <v>31</v>
      </c>
      <c r="B63" s="63"/>
      <c r="C63" s="63"/>
      <c r="D63" s="63"/>
      <c r="E63" s="39"/>
      <c r="F63" s="39"/>
      <c r="G63" s="39"/>
      <c r="H63" s="39"/>
      <c r="I63" s="39"/>
      <c r="J63" s="39"/>
    </row>
    <row r="64" spans="1:16" x14ac:dyDescent="0.25">
      <c r="A64" s="63" t="s">
        <v>240</v>
      </c>
      <c r="B64" s="63"/>
      <c r="C64" s="63"/>
      <c r="D64" s="63"/>
      <c r="E64" s="39"/>
      <c r="F64" s="39"/>
      <c r="G64" s="39"/>
      <c r="H64" s="39"/>
      <c r="I64" s="39"/>
      <c r="J64" s="39"/>
    </row>
    <row r="65" spans="1:10" x14ac:dyDescent="0.25">
      <c r="A65" s="63" t="s">
        <v>95</v>
      </c>
      <c r="B65" s="63"/>
      <c r="C65" s="63"/>
      <c r="D65" s="63"/>
      <c r="E65" s="39"/>
      <c r="F65" s="39"/>
      <c r="G65" s="39"/>
      <c r="H65" s="39"/>
      <c r="I65" s="39"/>
      <c r="J65" s="39"/>
    </row>
    <row r="66" spans="1:10" x14ac:dyDescent="0.25">
      <c r="A66" s="3"/>
      <c r="B66" s="3"/>
      <c r="C66" s="3"/>
      <c r="D66" s="3"/>
    </row>
    <row r="68" spans="1:10" ht="36" customHeight="1" x14ac:dyDescent="0.25">
      <c r="A68" s="327"/>
      <c r="B68" s="327"/>
      <c r="C68" s="327"/>
      <c r="D68" s="327"/>
      <c r="E68" s="327"/>
      <c r="F68" s="327"/>
      <c r="G68" s="327"/>
    </row>
  </sheetData>
  <mergeCells count="7">
    <mergeCell ref="A68:G68"/>
    <mergeCell ref="E11:G11"/>
    <mergeCell ref="H11:J11"/>
    <mergeCell ref="K11:M11"/>
    <mergeCell ref="A60:J60"/>
    <mergeCell ref="A62:J62"/>
    <mergeCell ref="A61:K61"/>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4"/>
  <sheetViews>
    <sheetView workbookViewId="0">
      <selection activeCell="G3" sqref="G3"/>
    </sheetView>
  </sheetViews>
  <sheetFormatPr defaultColWidth="9.140625" defaultRowHeight="15" x14ac:dyDescent="0.25"/>
  <cols>
    <col min="1" max="1" width="43.140625" style="46" customWidth="1"/>
    <col min="2" max="2" width="14.28515625" style="46" bestFit="1" customWidth="1"/>
    <col min="3" max="3" width="14.28515625" style="46" customWidth="1"/>
    <col min="4" max="4" width="13.5703125" style="46" bestFit="1" customWidth="1"/>
    <col min="5" max="5" width="12.42578125" style="46" bestFit="1" customWidth="1"/>
    <col min="6" max="6" width="13.5703125" style="46" bestFit="1" customWidth="1"/>
    <col min="7" max="16384" width="9.140625" style="46"/>
  </cols>
  <sheetData>
    <row r="1" spans="1:4" x14ac:dyDescent="0.25">
      <c r="A1" s="63" t="str">
        <f>+'PPC Cycle 3'!A1</f>
        <v>Evergy Metro, Inc. - DSIM Rider Update Filed 12/01/2023</v>
      </c>
    </row>
    <row r="2" spans="1:4" x14ac:dyDescent="0.25">
      <c r="A2" s="9" t="str">
        <f>+'PPC Cycle 3'!A2</f>
        <v>Projections for Cycle 3 January 2024 - December 2024 DSIM</v>
      </c>
    </row>
    <row r="3" spans="1:4" ht="45.75" customHeight="1" x14ac:dyDescent="0.25">
      <c r="B3" s="325" t="s">
        <v>97</v>
      </c>
      <c r="C3" s="325"/>
      <c r="D3" s="325"/>
    </row>
    <row r="4" spans="1:4" x14ac:dyDescent="0.25">
      <c r="B4" s="48" t="s">
        <v>17</v>
      </c>
    </row>
    <row r="5" spans="1:4" x14ac:dyDescent="0.25">
      <c r="A5" s="20" t="s">
        <v>84</v>
      </c>
      <c r="B5" s="280">
        <f>+B8</f>
        <v>0</v>
      </c>
    </row>
    <row r="6" spans="1:4" x14ac:dyDescent="0.25">
      <c r="A6" s="20" t="s">
        <v>85</v>
      </c>
      <c r="B6" s="280">
        <f>+C8</f>
        <v>0</v>
      </c>
    </row>
    <row r="7" spans="1:4" ht="30" x14ac:dyDescent="0.25">
      <c r="A7" s="20"/>
      <c r="B7" s="268" t="s">
        <v>84</v>
      </c>
      <c r="C7" s="269" t="s">
        <v>85</v>
      </c>
      <c r="D7" s="3" t="s">
        <v>5</v>
      </c>
    </row>
    <row r="8" spans="1:4" x14ac:dyDescent="0.25">
      <c r="A8" s="20" t="s">
        <v>24</v>
      </c>
      <c r="B8" s="213">
        <v>0</v>
      </c>
      <c r="C8" s="213">
        <v>0</v>
      </c>
      <c r="D8" s="213">
        <f>SUM(B8:C8)</f>
        <v>0</v>
      </c>
    </row>
    <row r="9" spans="1:4" x14ac:dyDescent="0.25">
      <c r="A9" s="20" t="s">
        <v>25</v>
      </c>
      <c r="B9" s="213">
        <v>0</v>
      </c>
      <c r="C9" s="213">
        <v>0</v>
      </c>
      <c r="D9" s="213">
        <f>SUM(B9:C9)</f>
        <v>0</v>
      </c>
    </row>
    <row r="10" spans="1:4" ht="15.75" thickBot="1" x14ac:dyDescent="0.3">
      <c r="A10" s="20" t="s">
        <v>5</v>
      </c>
      <c r="B10" s="214">
        <f>SUM(B8:B9)</f>
        <v>0</v>
      </c>
      <c r="C10" s="214">
        <f>SUM(C8:C9)</f>
        <v>0</v>
      </c>
      <c r="D10" s="214">
        <f>SUM(D8:D9)</f>
        <v>0</v>
      </c>
    </row>
    <row r="11" spans="1:4" ht="16.5" thickTop="1" thickBot="1" x14ac:dyDescent="0.3">
      <c r="B11" s="215">
        <f>+B10-B5</f>
        <v>0</v>
      </c>
      <c r="C11" s="215">
        <f>+C10-B6</f>
        <v>0</v>
      </c>
      <c r="D11" s="215">
        <f>ROUND(B5+B6,2)-D10</f>
        <v>0</v>
      </c>
    </row>
    <row r="12" spans="1:4" ht="30.75" thickTop="1" x14ac:dyDescent="0.25">
      <c r="B12" s="225"/>
      <c r="C12" s="224" t="s">
        <v>111</v>
      </c>
    </row>
    <row r="13" spans="1:4" x14ac:dyDescent="0.25">
      <c r="A13" s="20" t="s">
        <v>107</v>
      </c>
      <c r="B13" s="213">
        <v>0</v>
      </c>
      <c r="C13" s="222">
        <f>+'PCR Cycle 2'!L8</f>
        <v>0.13576441564001979</v>
      </c>
    </row>
    <row r="14" spans="1:4" x14ac:dyDescent="0.25">
      <c r="A14" s="20" t="s">
        <v>108</v>
      </c>
      <c r="B14" s="213">
        <v>0</v>
      </c>
      <c r="C14" s="222">
        <f>+'PCR Cycle 2'!L9</f>
        <v>0.35611574316442379</v>
      </c>
    </row>
    <row r="15" spans="1:4" x14ac:dyDescent="0.25">
      <c r="A15" s="20" t="s">
        <v>109</v>
      </c>
      <c r="B15" s="270">
        <v>0</v>
      </c>
      <c r="C15" s="222">
        <f>+'PCR Cycle 2'!L10</f>
        <v>0.4183185730547726</v>
      </c>
    </row>
    <row r="16" spans="1:4" ht="15.75" thickBot="1" x14ac:dyDescent="0.3">
      <c r="A16" s="20" t="s">
        <v>110</v>
      </c>
      <c r="B16" s="213">
        <v>0</v>
      </c>
      <c r="C16" s="222">
        <f>+'PCR Cycle 2'!L11</f>
        <v>8.9801268140783777E-2</v>
      </c>
    </row>
    <row r="17" spans="1:4" ht="16.5" thickTop="1" thickBot="1" x14ac:dyDescent="0.3">
      <c r="A17" s="20" t="s">
        <v>112</v>
      </c>
      <c r="B17" s="32">
        <f>SUM(B13:B16)</f>
        <v>0</v>
      </c>
      <c r="C17" s="223">
        <f>SUM(C13:C16)</f>
        <v>1</v>
      </c>
    </row>
    <row r="18" spans="1:4" ht="15.75" thickTop="1" x14ac:dyDescent="0.25"/>
    <row r="19" spans="1:4" x14ac:dyDescent="0.25">
      <c r="A19" s="53" t="s">
        <v>11</v>
      </c>
    </row>
    <row r="20" spans="1:4" s="39" customFormat="1" x14ac:dyDescent="0.25">
      <c r="A20" s="3" t="s">
        <v>220</v>
      </c>
      <c r="B20" s="46"/>
      <c r="C20" s="46"/>
      <c r="D20" s="46"/>
    </row>
    <row r="21" spans="1:4" s="39" customFormat="1" x14ac:dyDescent="0.25">
      <c r="A21" s="3" t="s">
        <v>221</v>
      </c>
      <c r="B21" s="46"/>
      <c r="C21" s="46"/>
      <c r="D21" s="46"/>
    </row>
    <row r="22" spans="1:4" s="39" customFormat="1" x14ac:dyDescent="0.25">
      <c r="A22" s="3"/>
      <c r="B22" s="46"/>
      <c r="C22" s="46"/>
      <c r="D22" s="46"/>
    </row>
    <row r="24" spans="1:4" x14ac:dyDescent="0.25">
      <c r="A24" s="3"/>
      <c r="D24" s="186"/>
    </row>
    <row r="25" spans="1:4" x14ac:dyDescent="0.25">
      <c r="D25" s="186"/>
    </row>
    <row r="26" spans="1:4" x14ac:dyDescent="0.25">
      <c r="B26" s="70"/>
      <c r="D26" s="186"/>
    </row>
    <row r="27" spans="1:4" x14ac:dyDescent="0.25">
      <c r="A27" s="210"/>
      <c r="B27" s="211"/>
      <c r="D27" s="186"/>
    </row>
    <row r="28" spans="1:4" x14ac:dyDescent="0.25">
      <c r="A28" s="210"/>
      <c r="B28" s="211"/>
      <c r="D28" s="186"/>
    </row>
    <row r="29" spans="1:4" x14ac:dyDescent="0.25">
      <c r="A29" s="210"/>
      <c r="B29" s="211"/>
      <c r="D29" s="186"/>
    </row>
    <row r="30" spans="1:4" x14ac:dyDescent="0.25">
      <c r="A30" s="210"/>
      <c r="B30" s="211"/>
      <c r="D30" s="186"/>
    </row>
    <row r="31" spans="1:4" x14ac:dyDescent="0.25">
      <c r="A31" s="210"/>
      <c r="B31" s="187"/>
      <c r="D31" s="186"/>
    </row>
    <row r="32" spans="1:4" x14ac:dyDescent="0.25">
      <c r="A32" s="210"/>
      <c r="B32" s="187"/>
      <c r="D32" s="186"/>
    </row>
    <row r="33" spans="1:4" ht="17.25" x14ac:dyDescent="0.4">
      <c r="A33" s="210"/>
      <c r="B33" s="187"/>
      <c r="D33" s="212"/>
    </row>
    <row r="34" spans="1:4" x14ac:dyDescent="0.25">
      <c r="A34" s="210"/>
      <c r="D34" s="186"/>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pageSetUpPr fitToPage="1"/>
  </sheetPr>
  <dimension ref="A1:E35"/>
  <sheetViews>
    <sheetView workbookViewId="0">
      <selection activeCell="H3" sqref="H3"/>
    </sheetView>
  </sheetViews>
  <sheetFormatPr defaultColWidth="9.140625" defaultRowHeight="15" x14ac:dyDescent="0.25"/>
  <cols>
    <col min="1" max="1" width="43.140625" style="46" customWidth="1"/>
    <col min="2" max="2" width="14.28515625" style="46" bestFit="1" customWidth="1"/>
    <col min="3" max="3" width="14.28515625" style="46" customWidth="1"/>
    <col min="4" max="4" width="13.5703125" style="46" bestFit="1" customWidth="1"/>
    <col min="5" max="5" width="13.42578125" style="46" bestFit="1" customWidth="1"/>
    <col min="6" max="6" width="13.5703125" style="46" bestFit="1" customWidth="1"/>
    <col min="7" max="16384" width="9.140625" style="46"/>
  </cols>
  <sheetData>
    <row r="1" spans="1:5" x14ac:dyDescent="0.25">
      <c r="A1" s="63" t="str">
        <f>+'PPC Cycle 3'!A1</f>
        <v>Evergy Metro, Inc. - DSIM Rider Update Filed 12/01/2023</v>
      </c>
    </row>
    <row r="2" spans="1:5" x14ac:dyDescent="0.25">
      <c r="A2" s="9" t="str">
        <f>+'PPC Cycle 3'!A2</f>
        <v>Projections for Cycle 3 January 2024 - December 2024 DSIM</v>
      </c>
    </row>
    <row r="3" spans="1:5" ht="45.75" customHeight="1" x14ac:dyDescent="0.25">
      <c r="B3" s="325" t="s">
        <v>174</v>
      </c>
      <c r="C3" s="325"/>
      <c r="D3" s="325"/>
    </row>
    <row r="4" spans="1:5" x14ac:dyDescent="0.25">
      <c r="B4" s="48" t="s">
        <v>17</v>
      </c>
    </row>
    <row r="5" spans="1:5" x14ac:dyDescent="0.25">
      <c r="A5" s="20" t="s">
        <v>177</v>
      </c>
      <c r="B5" s="280">
        <f>+B11</f>
        <v>0</v>
      </c>
    </row>
    <row r="6" spans="1:5" x14ac:dyDescent="0.25">
      <c r="A6" s="20" t="s">
        <v>178</v>
      </c>
      <c r="B6" s="280">
        <f>+C11</f>
        <v>0</v>
      </c>
    </row>
    <row r="7" spans="1:5" x14ac:dyDescent="0.25">
      <c r="A7" s="20" t="s">
        <v>179</v>
      </c>
      <c r="B7" s="280">
        <f>+D11</f>
        <v>0</v>
      </c>
    </row>
    <row r="8" spans="1:5" ht="60" x14ac:dyDescent="0.25">
      <c r="A8" s="20"/>
      <c r="B8" s="268" t="s">
        <v>177</v>
      </c>
      <c r="C8" s="268" t="s">
        <v>178</v>
      </c>
      <c r="D8" s="269" t="s">
        <v>85</v>
      </c>
      <c r="E8" s="3" t="s">
        <v>5</v>
      </c>
    </row>
    <row r="9" spans="1:5" x14ac:dyDescent="0.25">
      <c r="A9" s="20" t="s">
        <v>24</v>
      </c>
      <c r="B9" s="213">
        <v>0</v>
      </c>
      <c r="C9" s="213">
        <v>0</v>
      </c>
      <c r="D9" s="213">
        <v>0</v>
      </c>
      <c r="E9" s="213">
        <f>SUM(B9:D9)</f>
        <v>0</v>
      </c>
    </row>
    <row r="10" spans="1:5" x14ac:dyDescent="0.25">
      <c r="A10" s="20" t="s">
        <v>25</v>
      </c>
      <c r="B10" s="213">
        <v>0</v>
      </c>
      <c r="C10" s="213">
        <v>0</v>
      </c>
      <c r="D10" s="213">
        <v>0</v>
      </c>
      <c r="E10" s="213">
        <f>SUM(B10:D10)</f>
        <v>0</v>
      </c>
    </row>
    <row r="11" spans="1:5" ht="15.75" thickBot="1" x14ac:dyDescent="0.3">
      <c r="A11" s="20" t="s">
        <v>5</v>
      </c>
      <c r="B11" s="214">
        <f>SUM(B9:B10)</f>
        <v>0</v>
      </c>
      <c r="C11" s="214">
        <f>SUM(C9:C10)</f>
        <v>0</v>
      </c>
      <c r="D11" s="214">
        <f>SUM(D9:D10)</f>
        <v>0</v>
      </c>
      <c r="E11" s="214">
        <f>SUM(E9:E10)</f>
        <v>0</v>
      </c>
    </row>
    <row r="12" spans="1:5" ht="16.5" thickTop="1" thickBot="1" x14ac:dyDescent="0.3">
      <c r="B12" s="215">
        <f>+B11-B5</f>
        <v>0</v>
      </c>
      <c r="C12" s="215">
        <f>+C11-B6</f>
        <v>0</v>
      </c>
      <c r="D12" s="215">
        <f>+D11-B7</f>
        <v>0</v>
      </c>
      <c r="E12" s="215">
        <f>ROUND(B5+B6+B7,2)-E11</f>
        <v>0</v>
      </c>
    </row>
    <row r="13" spans="1:5" ht="15.75" thickTop="1" x14ac:dyDescent="0.25">
      <c r="B13" s="225"/>
      <c r="C13" s="225"/>
      <c r="D13" s="287" t="s">
        <v>182</v>
      </c>
    </row>
    <row r="14" spans="1:5" x14ac:dyDescent="0.25">
      <c r="A14" s="20" t="s">
        <v>107</v>
      </c>
      <c r="B14" s="213">
        <f>ROUND($E$10*D14,2)</f>
        <v>0</v>
      </c>
      <c r="C14" s="213"/>
      <c r="D14" s="222">
        <f>+'PCR Cycle 2'!L8</f>
        <v>0.13576441564001979</v>
      </c>
    </row>
    <row r="15" spans="1:5" x14ac:dyDescent="0.25">
      <c r="A15" s="20" t="s">
        <v>108</v>
      </c>
      <c r="B15" s="213">
        <f t="shared" ref="B15:B17" si="0">ROUND($E$10*D15,2)</f>
        <v>0</v>
      </c>
      <c r="C15" s="213"/>
      <c r="D15" s="222">
        <f>+'PCR Cycle 2'!L9</f>
        <v>0.35611574316442379</v>
      </c>
    </row>
    <row r="16" spans="1:5" x14ac:dyDescent="0.25">
      <c r="A16" s="20" t="s">
        <v>109</v>
      </c>
      <c r="B16" s="213">
        <f t="shared" si="0"/>
        <v>0</v>
      </c>
      <c r="C16" s="270"/>
      <c r="D16" s="222">
        <f>+'PCR Cycle 2'!L10</f>
        <v>0.4183185730547726</v>
      </c>
    </row>
    <row r="17" spans="1:4" ht="15.75" thickBot="1" x14ac:dyDescent="0.3">
      <c r="A17" s="20" t="s">
        <v>110</v>
      </c>
      <c r="B17" s="213">
        <f t="shared" si="0"/>
        <v>0</v>
      </c>
      <c r="C17" s="213"/>
      <c r="D17" s="222">
        <f>+'PCR Cycle 2'!L11</f>
        <v>8.9801268140783777E-2</v>
      </c>
    </row>
    <row r="18" spans="1:4" ht="16.5" thickTop="1" thickBot="1" x14ac:dyDescent="0.3">
      <c r="A18" s="20" t="s">
        <v>112</v>
      </c>
      <c r="B18" s="32">
        <f>SUM(B14:B17)</f>
        <v>0</v>
      </c>
      <c r="C18" s="32"/>
      <c r="D18" s="223">
        <f>SUM(D14:D17)</f>
        <v>1</v>
      </c>
    </row>
    <row r="19" spans="1:4" ht="15.75" thickTop="1" x14ac:dyDescent="0.25"/>
    <row r="20" spans="1:4" x14ac:dyDescent="0.25">
      <c r="A20" s="53" t="s">
        <v>11</v>
      </c>
    </row>
    <row r="21" spans="1:4" s="39" customFormat="1" x14ac:dyDescent="0.25">
      <c r="A21" s="3" t="s">
        <v>227</v>
      </c>
      <c r="B21" s="46"/>
      <c r="C21" s="46"/>
      <c r="D21" s="46"/>
    </row>
    <row r="22" spans="1:4" s="39" customFormat="1" x14ac:dyDescent="0.25">
      <c r="A22" s="3" t="s">
        <v>228</v>
      </c>
      <c r="B22" s="46"/>
      <c r="C22" s="46"/>
      <c r="D22" s="46"/>
    </row>
    <row r="23" spans="1:4" s="39" customFormat="1" x14ac:dyDescent="0.25">
      <c r="A23" s="3" t="s">
        <v>229</v>
      </c>
      <c r="B23" s="46"/>
      <c r="C23" s="46"/>
      <c r="D23" s="46"/>
    </row>
    <row r="25" spans="1:4" x14ac:dyDescent="0.25">
      <c r="A25" s="3"/>
      <c r="D25" s="186"/>
    </row>
    <row r="26" spans="1:4" x14ac:dyDescent="0.25">
      <c r="D26" s="186"/>
    </row>
    <row r="27" spans="1:4" x14ac:dyDescent="0.25">
      <c r="B27" s="70"/>
      <c r="D27" s="186"/>
    </row>
    <row r="28" spans="1:4" x14ac:dyDescent="0.25">
      <c r="A28" s="210"/>
      <c r="B28" s="211"/>
      <c r="D28" s="186"/>
    </row>
    <row r="29" spans="1:4" x14ac:dyDescent="0.25">
      <c r="A29" s="210"/>
      <c r="B29" s="211"/>
      <c r="D29" s="186"/>
    </row>
    <row r="30" spans="1:4" x14ac:dyDescent="0.25">
      <c r="A30" s="210"/>
      <c r="B30" s="211"/>
      <c r="D30" s="186"/>
    </row>
    <row r="31" spans="1:4" x14ac:dyDescent="0.25">
      <c r="A31" s="210"/>
      <c r="B31" s="211"/>
      <c r="D31" s="186"/>
    </row>
    <row r="32" spans="1:4" x14ac:dyDescent="0.25">
      <c r="A32" s="210"/>
      <c r="B32" s="187"/>
      <c r="D32" s="186"/>
    </row>
    <row r="33" spans="1:4" x14ac:dyDescent="0.25">
      <c r="A33" s="210"/>
      <c r="B33" s="187"/>
      <c r="D33" s="186"/>
    </row>
    <row r="34" spans="1:4" ht="17.25" x14ac:dyDescent="0.4">
      <c r="A34" s="210"/>
      <c r="B34" s="187"/>
      <c r="D34" s="212"/>
    </row>
    <row r="35" spans="1:4" x14ac:dyDescent="0.25">
      <c r="A35" s="210"/>
      <c r="D35" s="186"/>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4"/>
  <sheetViews>
    <sheetView workbookViewId="0">
      <selection activeCell="N3" sqref="N3"/>
    </sheetView>
  </sheetViews>
  <sheetFormatPr defaultColWidth="9.140625" defaultRowHeight="15" outlineLevelCol="1"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42578125" style="46" customWidth="1"/>
    <col min="11" max="11" width="12.85546875" style="46" customWidth="1"/>
    <col min="12" max="12" width="16" style="46" customWidth="1"/>
    <col min="13" max="13" width="15" style="46" bestFit="1" customWidth="1"/>
    <col min="14" max="14" width="16" style="46" bestFit="1" customWidth="1"/>
    <col min="15" max="15" width="15.28515625" style="46" bestFit="1" customWidth="1" outlineLevel="1"/>
    <col min="16" max="16" width="17.42578125" style="46" bestFit="1" customWidth="1"/>
    <col min="17" max="17" width="16.28515625" style="46" bestFit="1" customWidth="1"/>
    <col min="18" max="18" width="15.28515625" style="46" bestFit="1" customWidth="1"/>
    <col min="19" max="19" width="12.42578125" style="46" customWidth="1"/>
    <col min="20" max="21" width="14.28515625" style="46" bestFit="1" customWidth="1"/>
    <col min="22" max="16384" width="9.140625" style="46"/>
  </cols>
  <sheetData>
    <row r="1" spans="1:34" x14ac:dyDescent="0.25">
      <c r="A1" s="3" t="str">
        <f>+'PPC Cycle 3'!A1</f>
        <v>Evergy Metro, Inc. - DSIM Rider Update Filed 12/01/2023</v>
      </c>
      <c r="B1" s="3"/>
      <c r="C1" s="3"/>
    </row>
    <row r="2" spans="1:34" x14ac:dyDescent="0.25">
      <c r="D2" s="3" t="s">
        <v>96</v>
      </c>
    </row>
    <row r="3" spans="1:34" ht="30" x14ac:dyDescent="0.25">
      <c r="D3" s="48" t="s">
        <v>46</v>
      </c>
      <c r="E3" s="70" t="s">
        <v>17</v>
      </c>
      <c r="F3" s="48" t="s">
        <v>3</v>
      </c>
      <c r="G3" s="70" t="s">
        <v>55</v>
      </c>
      <c r="H3" s="48" t="s">
        <v>10</v>
      </c>
      <c r="I3" s="48" t="s">
        <v>18</v>
      </c>
      <c r="R3" s="48"/>
    </row>
    <row r="4" spans="1:34" x14ac:dyDescent="0.25">
      <c r="A4" s="20" t="s">
        <v>24</v>
      </c>
      <c r="B4" s="20"/>
      <c r="C4" s="20"/>
      <c r="D4" s="22">
        <f>SUM(C19:L19)</f>
        <v>-18320.052159999999</v>
      </c>
      <c r="E4" s="22">
        <f>SUM(C23:K23)</f>
        <v>0</v>
      </c>
      <c r="F4" s="22">
        <f>E4-D4</f>
        <v>18320.052159999999</v>
      </c>
      <c r="G4" s="22">
        <f>+B33</f>
        <v>-35021.099230000007</v>
      </c>
      <c r="H4" s="22">
        <f>SUM(C38:K38)</f>
        <v>-909.84999999999991</v>
      </c>
      <c r="I4" s="25">
        <f>SUM(F4:H4)</f>
        <v>-17610.897070000006</v>
      </c>
      <c r="J4" s="47">
        <f>+I4-L33</f>
        <v>0</v>
      </c>
      <c r="M4" s="47"/>
    </row>
    <row r="5" spans="1:34" ht="15.75" thickBot="1" x14ac:dyDescent="0.3">
      <c r="A5" s="20" t="s">
        <v>25</v>
      </c>
      <c r="B5" s="20"/>
      <c r="C5" s="20"/>
      <c r="D5" s="22">
        <f>SUM(C20:L20)</f>
        <v>0</v>
      </c>
      <c r="E5" s="22">
        <f>SUM(C24:K24)</f>
        <v>0</v>
      </c>
      <c r="F5" s="22">
        <f>E5-D5</f>
        <v>0</v>
      </c>
      <c r="G5" s="22">
        <f>+B34</f>
        <v>0</v>
      </c>
      <c r="H5" s="22">
        <f>SUM(C39:K39)</f>
        <v>0</v>
      </c>
      <c r="I5" s="25">
        <f>SUM(F5:H5)</f>
        <v>0</v>
      </c>
      <c r="J5" s="47">
        <f>+I5-L34</f>
        <v>0</v>
      </c>
      <c r="M5" s="47"/>
    </row>
    <row r="6" spans="1:34" ht="16.5" thickTop="1" thickBot="1" x14ac:dyDescent="0.3">
      <c r="D6" s="27">
        <f t="shared" ref="D6" si="0">SUM(D4:D5)</f>
        <v>-18320.052159999999</v>
      </c>
      <c r="E6" s="27">
        <f>SUM(E4:E5)</f>
        <v>0</v>
      </c>
      <c r="F6" s="27">
        <f>SUM(F4:F5)</f>
        <v>18320.052159999999</v>
      </c>
      <c r="G6" s="27">
        <f>SUM(G4:G5)</f>
        <v>-35021.099230000007</v>
      </c>
      <c r="H6" s="27">
        <f>SUM(H4:H5)</f>
        <v>-909.84999999999991</v>
      </c>
      <c r="I6" s="27">
        <f>SUM(I4:I5)</f>
        <v>-17610.897070000006</v>
      </c>
      <c r="S6" s="5"/>
    </row>
    <row r="7" spans="1:34" ht="45.75" thickTop="1" x14ac:dyDescent="0.25">
      <c r="I7" s="225"/>
      <c r="J7" s="224" t="s">
        <v>123</v>
      </c>
    </row>
    <row r="8" spans="1:34" x14ac:dyDescent="0.25">
      <c r="A8" s="20" t="s">
        <v>107</v>
      </c>
      <c r="I8" s="25">
        <f>ROUND($I$5*J8,2)</f>
        <v>0</v>
      </c>
      <c r="J8" s="222">
        <f>+'PCR Cycle 2'!L8</f>
        <v>0.13576441564001979</v>
      </c>
    </row>
    <row r="9" spans="1:34" x14ac:dyDescent="0.25">
      <c r="A9" s="20" t="s">
        <v>108</v>
      </c>
      <c r="I9" s="25">
        <f t="shared" ref="I9:I11" si="1">ROUND($I$5*J9,2)</f>
        <v>0</v>
      </c>
      <c r="J9" s="222">
        <f>+'PCR Cycle 2'!L9</f>
        <v>0.35611574316442379</v>
      </c>
    </row>
    <row r="10" spans="1:34" x14ac:dyDescent="0.25">
      <c r="A10" s="20" t="s">
        <v>109</v>
      </c>
      <c r="I10" s="25">
        <f t="shared" si="1"/>
        <v>0</v>
      </c>
      <c r="J10" s="222">
        <f>+'PCR Cycle 2'!L10</f>
        <v>0.4183185730547726</v>
      </c>
    </row>
    <row r="11" spans="1:34" ht="15.75" thickBot="1" x14ac:dyDescent="0.3">
      <c r="A11" s="20" t="s">
        <v>110</v>
      </c>
      <c r="I11" s="25">
        <f t="shared" si="1"/>
        <v>0</v>
      </c>
      <c r="J11" s="222">
        <f>+'PCR Cycle 2'!L11</f>
        <v>8.9801268140783777E-2</v>
      </c>
    </row>
    <row r="12" spans="1:34" ht="16.5" thickTop="1" thickBot="1" x14ac:dyDescent="0.3">
      <c r="A12" s="20" t="s">
        <v>112</v>
      </c>
      <c r="I12" s="27">
        <f>SUM(I8:I11)</f>
        <v>0</v>
      </c>
      <c r="J12" s="223">
        <f>SUM(J8:J11)</f>
        <v>1</v>
      </c>
      <c r="U12" s="4"/>
    </row>
    <row r="13" spans="1:34" ht="16.5" thickTop="1" thickBot="1" x14ac:dyDescent="0.3">
      <c r="U13" s="4"/>
      <c r="V13" s="5"/>
    </row>
    <row r="14" spans="1:34" ht="105.75" thickBot="1" x14ac:dyDescent="0.3">
      <c r="B14" s="115" t="str">
        <f>+'PCR Cycle 2'!B14</f>
        <v>Cumulative Over/Under Carryover From 6/01/2023 Filing</v>
      </c>
      <c r="C14" s="149" t="str">
        <f>+'PCR Cycle 2'!C14</f>
        <v>Reverse May 2023 - July 2023 Forecast From 6/01/2023 Filing</v>
      </c>
      <c r="D14" s="332" t="s">
        <v>33</v>
      </c>
      <c r="E14" s="332"/>
      <c r="F14" s="333"/>
      <c r="G14" s="338" t="s">
        <v>33</v>
      </c>
      <c r="H14" s="339"/>
      <c r="I14" s="340"/>
      <c r="J14" s="328" t="s">
        <v>8</v>
      </c>
      <c r="K14" s="329"/>
      <c r="L14" s="330"/>
      <c r="O14" s="292" t="s">
        <v>284</v>
      </c>
    </row>
    <row r="15" spans="1:34" x14ac:dyDescent="0.25">
      <c r="A15" s="46" t="s">
        <v>91</v>
      </c>
      <c r="C15" s="105"/>
      <c r="D15" s="19">
        <f>+'PCR Cycle 2'!E15</f>
        <v>45077</v>
      </c>
      <c r="E15" s="19">
        <f t="shared" ref="E15:L15" si="2">EOMONTH(D15,1)</f>
        <v>45107</v>
      </c>
      <c r="F15" s="19">
        <f t="shared" si="2"/>
        <v>45138</v>
      </c>
      <c r="G15" s="14">
        <f t="shared" si="2"/>
        <v>45169</v>
      </c>
      <c r="H15" s="19">
        <f t="shared" si="2"/>
        <v>45199</v>
      </c>
      <c r="I15" s="15">
        <f t="shared" si="2"/>
        <v>45230</v>
      </c>
      <c r="J15" s="19">
        <f t="shared" si="2"/>
        <v>45260</v>
      </c>
      <c r="K15" s="19">
        <f t="shared" si="2"/>
        <v>45291</v>
      </c>
      <c r="L15" s="15">
        <f t="shared" si="2"/>
        <v>45322</v>
      </c>
      <c r="Y15" s="1"/>
      <c r="Z15" s="1"/>
      <c r="AA15" s="1"/>
      <c r="AB15" s="1"/>
      <c r="AC15" s="1"/>
      <c r="AD15" s="1"/>
      <c r="AE15" s="1"/>
      <c r="AF15" s="1"/>
      <c r="AG15" s="1"/>
      <c r="AH15" s="1"/>
    </row>
    <row r="16" spans="1:34" x14ac:dyDescent="0.25">
      <c r="A16" s="46" t="s">
        <v>5</v>
      </c>
      <c r="C16" s="97">
        <v>0</v>
      </c>
      <c r="D16" s="109">
        <f>SUM(D23:D24)</f>
        <v>0</v>
      </c>
      <c r="E16" s="109">
        <f t="shared" ref="E16:H16" si="3">SUM(E23:E24)</f>
        <v>0</v>
      </c>
      <c r="F16" s="110">
        <f t="shared" si="3"/>
        <v>0</v>
      </c>
      <c r="G16" s="16">
        <f t="shared" si="3"/>
        <v>0</v>
      </c>
      <c r="H16" s="55">
        <f t="shared" si="3"/>
        <v>0</v>
      </c>
      <c r="I16" s="162">
        <f>+I23+I24</f>
        <v>0</v>
      </c>
      <c r="J16" s="155">
        <f t="shared" ref="J16:K16" si="4">+J23+J24</f>
        <v>0</v>
      </c>
      <c r="K16" s="78">
        <f t="shared" si="4"/>
        <v>0</v>
      </c>
      <c r="L16" s="79"/>
      <c r="O16" s="47">
        <f>-SUM(J16:L16)</f>
        <v>0</v>
      </c>
    </row>
    <row r="17" spans="1:15" x14ac:dyDescent="0.25">
      <c r="C17" s="99"/>
      <c r="D17" s="17"/>
      <c r="E17" s="17"/>
      <c r="F17" s="17"/>
      <c r="G17" s="10"/>
      <c r="H17" s="17"/>
      <c r="I17" s="11"/>
      <c r="J17" s="31"/>
      <c r="K17" s="31"/>
      <c r="L17" s="29"/>
    </row>
    <row r="18" spans="1:15" x14ac:dyDescent="0.25">
      <c r="A18" s="46" t="s">
        <v>90</v>
      </c>
      <c r="C18" s="99"/>
      <c r="D18" s="18"/>
      <c r="E18" s="18"/>
      <c r="F18" s="18"/>
      <c r="G18" s="91"/>
      <c r="H18" s="18"/>
      <c r="I18" s="163"/>
      <c r="J18" s="31"/>
      <c r="K18" s="31"/>
      <c r="L18" s="29"/>
      <c r="M18" s="3" t="s">
        <v>50</v>
      </c>
      <c r="N18" s="39"/>
    </row>
    <row r="19" spans="1:15" x14ac:dyDescent="0.25">
      <c r="A19" s="46" t="s">
        <v>24</v>
      </c>
      <c r="C19" s="97">
        <v>19132.330000000002</v>
      </c>
      <c r="D19" s="132">
        <f>'[4]May 2023'!$G$79</f>
        <v>-4608.49</v>
      </c>
      <c r="E19" s="132">
        <f>'[4]June 2023'!$G$79</f>
        <v>-6291.47</v>
      </c>
      <c r="F19" s="184">
        <f>'[4]July 2023'!$G$79</f>
        <v>-8358.81</v>
      </c>
      <c r="G19" s="16">
        <f>'[4]August 2023'!$G$79</f>
        <v>-6633.83</v>
      </c>
      <c r="H19" s="118">
        <f>'[4]September 2023'!$G$79</f>
        <v>-2876.27</v>
      </c>
      <c r="I19" s="164">
        <f>'[4]October 2023'!$G$79</f>
        <v>-1922.79</v>
      </c>
      <c r="J19" s="120">
        <f>'PCR Cycle 2'!K27*$M19</f>
        <v>-1673.6201800000001</v>
      </c>
      <c r="K19" s="41">
        <f>'PCR Cycle 2'!L27*$M19</f>
        <v>-2386.3424600000003</v>
      </c>
      <c r="L19" s="61">
        <f>'PCR Cycle 2'!M27*$M19</f>
        <v>-2700.7595200000001</v>
      </c>
      <c r="M19" s="72">
        <v>-1.0000000000000001E-5</v>
      </c>
      <c r="N19" s="4"/>
      <c r="O19" s="47">
        <f t="shared" ref="O19:O20" si="5">-SUM(J19:L19)</f>
        <v>6760.7221600000012</v>
      </c>
    </row>
    <row r="20" spans="1:15" x14ac:dyDescent="0.25">
      <c r="A20" s="46" t="s">
        <v>25</v>
      </c>
      <c r="C20" s="97">
        <v>0</v>
      </c>
      <c r="D20" s="132">
        <f>'[4]May 2023'!$G$84</f>
        <v>0</v>
      </c>
      <c r="E20" s="132">
        <f>'[4]June 2023'!$G$84</f>
        <v>0</v>
      </c>
      <c r="F20" s="184">
        <f>'[4]July 2023'!$G$84</f>
        <v>0</v>
      </c>
      <c r="G20" s="16">
        <f>'[4]August 2023'!$G$84</f>
        <v>0</v>
      </c>
      <c r="H20" s="118">
        <f>'[4]September 2023'!$G$84</f>
        <v>0</v>
      </c>
      <c r="I20" s="164">
        <f>'[4]October 2023'!$G$84</f>
        <v>0</v>
      </c>
      <c r="J20" s="120">
        <f>SUM('PCR Cycle 2'!K28:K31)*$M20</f>
        <v>0</v>
      </c>
      <c r="K20" s="41">
        <f>SUM('PCR Cycle 2'!L28:L31)*$M20</f>
        <v>0</v>
      </c>
      <c r="L20" s="61">
        <f>SUM('PCR Cycle 2'!M28:M31)*$M20</f>
        <v>0</v>
      </c>
      <c r="M20" s="72">
        <v>0</v>
      </c>
      <c r="N20" s="4"/>
      <c r="O20" s="47">
        <f t="shared" si="5"/>
        <v>0</v>
      </c>
    </row>
    <row r="21" spans="1:15" x14ac:dyDescent="0.25">
      <c r="C21" s="67"/>
      <c r="D21" s="68"/>
      <c r="E21" s="68"/>
      <c r="F21" s="68"/>
      <c r="G21" s="98"/>
      <c r="H21" s="68"/>
      <c r="I21" s="165"/>
      <c r="J21" s="56"/>
      <c r="K21" s="56"/>
      <c r="L21" s="13"/>
      <c r="N21" s="4"/>
    </row>
    <row r="22" spans="1:15" x14ac:dyDescent="0.25">
      <c r="A22" s="46" t="s">
        <v>92</v>
      </c>
      <c r="C22" s="36"/>
      <c r="D22" s="37"/>
      <c r="E22" s="37"/>
      <c r="F22" s="37"/>
      <c r="G22" s="36"/>
      <c r="H22" s="37"/>
      <c r="I22" s="168"/>
      <c r="J22" s="52"/>
      <c r="K22" s="52"/>
      <c r="L22" s="38"/>
    </row>
    <row r="23" spans="1:15" x14ac:dyDescent="0.25">
      <c r="A23" s="46" t="s">
        <v>24</v>
      </c>
      <c r="C23" s="97">
        <v>0</v>
      </c>
      <c r="D23" s="109">
        <v>0</v>
      </c>
      <c r="E23" s="109">
        <v>0</v>
      </c>
      <c r="F23" s="110">
        <v>0</v>
      </c>
      <c r="G23" s="16">
        <v>0</v>
      </c>
      <c r="H23" s="55">
        <v>0</v>
      </c>
      <c r="I23" s="162">
        <v>0</v>
      </c>
      <c r="J23" s="157">
        <v>0</v>
      </c>
      <c r="K23" s="139">
        <v>0</v>
      </c>
      <c r="L23" s="79"/>
      <c r="O23" s="47">
        <f t="shared" ref="O23:O26" si="6">-SUM(J23:L23)</f>
        <v>0</v>
      </c>
    </row>
    <row r="24" spans="1:15" x14ac:dyDescent="0.25">
      <c r="A24" s="46" t="s">
        <v>25</v>
      </c>
      <c r="C24" s="97">
        <v>0</v>
      </c>
      <c r="D24" s="109">
        <v>0</v>
      </c>
      <c r="E24" s="109">
        <v>0</v>
      </c>
      <c r="F24" s="110">
        <v>0</v>
      </c>
      <c r="G24" s="16">
        <v>0</v>
      </c>
      <c r="H24" s="55">
        <v>0</v>
      </c>
      <c r="I24" s="162">
        <v>0</v>
      </c>
      <c r="J24" s="157">
        <v>0</v>
      </c>
      <c r="K24" s="139">
        <v>0</v>
      </c>
      <c r="L24" s="79"/>
      <c r="N24" s="47"/>
      <c r="O24" s="47">
        <f t="shared" si="6"/>
        <v>0</v>
      </c>
    </row>
    <row r="25" spans="1:15" x14ac:dyDescent="0.25">
      <c r="C25" s="99"/>
      <c r="D25" s="18"/>
      <c r="E25" s="18"/>
      <c r="F25" s="18"/>
      <c r="G25" s="91"/>
      <c r="H25" s="18"/>
      <c r="I25" s="163"/>
      <c r="J25" s="56"/>
      <c r="K25" s="56"/>
      <c r="L25" s="13"/>
    </row>
    <row r="26" spans="1:15" ht="15.75" thickBot="1" x14ac:dyDescent="0.3">
      <c r="A26" s="3" t="s">
        <v>14</v>
      </c>
      <c r="B26" s="3"/>
      <c r="C26" s="103">
        <v>485.68</v>
      </c>
      <c r="D26" s="132">
        <v>-262.19</v>
      </c>
      <c r="E26" s="132">
        <v>-237.83</v>
      </c>
      <c r="F26" s="133">
        <v>-206.47</v>
      </c>
      <c r="G26" s="26">
        <v>-170.08</v>
      </c>
      <c r="H26" s="119">
        <v>-145.71</v>
      </c>
      <c r="I26" s="169">
        <v>-133.79</v>
      </c>
      <c r="J26" s="158">
        <v>-124.86</v>
      </c>
      <c r="K26" s="141">
        <v>-114.65</v>
      </c>
      <c r="L26" s="82"/>
      <c r="O26" s="47">
        <f t="shared" si="6"/>
        <v>239.51</v>
      </c>
    </row>
    <row r="27" spans="1:15" x14ac:dyDescent="0.25">
      <c r="C27" s="64"/>
      <c r="D27" s="145"/>
      <c r="E27" s="145"/>
      <c r="F27" s="146"/>
      <c r="G27" s="64"/>
      <c r="H27" s="33"/>
      <c r="I27" s="170"/>
      <c r="J27" s="34"/>
      <c r="K27" s="34"/>
      <c r="L27" s="60"/>
    </row>
    <row r="28" spans="1:15" x14ac:dyDescent="0.25">
      <c r="A28" s="46" t="s">
        <v>52</v>
      </c>
      <c r="C28" s="65"/>
      <c r="D28" s="146"/>
      <c r="E28" s="146"/>
      <c r="F28" s="146"/>
      <c r="G28" s="65"/>
      <c r="H28" s="35"/>
      <c r="I28" s="171"/>
      <c r="J28" s="34"/>
      <c r="K28" s="34"/>
      <c r="L28" s="60"/>
    </row>
    <row r="29" spans="1:15" x14ac:dyDescent="0.25">
      <c r="A29" s="46" t="s">
        <v>24</v>
      </c>
      <c r="C29" s="100">
        <f t="shared" ref="C29:L29" si="7">C23-C19</f>
        <v>-19132.330000000002</v>
      </c>
      <c r="D29" s="41">
        <f t="shared" si="7"/>
        <v>4608.49</v>
      </c>
      <c r="E29" s="41">
        <f t="shared" si="7"/>
        <v>6291.47</v>
      </c>
      <c r="F29" s="108">
        <f t="shared" si="7"/>
        <v>8358.81</v>
      </c>
      <c r="G29" s="40">
        <f t="shared" si="7"/>
        <v>6633.83</v>
      </c>
      <c r="H29" s="41">
        <f t="shared" si="7"/>
        <v>2876.27</v>
      </c>
      <c r="I29" s="61">
        <f t="shared" si="7"/>
        <v>1922.79</v>
      </c>
      <c r="J29" s="120">
        <f t="shared" si="7"/>
        <v>1673.6201800000001</v>
      </c>
      <c r="K29" s="41">
        <f t="shared" si="7"/>
        <v>2386.3424600000003</v>
      </c>
      <c r="L29" s="61">
        <f t="shared" si="7"/>
        <v>2700.7595200000001</v>
      </c>
    </row>
    <row r="30" spans="1:15" x14ac:dyDescent="0.25">
      <c r="A30" s="46" t="s">
        <v>25</v>
      </c>
      <c r="C30" s="100">
        <f t="shared" ref="C30:L30" si="8">C24-C20</f>
        <v>0</v>
      </c>
      <c r="D30" s="41">
        <f t="shared" si="8"/>
        <v>0</v>
      </c>
      <c r="E30" s="41">
        <f t="shared" si="8"/>
        <v>0</v>
      </c>
      <c r="F30" s="108">
        <f t="shared" si="8"/>
        <v>0</v>
      </c>
      <c r="G30" s="40">
        <f t="shared" si="8"/>
        <v>0</v>
      </c>
      <c r="H30" s="41">
        <f t="shared" si="8"/>
        <v>0</v>
      </c>
      <c r="I30" s="61">
        <f t="shared" si="8"/>
        <v>0</v>
      </c>
      <c r="J30" s="120">
        <f t="shared" si="8"/>
        <v>0</v>
      </c>
      <c r="K30" s="41">
        <f t="shared" si="8"/>
        <v>0</v>
      </c>
      <c r="L30" s="61">
        <f t="shared" si="8"/>
        <v>0</v>
      </c>
    </row>
    <row r="31" spans="1:15" x14ac:dyDescent="0.25">
      <c r="C31" s="99"/>
      <c r="D31" s="17"/>
      <c r="E31" s="17"/>
      <c r="F31" s="17"/>
      <c r="G31" s="10"/>
      <c r="H31" s="17"/>
      <c r="I31" s="11"/>
      <c r="J31" s="17"/>
      <c r="K31" s="17"/>
      <c r="L31" s="11"/>
    </row>
    <row r="32" spans="1:15" ht="15.75" thickBot="1" x14ac:dyDescent="0.3">
      <c r="A32" s="46" t="s">
        <v>53</v>
      </c>
      <c r="C32" s="99"/>
      <c r="D32" s="17"/>
      <c r="E32" s="17"/>
      <c r="F32" s="17"/>
      <c r="G32" s="10"/>
      <c r="H32" s="17"/>
      <c r="I32" s="11"/>
      <c r="J32" s="17"/>
      <c r="K32" s="17"/>
      <c r="L32" s="11"/>
    </row>
    <row r="33" spans="1:15" x14ac:dyDescent="0.25">
      <c r="A33" s="46" t="s">
        <v>24</v>
      </c>
      <c r="B33" s="310">
        <v>-35021.099230000007</v>
      </c>
      <c r="C33" s="100">
        <f>B33+C29+B38</f>
        <v>-54153.429230000009</v>
      </c>
      <c r="D33" s="41">
        <f t="shared" ref="D33:L34" si="9">C33+D29+C38</f>
        <v>-49059.259230000011</v>
      </c>
      <c r="E33" s="41">
        <f t="shared" si="9"/>
        <v>-43029.96923000001</v>
      </c>
      <c r="F33" s="108">
        <f t="shared" si="9"/>
        <v>-34908.979230000012</v>
      </c>
      <c r="G33" s="40">
        <f t="shared" si="9"/>
        <v>-28481.619230000011</v>
      </c>
      <c r="H33" s="41">
        <f t="shared" si="9"/>
        <v>-25775.41923000001</v>
      </c>
      <c r="I33" s="61">
        <f t="shared" si="9"/>
        <v>-23998.32923000001</v>
      </c>
      <c r="J33" s="120">
        <f t="shared" si="9"/>
        <v>-22458.489050000007</v>
      </c>
      <c r="K33" s="41">
        <f t="shared" si="9"/>
        <v>-20197.006590000008</v>
      </c>
      <c r="L33" s="61">
        <f t="shared" si="9"/>
        <v>-17610.89707000001</v>
      </c>
    </row>
    <row r="34" spans="1:15" ht="15.75" thickBot="1" x14ac:dyDescent="0.3">
      <c r="A34" s="46" t="s">
        <v>25</v>
      </c>
      <c r="B34" s="311">
        <v>0</v>
      </c>
      <c r="C34" s="100">
        <f>B34+C30+B39</f>
        <v>0</v>
      </c>
      <c r="D34" s="41">
        <f t="shared" si="9"/>
        <v>0</v>
      </c>
      <c r="E34" s="41">
        <f t="shared" si="9"/>
        <v>0</v>
      </c>
      <c r="F34" s="108">
        <f t="shared" si="9"/>
        <v>0</v>
      </c>
      <c r="G34" s="40">
        <f t="shared" si="9"/>
        <v>0</v>
      </c>
      <c r="H34" s="41">
        <f t="shared" si="9"/>
        <v>0</v>
      </c>
      <c r="I34" s="61">
        <f t="shared" si="9"/>
        <v>0</v>
      </c>
      <c r="J34" s="120">
        <f t="shared" si="9"/>
        <v>0</v>
      </c>
      <c r="K34" s="41">
        <f t="shared" si="9"/>
        <v>0</v>
      </c>
      <c r="L34" s="61">
        <f t="shared" si="9"/>
        <v>0</v>
      </c>
    </row>
    <row r="35" spans="1:15" x14ac:dyDescent="0.25">
      <c r="C35" s="99"/>
      <c r="D35" s="17"/>
      <c r="E35" s="17"/>
      <c r="F35" s="17"/>
      <c r="G35" s="10"/>
      <c r="H35" s="17"/>
      <c r="I35" s="11"/>
      <c r="J35" s="17"/>
      <c r="K35" s="17"/>
      <c r="L35" s="11"/>
    </row>
    <row r="36" spans="1:15" x14ac:dyDescent="0.25">
      <c r="A36" s="39" t="s">
        <v>49</v>
      </c>
      <c r="B36" s="39"/>
      <c r="C36" s="104"/>
      <c r="D36" s="83">
        <f>+'PCR Cycle 2'!E50</f>
        <v>5.1044699999999998E-3</v>
      </c>
      <c r="E36" s="83">
        <f>+'PCR Cycle 2'!F50</f>
        <v>5.1503699999999996E-3</v>
      </c>
      <c r="F36" s="83">
        <f>+'PCR Cycle 2'!G50</f>
        <v>5.2820799999999998E-3</v>
      </c>
      <c r="G36" s="84">
        <f>+'PCR Cycle 2'!H50</f>
        <v>5.3483699999999999E-3</v>
      </c>
      <c r="H36" s="83">
        <f>+'PCR Cycle 2'!I50</f>
        <v>5.3539599999999996E-3</v>
      </c>
      <c r="I36" s="92">
        <f>+'PCR Cycle 2'!J50</f>
        <v>5.3597599999999999E-3</v>
      </c>
      <c r="J36" s="83">
        <f>+'PCR Cycle 2'!K50</f>
        <v>5.3597599999999999E-3</v>
      </c>
      <c r="K36" s="83">
        <f>+'PCR Cycle 2'!L50</f>
        <v>5.3597599999999999E-3</v>
      </c>
      <c r="L36" s="85"/>
    </row>
    <row r="37" spans="1:15" x14ac:dyDescent="0.25">
      <c r="A37" s="39" t="s">
        <v>37</v>
      </c>
      <c r="B37" s="39"/>
      <c r="C37" s="106"/>
      <c r="D37" s="83"/>
      <c r="E37" s="83"/>
      <c r="F37" s="83"/>
      <c r="G37" s="84"/>
      <c r="H37" s="83"/>
      <c r="I37" s="85"/>
      <c r="J37" s="83"/>
      <c r="K37" s="83"/>
      <c r="L37" s="85"/>
    </row>
    <row r="38" spans="1:15" x14ac:dyDescent="0.25">
      <c r="A38" s="46" t="s">
        <v>24</v>
      </c>
      <c r="C38" s="316">
        <v>485.68</v>
      </c>
      <c r="D38" s="41">
        <f t="shared" ref="D38:L39" si="10">ROUND((C33+C38+D29/2)*D$36,2)</f>
        <v>-262.18</v>
      </c>
      <c r="E38" s="41">
        <f t="shared" si="10"/>
        <v>-237.82</v>
      </c>
      <c r="F38" s="108">
        <f t="shared" si="10"/>
        <v>-206.47</v>
      </c>
      <c r="G38" s="40">
        <f t="shared" ref="G38:G39" si="11">ROUND((F33+F38+G29/2)*G$36,2)</f>
        <v>-170.07</v>
      </c>
      <c r="H38" s="120">
        <f t="shared" ref="H38:H39" si="12">ROUND((G33+G38+H29/2)*H$36,2)</f>
        <v>-145.69999999999999</v>
      </c>
      <c r="I38" s="49">
        <f t="shared" ref="I38:I39" si="13">ROUND((H33+H38+I29/2)*I$36,2)</f>
        <v>-133.78</v>
      </c>
      <c r="J38" s="159">
        <f t="shared" ref="J38:J39" si="14">ROUND((I33+I38+J29/2)*J$36,2)</f>
        <v>-124.86</v>
      </c>
      <c r="K38" s="108">
        <f t="shared" ref="K38:K39" si="15">ROUND((J33+J38+K29/2)*K$36,2)</f>
        <v>-114.65</v>
      </c>
      <c r="L38" s="61">
        <f t="shared" si="10"/>
        <v>0</v>
      </c>
      <c r="O38" s="47">
        <f t="shared" ref="O38:O39" si="16">-SUM(J38:L38)</f>
        <v>239.51</v>
      </c>
    </row>
    <row r="39" spans="1:15" ht="15.75" thickBot="1" x14ac:dyDescent="0.3">
      <c r="A39" s="46" t="s">
        <v>25</v>
      </c>
      <c r="C39" s="316">
        <v>0</v>
      </c>
      <c r="D39" s="41">
        <f t="shared" si="10"/>
        <v>0</v>
      </c>
      <c r="E39" s="41">
        <f t="shared" si="10"/>
        <v>0</v>
      </c>
      <c r="F39" s="108">
        <f t="shared" si="10"/>
        <v>0</v>
      </c>
      <c r="G39" s="40">
        <f t="shared" si="11"/>
        <v>0</v>
      </c>
      <c r="H39" s="120">
        <f t="shared" si="12"/>
        <v>0</v>
      </c>
      <c r="I39" s="49">
        <f t="shared" si="13"/>
        <v>0</v>
      </c>
      <c r="J39" s="159">
        <f t="shared" si="14"/>
        <v>0</v>
      </c>
      <c r="K39" s="108">
        <f t="shared" si="15"/>
        <v>0</v>
      </c>
      <c r="L39" s="61">
        <f t="shared" si="10"/>
        <v>0</v>
      </c>
      <c r="O39" s="47">
        <f t="shared" si="16"/>
        <v>0</v>
      </c>
    </row>
    <row r="40" spans="1:15" ht="16.5" thickTop="1" thickBot="1" x14ac:dyDescent="0.3">
      <c r="A40" s="54" t="s">
        <v>22</v>
      </c>
      <c r="B40" s="54"/>
      <c r="C40" s="107">
        <v>0</v>
      </c>
      <c r="D40" s="42">
        <f t="shared" ref="D40:I40" si="17">SUM(D38:D39)+SUM(D33:D34)-D43</f>
        <v>0</v>
      </c>
      <c r="E40" s="42">
        <f t="shared" si="17"/>
        <v>0</v>
      </c>
      <c r="F40" s="50">
        <f t="shared" ref="F40:H40" si="18">SUM(F38:F39)+SUM(F33:F34)-F43</f>
        <v>0</v>
      </c>
      <c r="G40" s="143">
        <f t="shared" si="18"/>
        <v>0</v>
      </c>
      <c r="H40" s="50">
        <f t="shared" si="18"/>
        <v>0</v>
      </c>
      <c r="I40" s="62">
        <f t="shared" si="17"/>
        <v>0</v>
      </c>
      <c r="J40" s="160">
        <f t="shared" ref="J40:L40" si="19">SUM(J38:J39)+SUM(J33:J34)-J43</f>
        <v>0</v>
      </c>
      <c r="K40" s="50">
        <f t="shared" si="19"/>
        <v>0</v>
      </c>
      <c r="L40" s="62">
        <f t="shared" si="19"/>
        <v>0</v>
      </c>
    </row>
    <row r="41" spans="1:15" ht="16.5" thickTop="1" thickBot="1" x14ac:dyDescent="0.3">
      <c r="A41" s="54" t="s">
        <v>23</v>
      </c>
      <c r="B41" s="54"/>
      <c r="C41" s="107">
        <v>0</v>
      </c>
      <c r="D41" s="42">
        <f t="shared" ref="D41:I41" si="20">SUM(D38:D39)-D26</f>
        <v>9.9999999999909051E-3</v>
      </c>
      <c r="E41" s="42">
        <f t="shared" si="20"/>
        <v>1.0000000000019327E-2</v>
      </c>
      <c r="F41" s="50">
        <f t="shared" ref="F41:H41" si="21">SUM(F38:F39)-F26</f>
        <v>0</v>
      </c>
      <c r="G41" s="143">
        <f t="shared" si="21"/>
        <v>1.0000000000019327E-2</v>
      </c>
      <c r="H41" s="50">
        <f t="shared" si="21"/>
        <v>1.0000000000019327E-2</v>
      </c>
      <c r="I41" s="62">
        <f t="shared" si="20"/>
        <v>9.9999999999909051E-3</v>
      </c>
      <c r="J41" s="161">
        <f t="shared" ref="J41:L41" si="22">SUM(J38:J39)-J26</f>
        <v>0</v>
      </c>
      <c r="K41" s="42">
        <f t="shared" si="22"/>
        <v>0</v>
      </c>
      <c r="L41" s="42">
        <f t="shared" si="22"/>
        <v>0</v>
      </c>
    </row>
    <row r="42" spans="1:15" ht="16.5" thickTop="1" thickBot="1" x14ac:dyDescent="0.3">
      <c r="C42" s="99"/>
      <c r="D42" s="17"/>
      <c r="E42" s="17"/>
      <c r="F42" s="17"/>
      <c r="G42" s="10"/>
      <c r="H42" s="17"/>
      <c r="I42" s="11"/>
      <c r="J42" s="17"/>
      <c r="K42" s="17"/>
      <c r="L42" s="11"/>
    </row>
    <row r="43" spans="1:15" ht="15.75" thickBot="1" x14ac:dyDescent="0.3">
      <c r="A43" s="46" t="s">
        <v>36</v>
      </c>
      <c r="B43" s="116">
        <f>SUM(B33:B34)</f>
        <v>-35021.099230000007</v>
      </c>
      <c r="C43" s="100">
        <f t="shared" ref="C43:L43" si="23">(C16-SUM(C19:C20))+SUM(C38:C39)+B43</f>
        <v>-53667.749230000009</v>
      </c>
      <c r="D43" s="41">
        <f t="shared" si="23"/>
        <v>-49321.439230000011</v>
      </c>
      <c r="E43" s="41">
        <f t="shared" si="23"/>
        <v>-43267.789230000009</v>
      </c>
      <c r="F43" s="108">
        <f t="shared" si="23"/>
        <v>-35115.449230000013</v>
      </c>
      <c r="G43" s="40">
        <f t="shared" si="23"/>
        <v>-28651.689230000011</v>
      </c>
      <c r="H43" s="41">
        <f t="shared" si="23"/>
        <v>-25921.119230000011</v>
      </c>
      <c r="I43" s="61">
        <f t="shared" si="23"/>
        <v>-24132.109230000013</v>
      </c>
      <c r="J43" s="159">
        <f t="shared" si="23"/>
        <v>-22583.349050000012</v>
      </c>
      <c r="K43" s="108">
        <f t="shared" si="23"/>
        <v>-20311.656590000013</v>
      </c>
      <c r="L43" s="61">
        <f t="shared" si="23"/>
        <v>-17610.897070000014</v>
      </c>
    </row>
    <row r="44" spans="1:15" x14ac:dyDescent="0.25">
      <c r="A44" s="46" t="s">
        <v>12</v>
      </c>
      <c r="C44" s="117"/>
      <c r="D44" s="17"/>
      <c r="E44" s="17"/>
      <c r="F44" s="17"/>
      <c r="G44" s="10"/>
      <c r="H44" s="17"/>
      <c r="I44" s="11"/>
      <c r="J44" s="17"/>
      <c r="K44" s="17"/>
      <c r="L44" s="11"/>
    </row>
    <row r="45" spans="1:15" ht="15.75" thickBot="1" x14ac:dyDescent="0.3">
      <c r="A45" s="37"/>
      <c r="B45" s="37"/>
      <c r="C45" s="144"/>
      <c r="D45" s="44"/>
      <c r="E45" s="44"/>
      <c r="F45" s="44"/>
      <c r="G45" s="43"/>
      <c r="H45" s="44"/>
      <c r="I45" s="45"/>
      <c r="J45" s="44"/>
      <c r="K45" s="44"/>
      <c r="L45" s="45"/>
    </row>
    <row r="47" spans="1:15" x14ac:dyDescent="0.25">
      <c r="A47" s="69" t="s">
        <v>11</v>
      </c>
      <c r="B47" s="69"/>
      <c r="C47" s="69"/>
    </row>
    <row r="48" spans="1:15" x14ac:dyDescent="0.25">
      <c r="A48" s="341" t="s">
        <v>173</v>
      </c>
      <c r="B48" s="341"/>
      <c r="C48" s="341"/>
      <c r="D48" s="341"/>
      <c r="E48" s="341"/>
      <c r="F48" s="341"/>
      <c r="G48" s="341"/>
      <c r="H48" s="341"/>
      <c r="I48" s="341"/>
      <c r="J48" s="178"/>
      <c r="K48" s="178"/>
      <c r="L48" s="178"/>
    </row>
    <row r="49" spans="1:12" ht="58.5" customHeight="1" x14ac:dyDescent="0.25">
      <c r="A49" s="331" t="s">
        <v>262</v>
      </c>
      <c r="B49" s="331"/>
      <c r="C49" s="331"/>
      <c r="D49" s="331"/>
      <c r="E49" s="331"/>
      <c r="F49" s="331"/>
      <c r="G49" s="331"/>
      <c r="H49" s="331"/>
      <c r="I49" s="331"/>
      <c r="J49" s="331"/>
      <c r="K49" s="331"/>
    </row>
    <row r="50" spans="1:12" ht="18.75" customHeight="1" x14ac:dyDescent="0.25">
      <c r="A50" s="3" t="s">
        <v>189</v>
      </c>
      <c r="B50" s="3"/>
      <c r="C50" s="3"/>
      <c r="I50" s="4"/>
      <c r="J50" s="178"/>
      <c r="K50" s="178"/>
      <c r="L50" s="178"/>
    </row>
    <row r="51" spans="1:12" x14ac:dyDescent="0.25">
      <c r="A51" s="3" t="s">
        <v>240</v>
      </c>
      <c r="B51" s="3"/>
      <c r="C51" s="3"/>
      <c r="I51" s="4"/>
    </row>
    <row r="52" spans="1:12" x14ac:dyDescent="0.25">
      <c r="A52" s="3" t="s">
        <v>126</v>
      </c>
      <c r="B52" s="3"/>
      <c r="C52" s="3"/>
      <c r="I52" s="4"/>
    </row>
    <row r="53" spans="1:12" x14ac:dyDescent="0.25">
      <c r="A53" s="3" t="s">
        <v>185</v>
      </c>
      <c r="B53" s="63"/>
      <c r="C53" s="63"/>
      <c r="D53" s="39"/>
      <c r="E53" s="39"/>
      <c r="F53" s="39"/>
      <c r="G53" s="39"/>
      <c r="H53" s="39"/>
      <c r="I53" s="39"/>
    </row>
    <row r="54" spans="1:12" x14ac:dyDescent="0.25">
      <c r="A54" s="3"/>
      <c r="B54" s="3"/>
      <c r="C54" s="3"/>
    </row>
  </sheetData>
  <mergeCells count="5">
    <mergeCell ref="D14:F14"/>
    <mergeCell ref="G14:I14"/>
    <mergeCell ref="J14:L14"/>
    <mergeCell ref="A48:I48"/>
    <mergeCell ref="A49:K49"/>
  </mergeCells>
  <pageMargins left="0.2" right="0.2" top="0.75" bottom="0.25" header="0.3" footer="0.3"/>
  <pageSetup scale="55"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pageSetUpPr fitToPage="1"/>
  </sheetPr>
  <dimension ref="A1:AH66"/>
  <sheetViews>
    <sheetView workbookViewId="0">
      <selection activeCell="N3" sqref="N3"/>
    </sheetView>
  </sheetViews>
  <sheetFormatPr defaultColWidth="9.140625" defaultRowHeight="15" outlineLevelCol="1" x14ac:dyDescent="0.25"/>
  <cols>
    <col min="1" max="1" width="37.7109375" style="46" customWidth="1"/>
    <col min="2" max="2" width="12.28515625" style="46" bestFit="1" customWidth="1"/>
    <col min="3" max="3" width="12.42578125" style="46" bestFit="1" customWidth="1"/>
    <col min="4" max="4" width="15.42578125" style="46" customWidth="1"/>
    <col min="5" max="5" width="15.85546875" style="46" bestFit="1" customWidth="1"/>
    <col min="6" max="6" width="12.28515625" style="46" bestFit="1" customWidth="1"/>
    <col min="7" max="8" width="13.28515625" style="46" bestFit="1" customWidth="1"/>
    <col min="9" max="9" width="12.28515625" style="46" bestFit="1" customWidth="1"/>
    <col min="10" max="10" width="12.42578125" style="46" customWidth="1"/>
    <col min="11" max="11" width="12.85546875" style="46" customWidth="1"/>
    <col min="12" max="12" width="16" style="46" customWidth="1"/>
    <col min="13" max="13" width="15" style="46" bestFit="1" customWidth="1"/>
    <col min="14" max="14" width="16" style="46" bestFit="1" customWidth="1"/>
    <col min="15" max="15" width="15.28515625" style="46" bestFit="1" customWidth="1" outlineLevel="1"/>
    <col min="16" max="16" width="17.42578125" style="46" bestFit="1" customWidth="1"/>
    <col min="17" max="17" width="16.28515625" style="46" bestFit="1" customWidth="1"/>
    <col min="18" max="18" width="15.28515625" style="46" bestFit="1" customWidth="1"/>
    <col min="19" max="19" width="12.42578125" style="46" customWidth="1"/>
    <col min="20" max="21" width="14.28515625" style="46" bestFit="1" customWidth="1"/>
    <col min="22" max="16384" width="9.140625" style="46"/>
  </cols>
  <sheetData>
    <row r="1" spans="1:34" x14ac:dyDescent="0.25">
      <c r="A1" s="3" t="str">
        <f>+'PPC Cycle 3'!A1</f>
        <v>Evergy Metro, Inc. - DSIM Rider Update Filed 12/01/2023</v>
      </c>
      <c r="B1" s="3"/>
      <c r="C1" s="3"/>
    </row>
    <row r="2" spans="1:34" x14ac:dyDescent="0.25">
      <c r="D2" s="3" t="s">
        <v>175</v>
      </c>
    </row>
    <row r="3" spans="1:34" ht="30" x14ac:dyDescent="0.25">
      <c r="D3" s="48" t="s">
        <v>46</v>
      </c>
      <c r="E3" s="70" t="s">
        <v>17</v>
      </c>
      <c r="F3" s="48" t="s">
        <v>3</v>
      </c>
      <c r="G3" s="70" t="s">
        <v>55</v>
      </c>
      <c r="H3" s="48" t="s">
        <v>10</v>
      </c>
      <c r="I3" s="48" t="s">
        <v>18</v>
      </c>
      <c r="R3" s="48"/>
    </row>
    <row r="4" spans="1:34" x14ac:dyDescent="0.25">
      <c r="A4" s="20" t="s">
        <v>24</v>
      </c>
      <c r="B4" s="20"/>
      <c r="C4" s="20"/>
      <c r="D4" s="22">
        <f>SUM(C16:L16)</f>
        <v>-185029.06129999997</v>
      </c>
      <c r="E4" s="22">
        <f>SUM(C23:K23)</f>
        <v>0</v>
      </c>
      <c r="F4" s="22">
        <f>E4-D4</f>
        <v>185029.06129999997</v>
      </c>
      <c r="G4" s="22">
        <f>+B39</f>
        <v>-306188.72538000002</v>
      </c>
      <c r="H4" s="22">
        <f>SUM(C47:K47)</f>
        <v>-7877.37</v>
      </c>
      <c r="I4" s="25">
        <f>SUM(F4:H4)</f>
        <v>-129037.03408000004</v>
      </c>
      <c r="J4" s="47">
        <f>+I4-L39</f>
        <v>0</v>
      </c>
      <c r="M4" s="47"/>
    </row>
    <row r="5" spans="1:34" x14ac:dyDescent="0.25">
      <c r="A5" s="20" t="s">
        <v>107</v>
      </c>
      <c r="B5" s="20"/>
      <c r="C5" s="20"/>
      <c r="D5" s="22">
        <f t="shared" ref="D5:D7" si="0">SUM(C17:L17)</f>
        <v>0</v>
      </c>
      <c r="E5" s="22">
        <f t="shared" ref="E5:E7" si="1">SUM(C24:K24)</f>
        <v>0</v>
      </c>
      <c r="F5" s="22">
        <f t="shared" ref="F5:F7" si="2">E5-D5</f>
        <v>0</v>
      </c>
      <c r="G5" s="22">
        <f t="shared" ref="G5:G7" si="3">+B40</f>
        <v>-310.88000000000068</v>
      </c>
      <c r="H5" s="22">
        <f t="shared" ref="H5:H7" si="4">SUM(C48:K48)</f>
        <v>-8.4699999999999989</v>
      </c>
      <c r="I5" s="25">
        <f t="shared" ref="I5:I7" si="5">SUM(F5:H5)</f>
        <v>-319.3500000000007</v>
      </c>
      <c r="J5" s="47">
        <f t="shared" ref="J5:J7" si="6">+I5-L40</f>
        <v>0</v>
      </c>
      <c r="M5" s="47"/>
    </row>
    <row r="6" spans="1:34" x14ac:dyDescent="0.25">
      <c r="A6" s="20" t="s">
        <v>108</v>
      </c>
      <c r="B6" s="20"/>
      <c r="C6" s="20"/>
      <c r="D6" s="22">
        <f t="shared" si="0"/>
        <v>0</v>
      </c>
      <c r="E6" s="22">
        <f t="shared" si="1"/>
        <v>0</v>
      </c>
      <c r="F6" s="22">
        <f t="shared" si="2"/>
        <v>0</v>
      </c>
      <c r="G6" s="22">
        <f t="shared" si="3"/>
        <v>-238.21000000000049</v>
      </c>
      <c r="H6" s="22">
        <f t="shared" si="4"/>
        <v>-6.5</v>
      </c>
      <c r="I6" s="25">
        <f t="shared" si="5"/>
        <v>-244.71000000000049</v>
      </c>
      <c r="J6" s="47">
        <f t="shared" si="6"/>
        <v>0</v>
      </c>
      <c r="M6" s="47"/>
    </row>
    <row r="7" spans="1:34" x14ac:dyDescent="0.25">
      <c r="A7" s="20" t="s">
        <v>109</v>
      </c>
      <c r="B7" s="20"/>
      <c r="C7" s="20"/>
      <c r="D7" s="22">
        <f t="shared" si="0"/>
        <v>0</v>
      </c>
      <c r="E7" s="22">
        <f t="shared" si="1"/>
        <v>0</v>
      </c>
      <c r="F7" s="22">
        <f t="shared" si="2"/>
        <v>0</v>
      </c>
      <c r="G7" s="22">
        <f t="shared" si="3"/>
        <v>912.29000000000008</v>
      </c>
      <c r="H7" s="22">
        <f t="shared" si="4"/>
        <v>24.93</v>
      </c>
      <c r="I7" s="25">
        <f t="shared" si="5"/>
        <v>937.22</v>
      </c>
      <c r="J7" s="47">
        <f t="shared" si="6"/>
        <v>0</v>
      </c>
      <c r="M7" s="47"/>
    </row>
    <row r="8" spans="1:34" ht="15.75" thickBot="1" x14ac:dyDescent="0.3">
      <c r="A8" s="20" t="s">
        <v>110</v>
      </c>
      <c r="B8" s="20"/>
      <c r="C8" s="20"/>
      <c r="D8" s="22">
        <f>SUM(C20:L20)</f>
        <v>0</v>
      </c>
      <c r="E8" s="22">
        <f>SUM(C27:K27)</f>
        <v>0</v>
      </c>
      <c r="F8" s="22">
        <f>E8-D8</f>
        <v>0</v>
      </c>
      <c r="G8" s="22">
        <f>+B43</f>
        <v>-363.21000000000021</v>
      </c>
      <c r="H8" s="22">
        <f>SUM(C51:K51)</f>
        <v>-9.94</v>
      </c>
      <c r="I8" s="25">
        <f>SUM(F8:H8)</f>
        <v>-373.1500000000002</v>
      </c>
      <c r="J8" s="47">
        <f>+I8-L43</f>
        <v>0</v>
      </c>
      <c r="M8" s="47"/>
    </row>
    <row r="9" spans="1:34" ht="16.5" thickTop="1" thickBot="1" x14ac:dyDescent="0.3">
      <c r="D9" s="27">
        <f t="shared" ref="D9" si="7">SUM(D4:D8)</f>
        <v>-185029.06129999997</v>
      </c>
      <c r="E9" s="27">
        <f>SUM(E4:E8)</f>
        <v>0</v>
      </c>
      <c r="F9" s="27">
        <f>SUM(F4:F8)</f>
        <v>185029.06129999997</v>
      </c>
      <c r="G9" s="27">
        <f>SUM(G4:G8)</f>
        <v>-306188.73538000009</v>
      </c>
      <c r="H9" s="27">
        <f>SUM(H4:H8)</f>
        <v>-7877.3499999999995</v>
      </c>
      <c r="I9" s="27">
        <f>SUM(I4:I8)</f>
        <v>-129037.02408000005</v>
      </c>
      <c r="S9" s="5"/>
    </row>
    <row r="10" spans="1:34" ht="16.5" thickTop="1" thickBot="1" x14ac:dyDescent="0.3">
      <c r="U10" s="4"/>
      <c r="V10" s="5"/>
    </row>
    <row r="11" spans="1:34" ht="105.75" thickBot="1" x14ac:dyDescent="0.3">
      <c r="B11" s="115" t="str">
        <f>+'PCR Cycle 2'!B14</f>
        <v>Cumulative Over/Under Carryover From 6/01/2023 Filing</v>
      </c>
      <c r="C11" s="149" t="str">
        <f>+'PCR Cycle 2'!C14</f>
        <v>Reverse May 2023 - July 2023 Forecast From 6/01/2023 Filing</v>
      </c>
      <c r="D11" s="332" t="s">
        <v>33</v>
      </c>
      <c r="E11" s="332"/>
      <c r="F11" s="333"/>
      <c r="G11" s="338" t="s">
        <v>33</v>
      </c>
      <c r="H11" s="339"/>
      <c r="I11" s="340"/>
      <c r="J11" s="328" t="s">
        <v>8</v>
      </c>
      <c r="K11" s="329"/>
      <c r="L11" s="330"/>
      <c r="O11" s="292" t="s">
        <v>284</v>
      </c>
    </row>
    <row r="12" spans="1:34" x14ac:dyDescent="0.25">
      <c r="A12" s="46" t="s">
        <v>91</v>
      </c>
      <c r="C12" s="105"/>
      <c r="D12" s="19">
        <f>+'PCR Cycle 2'!E15</f>
        <v>45077</v>
      </c>
      <c r="E12" s="19">
        <f t="shared" ref="E12:L12" si="8">EOMONTH(D12,1)</f>
        <v>45107</v>
      </c>
      <c r="F12" s="19">
        <f t="shared" si="8"/>
        <v>45138</v>
      </c>
      <c r="G12" s="14">
        <f t="shared" si="8"/>
        <v>45169</v>
      </c>
      <c r="H12" s="19">
        <f t="shared" si="8"/>
        <v>45199</v>
      </c>
      <c r="I12" s="15">
        <f t="shared" si="8"/>
        <v>45230</v>
      </c>
      <c r="J12" s="19">
        <f t="shared" si="8"/>
        <v>45260</v>
      </c>
      <c r="K12" s="19">
        <f t="shared" si="8"/>
        <v>45291</v>
      </c>
      <c r="L12" s="15">
        <f t="shared" si="8"/>
        <v>45322</v>
      </c>
      <c r="Y12" s="1"/>
      <c r="Z12" s="1"/>
      <c r="AA12" s="1"/>
      <c r="AB12" s="1"/>
      <c r="AC12" s="1"/>
      <c r="AD12" s="1"/>
      <c r="AE12" s="1"/>
      <c r="AF12" s="1"/>
      <c r="AG12" s="1"/>
      <c r="AH12" s="1"/>
    </row>
    <row r="13" spans="1:34" x14ac:dyDescent="0.25">
      <c r="A13" s="46" t="s">
        <v>5</v>
      </c>
      <c r="C13" s="97">
        <v>0</v>
      </c>
      <c r="D13" s="109">
        <f>SUM(D23:D27)</f>
        <v>0</v>
      </c>
      <c r="E13" s="109">
        <f t="shared" ref="E13:H13" si="9">SUM(E23:E27)</f>
        <v>0</v>
      </c>
      <c r="F13" s="110">
        <f t="shared" si="9"/>
        <v>0</v>
      </c>
      <c r="G13" s="16">
        <f t="shared" si="9"/>
        <v>0</v>
      </c>
      <c r="H13" s="55">
        <f t="shared" si="9"/>
        <v>0</v>
      </c>
      <c r="I13" s="162">
        <f>+I23+I27</f>
        <v>0</v>
      </c>
      <c r="J13" s="155">
        <f t="shared" ref="J13:K13" si="10">+J23+J27</f>
        <v>0</v>
      </c>
      <c r="K13" s="78">
        <f t="shared" si="10"/>
        <v>0</v>
      </c>
      <c r="L13" s="79"/>
      <c r="O13" s="47">
        <f>-SUM(J13:L13)</f>
        <v>0</v>
      </c>
    </row>
    <row r="14" spans="1:34" x14ac:dyDescent="0.25">
      <c r="C14" s="99"/>
      <c r="D14" s="17"/>
      <c r="E14" s="17"/>
      <c r="F14" s="17"/>
      <c r="G14" s="10"/>
      <c r="H14" s="17"/>
      <c r="I14" s="11"/>
      <c r="J14" s="31"/>
      <c r="K14" s="31"/>
      <c r="L14" s="29"/>
    </row>
    <row r="15" spans="1:34" x14ac:dyDescent="0.25">
      <c r="A15" s="46" t="s">
        <v>90</v>
      </c>
      <c r="C15" s="99"/>
      <c r="D15" s="18"/>
      <c r="E15" s="18"/>
      <c r="F15" s="18"/>
      <c r="G15" s="91"/>
      <c r="H15" s="18"/>
      <c r="I15" s="163"/>
      <c r="J15" s="31"/>
      <c r="K15" s="31"/>
      <c r="L15" s="29"/>
      <c r="M15" s="3" t="s">
        <v>50</v>
      </c>
      <c r="N15" s="39"/>
    </row>
    <row r="16" spans="1:34" x14ac:dyDescent="0.25">
      <c r="A16" s="46" t="s">
        <v>24</v>
      </c>
      <c r="C16" s="97">
        <v>114793.98462</v>
      </c>
      <c r="D16" s="132">
        <f>'[4]May 2023'!$G112</f>
        <v>-27646.54</v>
      </c>
      <c r="E16" s="132">
        <f>'[4]June 2023'!$G112</f>
        <v>-37746.559999999998</v>
      </c>
      <c r="F16" s="184">
        <f>'[4]July 2023'!$G112</f>
        <v>-50138.59</v>
      </c>
      <c r="G16" s="16">
        <f>'[4]August 2023'!$G112</f>
        <v>-45782.61</v>
      </c>
      <c r="H16" s="118">
        <f>'[4]September 2023'!$G112</f>
        <v>-34314.35</v>
      </c>
      <c r="I16" s="164">
        <f>'[4]October 2023'!$G112</f>
        <v>-23065.73</v>
      </c>
      <c r="J16" s="120">
        <f>'PCR Cycle 2'!K27*$M16</f>
        <v>-20083.442159999999</v>
      </c>
      <c r="K16" s="41">
        <f>'PCR Cycle 2'!L27*$M16</f>
        <v>-28636.109520000002</v>
      </c>
      <c r="L16" s="61">
        <f>'PCR Cycle 2'!M27*$M16</f>
        <v>-32409.114240000003</v>
      </c>
      <c r="M16" s="72">
        <v>-1.2E-4</v>
      </c>
      <c r="N16" s="4"/>
      <c r="O16" s="47">
        <f>-SUM(J16:L16)</f>
        <v>81128.665919999999</v>
      </c>
    </row>
    <row r="17" spans="1:15" x14ac:dyDescent="0.25">
      <c r="A17" s="46" t="s">
        <v>135</v>
      </c>
      <c r="C17" s="97">
        <v>0</v>
      </c>
      <c r="D17" s="132">
        <f>'[4]May 2023'!$G113</f>
        <v>0</v>
      </c>
      <c r="E17" s="132">
        <f>'[4]June 2023'!$G113</f>
        <v>0</v>
      </c>
      <c r="F17" s="184">
        <f>'[4]July 2023'!$G113</f>
        <v>0</v>
      </c>
      <c r="G17" s="16">
        <f>'[4]August 2023'!$G113</f>
        <v>0</v>
      </c>
      <c r="H17" s="118">
        <f>'[4]September 2023'!$G113</f>
        <v>0</v>
      </c>
      <c r="I17" s="164">
        <f>'[4]October 2023'!$G113</f>
        <v>0</v>
      </c>
      <c r="J17" s="120">
        <f>'PCR Cycle 2'!K28*$M17</f>
        <v>0</v>
      </c>
      <c r="K17" s="41">
        <f>'PCR Cycle 2'!L28*$M17</f>
        <v>0</v>
      </c>
      <c r="L17" s="61">
        <f>'PCR Cycle 2'!M28*$M17</f>
        <v>0</v>
      </c>
      <c r="M17" s="72">
        <v>0</v>
      </c>
      <c r="N17" s="4"/>
      <c r="O17" s="47">
        <f t="shared" ref="O17:O20" si="11">-SUM(J17:L17)</f>
        <v>0</v>
      </c>
    </row>
    <row r="18" spans="1:15" x14ac:dyDescent="0.25">
      <c r="A18" s="46" t="s">
        <v>136</v>
      </c>
      <c r="C18" s="97">
        <v>0</v>
      </c>
      <c r="D18" s="132">
        <f>'[4]May 2023'!$G114</f>
        <v>0</v>
      </c>
      <c r="E18" s="132">
        <f>'[4]June 2023'!$G114</f>
        <v>0</v>
      </c>
      <c r="F18" s="184">
        <f>'[4]July 2023'!$G114</f>
        <v>0</v>
      </c>
      <c r="G18" s="16">
        <f>'[4]August 2023'!$G114</f>
        <v>0</v>
      </c>
      <c r="H18" s="118">
        <f>'[4]September 2023'!$G114</f>
        <v>0</v>
      </c>
      <c r="I18" s="164">
        <f>'[4]October 2023'!$G114</f>
        <v>0</v>
      </c>
      <c r="J18" s="120">
        <f>'PCR Cycle 2'!K29*$M18</f>
        <v>0</v>
      </c>
      <c r="K18" s="41">
        <f>'PCR Cycle 2'!L29*$M18</f>
        <v>0</v>
      </c>
      <c r="L18" s="61">
        <f>'PCR Cycle 2'!M29*$M18</f>
        <v>0</v>
      </c>
      <c r="M18" s="72">
        <v>0</v>
      </c>
      <c r="N18" s="4"/>
      <c r="O18" s="47">
        <f t="shared" si="11"/>
        <v>0</v>
      </c>
    </row>
    <row r="19" spans="1:15" x14ac:dyDescent="0.25">
      <c r="A19" s="46" t="s">
        <v>137</v>
      </c>
      <c r="C19" s="97">
        <v>0</v>
      </c>
      <c r="D19" s="132">
        <f>'[4]May 2023'!$G115</f>
        <v>0</v>
      </c>
      <c r="E19" s="132">
        <f>'[4]June 2023'!$G115</f>
        <v>0</v>
      </c>
      <c r="F19" s="184">
        <f>'[4]July 2023'!$G115</f>
        <v>0</v>
      </c>
      <c r="G19" s="16">
        <f>'[4]August 2023'!$G115</f>
        <v>0</v>
      </c>
      <c r="H19" s="118">
        <f>'[4]September 2023'!$G115</f>
        <v>0</v>
      </c>
      <c r="I19" s="164">
        <f>'[4]October 2023'!$G115</f>
        <v>0</v>
      </c>
      <c r="J19" s="120">
        <f>'PCR Cycle 2'!K30*$M19</f>
        <v>0</v>
      </c>
      <c r="K19" s="41">
        <f>'PCR Cycle 2'!L30*$M19</f>
        <v>0</v>
      </c>
      <c r="L19" s="61">
        <f>'PCR Cycle 2'!M30*$M19</f>
        <v>0</v>
      </c>
      <c r="M19" s="72">
        <v>0</v>
      </c>
      <c r="N19" s="4"/>
      <c r="O19" s="47">
        <f t="shared" si="11"/>
        <v>0</v>
      </c>
    </row>
    <row r="20" spans="1:15" x14ac:dyDescent="0.25">
      <c r="A20" s="46" t="s">
        <v>138</v>
      </c>
      <c r="C20" s="97">
        <v>0</v>
      </c>
      <c r="D20" s="132">
        <f>'[4]May 2023'!$G116</f>
        <v>0</v>
      </c>
      <c r="E20" s="132">
        <f>'[4]June 2023'!$G116</f>
        <v>0</v>
      </c>
      <c r="F20" s="184">
        <f>'[4]July 2023'!$G116</f>
        <v>0</v>
      </c>
      <c r="G20" s="16">
        <f>'[4]August 2023'!$G116</f>
        <v>0</v>
      </c>
      <c r="H20" s="118">
        <f>'[4]September 2023'!$G116</f>
        <v>0</v>
      </c>
      <c r="I20" s="164">
        <f>'[4]October 2023'!$G116</f>
        <v>0</v>
      </c>
      <c r="J20" s="120">
        <f>SUM('PCR Cycle 2'!K28:K31)*$M20</f>
        <v>0</v>
      </c>
      <c r="K20" s="41">
        <f>SUM('PCR Cycle 2'!L28:L31)*$M20</f>
        <v>0</v>
      </c>
      <c r="L20" s="61">
        <f>SUM('PCR Cycle 2'!M28:M31)*$M20</f>
        <v>0</v>
      </c>
      <c r="M20" s="72">
        <v>0</v>
      </c>
      <c r="N20" s="4"/>
      <c r="O20" s="47">
        <f t="shared" si="11"/>
        <v>0</v>
      </c>
    </row>
    <row r="21" spans="1:15" x14ac:dyDescent="0.25">
      <c r="C21" s="67"/>
      <c r="D21" s="68"/>
      <c r="E21" s="68"/>
      <c r="F21" s="68"/>
      <c r="G21" s="98"/>
      <c r="H21" s="68"/>
      <c r="I21" s="165"/>
      <c r="J21" s="56"/>
      <c r="K21" s="56"/>
      <c r="L21" s="13"/>
      <c r="N21" s="4"/>
    </row>
    <row r="22" spans="1:15" x14ac:dyDescent="0.25">
      <c r="A22" s="46" t="s">
        <v>92</v>
      </c>
      <c r="C22" s="36"/>
      <c r="D22" s="37"/>
      <c r="E22" s="37"/>
      <c r="F22" s="37"/>
      <c r="G22" s="36"/>
      <c r="H22" s="37"/>
      <c r="I22" s="168"/>
      <c r="J22" s="52"/>
      <c r="K22" s="52"/>
      <c r="L22" s="38"/>
    </row>
    <row r="23" spans="1:15" x14ac:dyDescent="0.25">
      <c r="A23" s="46" t="s">
        <v>24</v>
      </c>
      <c r="C23" s="97">
        <v>0</v>
      </c>
      <c r="D23" s="109">
        <v>0</v>
      </c>
      <c r="E23" s="109">
        <v>0</v>
      </c>
      <c r="F23" s="110">
        <v>0</v>
      </c>
      <c r="G23" s="16">
        <v>0</v>
      </c>
      <c r="H23" s="55">
        <v>0</v>
      </c>
      <c r="I23" s="162">
        <v>0</v>
      </c>
      <c r="J23" s="157">
        <v>0</v>
      </c>
      <c r="K23" s="139">
        <v>0</v>
      </c>
      <c r="L23" s="79"/>
      <c r="O23" s="47">
        <f>-SUM(J23:L23)</f>
        <v>0</v>
      </c>
    </row>
    <row r="24" spans="1:15" x14ac:dyDescent="0.25">
      <c r="A24" s="46" t="s">
        <v>135</v>
      </c>
      <c r="C24" s="97">
        <v>0</v>
      </c>
      <c r="D24" s="109">
        <v>0</v>
      </c>
      <c r="E24" s="109">
        <v>0</v>
      </c>
      <c r="F24" s="110">
        <v>0</v>
      </c>
      <c r="G24" s="16">
        <v>0</v>
      </c>
      <c r="H24" s="55">
        <v>0</v>
      </c>
      <c r="I24" s="162">
        <v>0</v>
      </c>
      <c r="J24" s="157">
        <v>0</v>
      </c>
      <c r="K24" s="139">
        <v>0</v>
      </c>
      <c r="L24" s="79"/>
      <c r="O24" s="47">
        <f t="shared" ref="O24:O29" si="12">-SUM(J24:L24)</f>
        <v>0</v>
      </c>
    </row>
    <row r="25" spans="1:15" x14ac:dyDescent="0.25">
      <c r="A25" s="46" t="s">
        <v>136</v>
      </c>
      <c r="C25" s="97">
        <v>0</v>
      </c>
      <c r="D25" s="109">
        <v>0</v>
      </c>
      <c r="E25" s="109">
        <v>0</v>
      </c>
      <c r="F25" s="110">
        <v>0</v>
      </c>
      <c r="G25" s="16">
        <v>0</v>
      </c>
      <c r="H25" s="55">
        <v>0</v>
      </c>
      <c r="I25" s="162">
        <v>0</v>
      </c>
      <c r="J25" s="157">
        <v>0</v>
      </c>
      <c r="K25" s="139">
        <v>0</v>
      </c>
      <c r="L25" s="79"/>
      <c r="O25" s="47">
        <f t="shared" si="12"/>
        <v>0</v>
      </c>
    </row>
    <row r="26" spans="1:15" x14ac:dyDescent="0.25">
      <c r="A26" s="46" t="s">
        <v>137</v>
      </c>
      <c r="C26" s="97">
        <v>0</v>
      </c>
      <c r="D26" s="109">
        <v>0</v>
      </c>
      <c r="E26" s="109">
        <v>0</v>
      </c>
      <c r="F26" s="110">
        <v>0</v>
      </c>
      <c r="G26" s="16">
        <v>0</v>
      </c>
      <c r="H26" s="55">
        <v>0</v>
      </c>
      <c r="I26" s="162">
        <v>0</v>
      </c>
      <c r="J26" s="157">
        <v>0</v>
      </c>
      <c r="K26" s="139">
        <v>0</v>
      </c>
      <c r="L26" s="79"/>
      <c r="O26" s="47">
        <f t="shared" si="12"/>
        <v>0</v>
      </c>
    </row>
    <row r="27" spans="1:15" x14ac:dyDescent="0.25">
      <c r="A27" s="46" t="s">
        <v>138</v>
      </c>
      <c r="C27" s="97">
        <v>0</v>
      </c>
      <c r="D27" s="109">
        <v>0</v>
      </c>
      <c r="E27" s="109">
        <v>0</v>
      </c>
      <c r="F27" s="110">
        <v>0</v>
      </c>
      <c r="G27" s="16">
        <v>0</v>
      </c>
      <c r="H27" s="55">
        <v>0</v>
      </c>
      <c r="I27" s="162">
        <v>0</v>
      </c>
      <c r="J27" s="157">
        <v>0</v>
      </c>
      <c r="K27" s="139">
        <v>0</v>
      </c>
      <c r="L27" s="79"/>
      <c r="N27" s="47"/>
      <c r="O27" s="47">
        <f t="shared" si="12"/>
        <v>0</v>
      </c>
    </row>
    <row r="28" spans="1:15" x14ac:dyDescent="0.25">
      <c r="C28" s="99"/>
      <c r="D28" s="18"/>
      <c r="E28" s="18"/>
      <c r="F28" s="18"/>
      <c r="G28" s="91"/>
      <c r="H28" s="18"/>
      <c r="I28" s="163"/>
      <c r="J28" s="56"/>
      <c r="K28" s="56"/>
      <c r="L28" s="13"/>
    </row>
    <row r="29" spans="1:15" ht="15.75" thickBot="1" x14ac:dyDescent="0.3">
      <c r="A29" s="3" t="s">
        <v>14</v>
      </c>
      <c r="B29" s="3"/>
      <c r="C29" s="103">
        <v>3855.1</v>
      </c>
      <c r="D29" s="132">
        <v>-2058.65</v>
      </c>
      <c r="E29" s="132">
        <v>-1919.37</v>
      </c>
      <c r="F29" s="133">
        <v>-1746.48</v>
      </c>
      <c r="G29" s="26">
        <v>-1521.23</v>
      </c>
      <c r="H29" s="119">
        <v>-1316.55</v>
      </c>
      <c r="I29" s="169">
        <v>-1171.26</v>
      </c>
      <c r="J29" s="158">
        <v>-1061.9000000000001</v>
      </c>
      <c r="K29" s="141">
        <v>-937.02</v>
      </c>
      <c r="L29" s="82"/>
      <c r="O29" s="47">
        <f t="shared" si="12"/>
        <v>1998.92</v>
      </c>
    </row>
    <row r="30" spans="1:15" x14ac:dyDescent="0.25">
      <c r="C30" s="64"/>
      <c r="D30" s="145"/>
      <c r="E30" s="145"/>
      <c r="F30" s="146"/>
      <c r="G30" s="64"/>
      <c r="H30" s="33"/>
      <c r="I30" s="170"/>
      <c r="J30" s="34"/>
      <c r="K30" s="34"/>
      <c r="L30" s="60"/>
    </row>
    <row r="31" spans="1:15" x14ac:dyDescent="0.25">
      <c r="A31" s="46" t="s">
        <v>52</v>
      </c>
      <c r="C31" s="65"/>
      <c r="D31" s="146"/>
      <c r="E31" s="146"/>
      <c r="F31" s="146"/>
      <c r="G31" s="65"/>
      <c r="H31" s="35"/>
      <c r="I31" s="171"/>
      <c r="J31" s="34"/>
      <c r="K31" s="34"/>
      <c r="L31" s="60"/>
    </row>
    <row r="32" spans="1:15" x14ac:dyDescent="0.25">
      <c r="A32" s="46" t="s">
        <v>24</v>
      </c>
      <c r="C32" s="100">
        <f t="shared" ref="C32:L32" si="13">C23-C16</f>
        <v>-114793.98462</v>
      </c>
      <c r="D32" s="41">
        <f t="shared" si="13"/>
        <v>27646.54</v>
      </c>
      <c r="E32" s="41">
        <f t="shared" si="13"/>
        <v>37746.559999999998</v>
      </c>
      <c r="F32" s="108">
        <f t="shared" si="13"/>
        <v>50138.59</v>
      </c>
      <c r="G32" s="40">
        <f t="shared" si="13"/>
        <v>45782.61</v>
      </c>
      <c r="H32" s="41">
        <f t="shared" si="13"/>
        <v>34314.35</v>
      </c>
      <c r="I32" s="61">
        <f t="shared" si="13"/>
        <v>23065.73</v>
      </c>
      <c r="J32" s="120">
        <f t="shared" si="13"/>
        <v>20083.442159999999</v>
      </c>
      <c r="K32" s="41">
        <f t="shared" si="13"/>
        <v>28636.109520000002</v>
      </c>
      <c r="L32" s="61">
        <f t="shared" si="13"/>
        <v>32409.114240000003</v>
      </c>
    </row>
    <row r="33" spans="1:15" x14ac:dyDescent="0.25">
      <c r="A33" s="46" t="s">
        <v>135</v>
      </c>
      <c r="C33" s="100">
        <f t="shared" ref="C33:L33" si="14">C24-C17</f>
        <v>0</v>
      </c>
      <c r="D33" s="41">
        <f t="shared" si="14"/>
        <v>0</v>
      </c>
      <c r="E33" s="41">
        <f t="shared" si="14"/>
        <v>0</v>
      </c>
      <c r="F33" s="108">
        <f t="shared" si="14"/>
        <v>0</v>
      </c>
      <c r="G33" s="40">
        <f t="shared" si="14"/>
        <v>0</v>
      </c>
      <c r="H33" s="41">
        <f t="shared" si="14"/>
        <v>0</v>
      </c>
      <c r="I33" s="61">
        <f t="shared" si="14"/>
        <v>0</v>
      </c>
      <c r="J33" s="120">
        <f t="shared" si="14"/>
        <v>0</v>
      </c>
      <c r="K33" s="41">
        <f t="shared" si="14"/>
        <v>0</v>
      </c>
      <c r="L33" s="61">
        <f t="shared" si="14"/>
        <v>0</v>
      </c>
    </row>
    <row r="34" spans="1:15" x14ac:dyDescent="0.25">
      <c r="A34" s="46" t="s">
        <v>136</v>
      </c>
      <c r="C34" s="100">
        <f t="shared" ref="C34:L34" si="15">C25-C18</f>
        <v>0</v>
      </c>
      <c r="D34" s="41">
        <f t="shared" si="15"/>
        <v>0</v>
      </c>
      <c r="E34" s="41">
        <f t="shared" si="15"/>
        <v>0</v>
      </c>
      <c r="F34" s="108">
        <f t="shared" si="15"/>
        <v>0</v>
      </c>
      <c r="G34" s="40">
        <f t="shared" si="15"/>
        <v>0</v>
      </c>
      <c r="H34" s="41">
        <f t="shared" si="15"/>
        <v>0</v>
      </c>
      <c r="I34" s="61">
        <f t="shared" si="15"/>
        <v>0</v>
      </c>
      <c r="J34" s="120">
        <f t="shared" si="15"/>
        <v>0</v>
      </c>
      <c r="K34" s="41">
        <f t="shared" si="15"/>
        <v>0</v>
      </c>
      <c r="L34" s="61">
        <f t="shared" si="15"/>
        <v>0</v>
      </c>
    </row>
    <row r="35" spans="1:15" x14ac:dyDescent="0.25">
      <c r="A35" s="46" t="s">
        <v>137</v>
      </c>
      <c r="C35" s="100">
        <f t="shared" ref="C35:L35" si="16">C26-C19</f>
        <v>0</v>
      </c>
      <c r="D35" s="41">
        <f t="shared" si="16"/>
        <v>0</v>
      </c>
      <c r="E35" s="41">
        <f t="shared" si="16"/>
        <v>0</v>
      </c>
      <c r="F35" s="108">
        <f t="shared" si="16"/>
        <v>0</v>
      </c>
      <c r="G35" s="40">
        <f t="shared" si="16"/>
        <v>0</v>
      </c>
      <c r="H35" s="41">
        <f t="shared" si="16"/>
        <v>0</v>
      </c>
      <c r="I35" s="61">
        <f t="shared" si="16"/>
        <v>0</v>
      </c>
      <c r="J35" s="120">
        <f t="shared" si="16"/>
        <v>0</v>
      </c>
      <c r="K35" s="41">
        <f t="shared" si="16"/>
        <v>0</v>
      </c>
      <c r="L35" s="61">
        <f t="shared" si="16"/>
        <v>0</v>
      </c>
    </row>
    <row r="36" spans="1:15" x14ac:dyDescent="0.25">
      <c r="A36" s="46" t="s">
        <v>138</v>
      </c>
      <c r="C36" s="100">
        <f t="shared" ref="C36:L36" si="17">C27-C20</f>
        <v>0</v>
      </c>
      <c r="D36" s="41">
        <f t="shared" si="17"/>
        <v>0</v>
      </c>
      <c r="E36" s="41">
        <f t="shared" si="17"/>
        <v>0</v>
      </c>
      <c r="F36" s="108">
        <f t="shared" si="17"/>
        <v>0</v>
      </c>
      <c r="G36" s="40">
        <f t="shared" si="17"/>
        <v>0</v>
      </c>
      <c r="H36" s="41">
        <f t="shared" si="17"/>
        <v>0</v>
      </c>
      <c r="I36" s="61">
        <f t="shared" si="17"/>
        <v>0</v>
      </c>
      <c r="J36" s="120">
        <f t="shared" si="17"/>
        <v>0</v>
      </c>
      <c r="K36" s="41">
        <f t="shared" si="17"/>
        <v>0</v>
      </c>
      <c r="L36" s="61">
        <f t="shared" si="17"/>
        <v>0</v>
      </c>
    </row>
    <row r="37" spans="1:15" x14ac:dyDescent="0.25">
      <c r="C37" s="99"/>
      <c r="D37" s="17"/>
      <c r="E37" s="17"/>
      <c r="F37" s="17"/>
      <c r="G37" s="10"/>
      <c r="H37" s="17"/>
      <c r="I37" s="11"/>
      <c r="J37" s="17"/>
      <c r="K37" s="17"/>
      <c r="L37" s="11"/>
    </row>
    <row r="38" spans="1:15" x14ac:dyDescent="0.25">
      <c r="A38" s="46" t="s">
        <v>53</v>
      </c>
      <c r="C38" s="99"/>
      <c r="D38" s="17"/>
      <c r="E38" s="17"/>
      <c r="F38" s="17"/>
      <c r="G38" s="10"/>
      <c r="H38" s="17"/>
      <c r="I38" s="11"/>
      <c r="J38" s="17"/>
      <c r="K38" s="17"/>
      <c r="L38" s="11"/>
    </row>
    <row r="39" spans="1:15" x14ac:dyDescent="0.25">
      <c r="A39" s="46" t="s">
        <v>24</v>
      </c>
      <c r="B39" s="315">
        <v>-306188.72538000002</v>
      </c>
      <c r="C39" s="100">
        <f t="shared" ref="C39:L39" si="18">B39+C32+B47</f>
        <v>-420982.71</v>
      </c>
      <c r="D39" s="41">
        <f t="shared" si="18"/>
        <v>-389481.07000000007</v>
      </c>
      <c r="E39" s="41">
        <f t="shared" si="18"/>
        <v>-353793.16000000009</v>
      </c>
      <c r="F39" s="108">
        <f t="shared" si="18"/>
        <v>-305573.94000000006</v>
      </c>
      <c r="G39" s="40">
        <f t="shared" si="18"/>
        <v>-261537.81000000008</v>
      </c>
      <c r="H39" s="41">
        <f t="shared" si="18"/>
        <v>-228744.69000000009</v>
      </c>
      <c r="I39" s="61">
        <f t="shared" si="18"/>
        <v>-206995.51000000007</v>
      </c>
      <c r="J39" s="120">
        <f t="shared" si="18"/>
        <v>-188083.32784000007</v>
      </c>
      <c r="K39" s="41">
        <f t="shared" si="18"/>
        <v>-160509.11832000007</v>
      </c>
      <c r="L39" s="61">
        <f t="shared" si="18"/>
        <v>-129037.03408000007</v>
      </c>
    </row>
    <row r="40" spans="1:15" x14ac:dyDescent="0.25">
      <c r="A40" s="46" t="s">
        <v>135</v>
      </c>
      <c r="B40" s="315">
        <v>-310.88000000000068</v>
      </c>
      <c r="C40" s="100">
        <f t="shared" ref="C40:L40" si="19">B40+C33+B48</f>
        <v>-310.88000000000068</v>
      </c>
      <c r="D40" s="41">
        <f t="shared" si="19"/>
        <v>-307.81000000000068</v>
      </c>
      <c r="E40" s="41">
        <f t="shared" si="19"/>
        <v>-309.38000000000068</v>
      </c>
      <c r="F40" s="108">
        <f t="shared" si="19"/>
        <v>-310.97000000000065</v>
      </c>
      <c r="G40" s="40">
        <f t="shared" si="19"/>
        <v>-312.61000000000064</v>
      </c>
      <c r="H40" s="41">
        <f t="shared" si="19"/>
        <v>-312.61000000000064</v>
      </c>
      <c r="I40" s="61">
        <f t="shared" si="19"/>
        <v>-314.28000000000065</v>
      </c>
      <c r="J40" s="120">
        <f t="shared" si="19"/>
        <v>-315.96000000000066</v>
      </c>
      <c r="K40" s="41">
        <f t="shared" si="19"/>
        <v>-317.65000000000066</v>
      </c>
      <c r="L40" s="61">
        <f t="shared" si="19"/>
        <v>-319.35000000000065</v>
      </c>
    </row>
    <row r="41" spans="1:15" x14ac:dyDescent="0.25">
      <c r="A41" s="46" t="s">
        <v>136</v>
      </c>
      <c r="B41" s="315">
        <v>-238.21000000000049</v>
      </c>
      <c r="C41" s="100">
        <f t="shared" ref="C41:L41" si="20">B41+C34+B49</f>
        <v>-238.21000000000049</v>
      </c>
      <c r="D41" s="41">
        <f t="shared" si="20"/>
        <v>-235.8600000000005</v>
      </c>
      <c r="E41" s="41">
        <f t="shared" si="20"/>
        <v>-237.06000000000049</v>
      </c>
      <c r="F41" s="108">
        <f t="shared" si="20"/>
        <v>-238.28000000000048</v>
      </c>
      <c r="G41" s="40">
        <f t="shared" si="20"/>
        <v>-239.54000000000048</v>
      </c>
      <c r="H41" s="41">
        <f t="shared" si="20"/>
        <v>-239.54000000000048</v>
      </c>
      <c r="I41" s="61">
        <f t="shared" si="20"/>
        <v>-240.82000000000048</v>
      </c>
      <c r="J41" s="120">
        <f t="shared" si="20"/>
        <v>-242.11000000000047</v>
      </c>
      <c r="K41" s="41">
        <f t="shared" si="20"/>
        <v>-243.41000000000048</v>
      </c>
      <c r="L41" s="61">
        <f t="shared" si="20"/>
        <v>-244.71000000000049</v>
      </c>
    </row>
    <row r="42" spans="1:15" x14ac:dyDescent="0.25">
      <c r="A42" s="46" t="s">
        <v>137</v>
      </c>
      <c r="B42" s="315">
        <v>912.29000000000008</v>
      </c>
      <c r="C42" s="100">
        <f t="shared" ref="C42:L42" si="21">B42+C35+B50</f>
        <v>912.29000000000008</v>
      </c>
      <c r="D42" s="41">
        <f t="shared" si="21"/>
        <v>903.29000000000008</v>
      </c>
      <c r="E42" s="41">
        <f t="shared" si="21"/>
        <v>907.90000000000009</v>
      </c>
      <c r="F42" s="108">
        <f t="shared" si="21"/>
        <v>912.58</v>
      </c>
      <c r="G42" s="40">
        <f t="shared" si="21"/>
        <v>917.40000000000009</v>
      </c>
      <c r="H42" s="41">
        <f t="shared" si="21"/>
        <v>917.40000000000009</v>
      </c>
      <c r="I42" s="61">
        <f t="shared" si="21"/>
        <v>922.31000000000006</v>
      </c>
      <c r="J42" s="120">
        <f t="shared" si="21"/>
        <v>927.25000000000011</v>
      </c>
      <c r="K42" s="41">
        <f t="shared" si="21"/>
        <v>932.22000000000014</v>
      </c>
      <c r="L42" s="61">
        <f t="shared" si="21"/>
        <v>937.22000000000014</v>
      </c>
    </row>
    <row r="43" spans="1:15" x14ac:dyDescent="0.25">
      <c r="A43" s="46" t="s">
        <v>138</v>
      </c>
      <c r="B43" s="315">
        <v>-363.21000000000021</v>
      </c>
      <c r="C43" s="100">
        <f>B43+C36+B51</f>
        <v>-363.21000000000021</v>
      </c>
      <c r="D43" s="41">
        <f t="shared" ref="D43:L43" si="22">C43+D36+C51</f>
        <v>-359.63000000000022</v>
      </c>
      <c r="E43" s="41">
        <f t="shared" si="22"/>
        <v>-361.4700000000002</v>
      </c>
      <c r="F43" s="108">
        <f t="shared" si="22"/>
        <v>-363.33000000000021</v>
      </c>
      <c r="G43" s="40">
        <f t="shared" si="22"/>
        <v>-365.25000000000023</v>
      </c>
      <c r="H43" s="41">
        <f t="shared" si="22"/>
        <v>-365.25000000000023</v>
      </c>
      <c r="I43" s="61">
        <f t="shared" si="22"/>
        <v>-367.21000000000021</v>
      </c>
      <c r="J43" s="120">
        <f t="shared" si="22"/>
        <v>-369.18000000000023</v>
      </c>
      <c r="K43" s="41">
        <f t="shared" si="22"/>
        <v>-371.16000000000025</v>
      </c>
      <c r="L43" s="61">
        <f t="shared" si="22"/>
        <v>-373.15000000000026</v>
      </c>
    </row>
    <row r="44" spans="1:15" x14ac:dyDescent="0.25">
      <c r="C44" s="99"/>
      <c r="D44" s="17"/>
      <c r="E44" s="17"/>
      <c r="F44" s="17"/>
      <c r="G44" s="10"/>
      <c r="H44" s="17"/>
      <c r="I44" s="11"/>
      <c r="J44" s="17"/>
      <c r="K44" s="17"/>
      <c r="L44" s="11"/>
    </row>
    <row r="45" spans="1:15" x14ac:dyDescent="0.25">
      <c r="A45" s="39" t="s">
        <v>49</v>
      </c>
      <c r="B45" s="39"/>
      <c r="C45" s="104"/>
      <c r="D45" s="83">
        <f>+'PCR Cycle 2'!E50</f>
        <v>5.1044699999999998E-3</v>
      </c>
      <c r="E45" s="83">
        <f>+'PCR Cycle 2'!F50</f>
        <v>5.1503699999999996E-3</v>
      </c>
      <c r="F45" s="83">
        <f>+'PCR Cycle 2'!G50</f>
        <v>5.2820799999999998E-3</v>
      </c>
      <c r="G45" s="84">
        <f>+'PCR Cycle 2'!H50</f>
        <v>5.3483699999999999E-3</v>
      </c>
      <c r="H45" s="83">
        <f>+'PCR Cycle 2'!I50</f>
        <v>5.3539599999999996E-3</v>
      </c>
      <c r="I45" s="92">
        <f>+'PCR Cycle 2'!J50</f>
        <v>5.3597599999999999E-3</v>
      </c>
      <c r="J45" s="83">
        <f>+'PCR Cycle 2'!K50</f>
        <v>5.3597599999999999E-3</v>
      </c>
      <c r="K45" s="83">
        <f>+'PCR Cycle 2'!L50</f>
        <v>5.3597599999999999E-3</v>
      </c>
      <c r="L45" s="85"/>
    </row>
    <row r="46" spans="1:15" x14ac:dyDescent="0.25">
      <c r="A46" s="39" t="s">
        <v>37</v>
      </c>
      <c r="B46" s="39"/>
      <c r="C46" s="106"/>
      <c r="D46" s="83"/>
      <c r="E46" s="83"/>
      <c r="F46" s="83"/>
      <c r="G46" s="84"/>
      <c r="H46" s="83"/>
      <c r="I46" s="85"/>
      <c r="J46" s="83"/>
      <c r="K46" s="83"/>
      <c r="L46" s="85"/>
    </row>
    <row r="47" spans="1:15" x14ac:dyDescent="0.25">
      <c r="A47" s="46" t="s">
        <v>24</v>
      </c>
      <c r="C47" s="316">
        <v>3855.1</v>
      </c>
      <c r="D47" s="41">
        <f t="shared" ref="D47:L47" si="23">ROUND((C39+C47+D32/2)*D$45,2)</f>
        <v>-2058.65</v>
      </c>
      <c r="E47" s="41">
        <f t="shared" si="23"/>
        <v>-1919.37</v>
      </c>
      <c r="F47" s="108">
        <f t="shared" si="23"/>
        <v>-1746.48</v>
      </c>
      <c r="G47" s="40">
        <f t="shared" si="23"/>
        <v>-1521.23</v>
      </c>
      <c r="H47" s="120">
        <f t="shared" si="23"/>
        <v>-1316.55</v>
      </c>
      <c r="I47" s="49">
        <f t="shared" si="23"/>
        <v>-1171.26</v>
      </c>
      <c r="J47" s="159">
        <f t="shared" si="23"/>
        <v>-1061.9000000000001</v>
      </c>
      <c r="K47" s="108">
        <f t="shared" si="23"/>
        <v>-937.03</v>
      </c>
      <c r="L47" s="61">
        <f t="shared" si="23"/>
        <v>0</v>
      </c>
      <c r="O47" s="47">
        <f t="shared" ref="O47:O51" si="24">-SUM(J47:L47)</f>
        <v>1998.93</v>
      </c>
    </row>
    <row r="48" spans="1:15" x14ac:dyDescent="0.25">
      <c r="A48" s="46" t="s">
        <v>135</v>
      </c>
      <c r="C48" s="316">
        <v>3.0700000000000003</v>
      </c>
      <c r="D48" s="41">
        <f t="shared" ref="D48:L48" si="25">ROUND((C40+C48+D33/2)*D$45,2)</f>
        <v>-1.57</v>
      </c>
      <c r="E48" s="41">
        <f t="shared" si="25"/>
        <v>-1.59</v>
      </c>
      <c r="F48" s="108">
        <f t="shared" si="25"/>
        <v>-1.64</v>
      </c>
      <c r="G48" s="40">
        <f>ROUND((F40+F48+G33/2)*G$45,2)*0</f>
        <v>0</v>
      </c>
      <c r="H48" s="120">
        <f t="shared" si="25"/>
        <v>-1.67</v>
      </c>
      <c r="I48" s="49">
        <f t="shared" si="25"/>
        <v>-1.68</v>
      </c>
      <c r="J48" s="159">
        <f t="shared" si="25"/>
        <v>-1.69</v>
      </c>
      <c r="K48" s="108">
        <f t="shared" si="25"/>
        <v>-1.7</v>
      </c>
      <c r="L48" s="61">
        <f t="shared" si="25"/>
        <v>0</v>
      </c>
      <c r="O48" s="47">
        <f t="shared" si="24"/>
        <v>3.3899999999999997</v>
      </c>
    </row>
    <row r="49" spans="1:15" x14ac:dyDescent="0.25">
      <c r="A49" s="46" t="s">
        <v>136</v>
      </c>
      <c r="C49" s="316">
        <v>2.3499999999999996</v>
      </c>
      <c r="D49" s="41">
        <f t="shared" ref="D49:L49" si="26">ROUND((C41+C49+D34/2)*D$45,2)</f>
        <v>-1.2</v>
      </c>
      <c r="E49" s="41">
        <f t="shared" si="26"/>
        <v>-1.22</v>
      </c>
      <c r="F49" s="108">
        <f t="shared" si="26"/>
        <v>-1.26</v>
      </c>
      <c r="G49" s="40">
        <f t="shared" ref="G49:G51" si="27">ROUND((F41+F49+G34/2)*G$45,2)*0</f>
        <v>0</v>
      </c>
      <c r="H49" s="120">
        <f t="shared" si="26"/>
        <v>-1.28</v>
      </c>
      <c r="I49" s="49">
        <f t="shared" si="26"/>
        <v>-1.29</v>
      </c>
      <c r="J49" s="159">
        <f t="shared" si="26"/>
        <v>-1.3</v>
      </c>
      <c r="K49" s="108">
        <f t="shared" si="26"/>
        <v>-1.3</v>
      </c>
      <c r="L49" s="61">
        <f t="shared" si="26"/>
        <v>0</v>
      </c>
      <c r="O49" s="47">
        <f t="shared" si="24"/>
        <v>2.6</v>
      </c>
    </row>
    <row r="50" spans="1:15" x14ac:dyDescent="0.25">
      <c r="A50" s="46" t="s">
        <v>137</v>
      </c>
      <c r="C50" s="316">
        <v>-9</v>
      </c>
      <c r="D50" s="41">
        <f t="shared" ref="D50:L50" si="28">ROUND((C42+C50+D35/2)*D$45,2)</f>
        <v>4.6100000000000003</v>
      </c>
      <c r="E50" s="41">
        <f t="shared" si="28"/>
        <v>4.68</v>
      </c>
      <c r="F50" s="108">
        <f t="shared" si="28"/>
        <v>4.82</v>
      </c>
      <c r="G50" s="40">
        <f t="shared" si="27"/>
        <v>0</v>
      </c>
      <c r="H50" s="120">
        <f t="shared" si="28"/>
        <v>4.91</v>
      </c>
      <c r="I50" s="49">
        <f t="shared" si="28"/>
        <v>4.9400000000000004</v>
      </c>
      <c r="J50" s="159">
        <f t="shared" si="28"/>
        <v>4.97</v>
      </c>
      <c r="K50" s="108">
        <f t="shared" si="28"/>
        <v>5</v>
      </c>
      <c r="L50" s="61">
        <f t="shared" si="28"/>
        <v>0</v>
      </c>
      <c r="O50" s="47">
        <f t="shared" si="24"/>
        <v>-9.9699999999999989</v>
      </c>
    </row>
    <row r="51" spans="1:15" ht="15.75" thickBot="1" x14ac:dyDescent="0.3">
      <c r="A51" s="46" t="s">
        <v>138</v>
      </c>
      <c r="C51" s="316">
        <v>3.58</v>
      </c>
      <c r="D51" s="41">
        <f t="shared" ref="D51:L51" si="29">ROUND((C43+C51+D36/2)*D$45,2)</f>
        <v>-1.84</v>
      </c>
      <c r="E51" s="41">
        <f t="shared" si="29"/>
        <v>-1.86</v>
      </c>
      <c r="F51" s="108">
        <f t="shared" si="29"/>
        <v>-1.92</v>
      </c>
      <c r="G51" s="40">
        <f t="shared" si="27"/>
        <v>0</v>
      </c>
      <c r="H51" s="120">
        <f t="shared" si="29"/>
        <v>-1.96</v>
      </c>
      <c r="I51" s="49">
        <f t="shared" si="29"/>
        <v>-1.97</v>
      </c>
      <c r="J51" s="159">
        <f t="shared" si="29"/>
        <v>-1.98</v>
      </c>
      <c r="K51" s="108">
        <f t="shared" si="29"/>
        <v>-1.99</v>
      </c>
      <c r="L51" s="61">
        <f t="shared" si="29"/>
        <v>0</v>
      </c>
      <c r="O51" s="47">
        <f t="shared" si="24"/>
        <v>3.9699999999999998</v>
      </c>
    </row>
    <row r="52" spans="1:15" ht="16.5" thickTop="1" thickBot="1" x14ac:dyDescent="0.3">
      <c r="A52" s="54" t="s">
        <v>22</v>
      </c>
      <c r="B52" s="54"/>
      <c r="C52" s="107">
        <v>0</v>
      </c>
      <c r="D52" s="42">
        <f t="shared" ref="D52:I52" si="30">SUM(D47:D51)+SUM(D39:D43)-D55</f>
        <v>0</v>
      </c>
      <c r="E52" s="42">
        <f t="shared" si="30"/>
        <v>0</v>
      </c>
      <c r="F52" s="50">
        <f t="shared" ref="F52:H52" si="31">SUM(F47:F51)+SUM(F39:F43)-F55</f>
        <v>0</v>
      </c>
      <c r="G52" s="143">
        <f t="shared" si="31"/>
        <v>0</v>
      </c>
      <c r="H52" s="50">
        <f t="shared" si="31"/>
        <v>0</v>
      </c>
      <c r="I52" s="62">
        <f t="shared" si="30"/>
        <v>0</v>
      </c>
      <c r="J52" s="160">
        <f t="shared" ref="J52:L52" si="32">SUM(J47:J51)+SUM(J39:J43)-J55</f>
        <v>0</v>
      </c>
      <c r="K52" s="50">
        <f t="shared" si="32"/>
        <v>0</v>
      </c>
      <c r="L52" s="62">
        <f t="shared" si="32"/>
        <v>0</v>
      </c>
    </row>
    <row r="53" spans="1:15" ht="16.5" thickTop="1" thickBot="1" x14ac:dyDescent="0.3">
      <c r="A53" s="54" t="s">
        <v>23</v>
      </c>
      <c r="B53" s="54"/>
      <c r="C53" s="107">
        <v>0</v>
      </c>
      <c r="D53" s="42">
        <f t="shared" ref="D53:I53" si="33">SUM(D47:D51)-D29</f>
        <v>0</v>
      </c>
      <c r="E53" s="42">
        <f t="shared" si="33"/>
        <v>1.0000000000218279E-2</v>
      </c>
      <c r="F53" s="50">
        <f t="shared" ref="F53:H53" si="34">SUM(F47:F51)-F29</f>
        <v>0</v>
      </c>
      <c r="G53" s="143">
        <f t="shared" si="34"/>
        <v>0</v>
      </c>
      <c r="H53" s="50">
        <f t="shared" si="34"/>
        <v>0</v>
      </c>
      <c r="I53" s="62">
        <f t="shared" si="33"/>
        <v>0</v>
      </c>
      <c r="J53" s="161">
        <f t="shared" ref="J53:L53" si="35">SUM(J47:J51)-J29</f>
        <v>0</v>
      </c>
      <c r="K53" s="42">
        <f t="shared" si="35"/>
        <v>0</v>
      </c>
      <c r="L53" s="42">
        <f t="shared" si="35"/>
        <v>0</v>
      </c>
    </row>
    <row r="54" spans="1:15" ht="16.5" thickTop="1" thickBot="1" x14ac:dyDescent="0.3">
      <c r="C54" s="99"/>
      <c r="D54" s="17"/>
      <c r="E54" s="17"/>
      <c r="F54" s="17"/>
      <c r="G54" s="10"/>
      <c r="H54" s="17"/>
      <c r="I54" s="11"/>
      <c r="J54" s="17"/>
      <c r="K54" s="17"/>
      <c r="L54" s="11"/>
    </row>
    <row r="55" spans="1:15" ht="15.75" thickBot="1" x14ac:dyDescent="0.3">
      <c r="A55" s="46" t="s">
        <v>36</v>
      </c>
      <c r="B55" s="116">
        <f>SUM(B39:B43)</f>
        <v>-306188.73538000009</v>
      </c>
      <c r="C55" s="100">
        <f t="shared" ref="C55:L55" si="36">(C13-SUM(C16:C20))+SUM(C47:C51)+B55</f>
        <v>-417127.62000000011</v>
      </c>
      <c r="D55" s="41">
        <f t="shared" si="36"/>
        <v>-391539.7300000001</v>
      </c>
      <c r="E55" s="41">
        <f t="shared" si="36"/>
        <v>-355712.53000000009</v>
      </c>
      <c r="F55" s="108">
        <f t="shared" si="36"/>
        <v>-307320.4200000001</v>
      </c>
      <c r="G55" s="40">
        <f t="shared" si="36"/>
        <v>-263059.0400000001</v>
      </c>
      <c r="H55" s="41">
        <f t="shared" si="36"/>
        <v>-230061.24000000011</v>
      </c>
      <c r="I55" s="61">
        <f t="shared" si="36"/>
        <v>-208166.77000000011</v>
      </c>
      <c r="J55" s="159">
        <f t="shared" si="36"/>
        <v>-189145.22784000012</v>
      </c>
      <c r="K55" s="108">
        <f t="shared" si="36"/>
        <v>-161446.13832000011</v>
      </c>
      <c r="L55" s="61">
        <f t="shared" si="36"/>
        <v>-129037.02408000012</v>
      </c>
    </row>
    <row r="56" spans="1:15" x14ac:dyDescent="0.25">
      <c r="A56" s="46" t="s">
        <v>12</v>
      </c>
      <c r="C56" s="117"/>
      <c r="D56" s="17"/>
      <c r="E56" s="17"/>
      <c r="F56" s="17"/>
      <c r="G56" s="10"/>
      <c r="H56" s="17"/>
      <c r="I56" s="11"/>
      <c r="J56" s="17"/>
      <c r="K56" s="17"/>
      <c r="L56" s="11"/>
    </row>
    <row r="57" spans="1:15" ht="15.75" thickBot="1" x14ac:dyDescent="0.3">
      <c r="A57" s="37"/>
      <c r="B57" s="37"/>
      <c r="C57" s="144"/>
      <c r="D57" s="44"/>
      <c r="E57" s="44"/>
      <c r="F57" s="44"/>
      <c r="G57" s="43"/>
      <c r="H57" s="44"/>
      <c r="I57" s="45"/>
      <c r="J57" s="44"/>
      <c r="K57" s="44"/>
      <c r="L57" s="45"/>
    </row>
    <row r="59" spans="1:15" x14ac:dyDescent="0.25">
      <c r="A59" s="69" t="s">
        <v>11</v>
      </c>
      <c r="B59" s="69"/>
      <c r="C59" s="69"/>
    </row>
    <row r="60" spans="1:15" x14ac:dyDescent="0.25">
      <c r="A60" s="341" t="s">
        <v>173</v>
      </c>
      <c r="B60" s="341"/>
      <c r="C60" s="341"/>
      <c r="D60" s="341"/>
      <c r="E60" s="341"/>
      <c r="F60" s="341"/>
      <c r="G60" s="341"/>
      <c r="H60" s="341"/>
      <c r="I60" s="341"/>
      <c r="J60" s="284"/>
      <c r="K60" s="284"/>
      <c r="L60" s="284"/>
    </row>
    <row r="61" spans="1:15" ht="63" customHeight="1" x14ac:dyDescent="0.25">
      <c r="A61" s="331" t="s">
        <v>262</v>
      </c>
      <c r="B61" s="331"/>
      <c r="C61" s="331"/>
      <c r="D61" s="331"/>
      <c r="E61" s="331"/>
      <c r="F61" s="331"/>
      <c r="G61" s="331"/>
      <c r="H61" s="331"/>
      <c r="I61" s="331"/>
      <c r="J61" s="331"/>
      <c r="K61" s="331"/>
    </row>
    <row r="62" spans="1:15" ht="18.75" customHeight="1" x14ac:dyDescent="0.25">
      <c r="A62" s="3" t="s">
        <v>189</v>
      </c>
      <c r="B62" s="3"/>
      <c r="C62" s="3"/>
      <c r="I62" s="4"/>
      <c r="J62" s="284"/>
      <c r="K62" s="284"/>
      <c r="L62" s="284"/>
    </row>
    <row r="63" spans="1:15" x14ac:dyDescent="0.25">
      <c r="A63" s="3" t="s">
        <v>240</v>
      </c>
      <c r="B63" s="3"/>
      <c r="C63" s="3"/>
      <c r="I63" s="4"/>
    </row>
    <row r="64" spans="1:15" x14ac:dyDescent="0.25">
      <c r="A64" s="3" t="s">
        <v>126</v>
      </c>
      <c r="B64" s="3"/>
      <c r="C64" s="3"/>
      <c r="I64" s="4"/>
    </row>
    <row r="65" spans="1:9" x14ac:dyDescent="0.25">
      <c r="A65" s="3"/>
      <c r="B65" s="63"/>
      <c r="C65" s="63"/>
      <c r="D65" s="39"/>
      <c r="E65" s="39"/>
      <c r="F65" s="39"/>
      <c r="G65" s="39"/>
      <c r="H65" s="39"/>
      <c r="I65" s="39"/>
    </row>
    <row r="66" spans="1:9" x14ac:dyDescent="0.25">
      <c r="A66" s="3"/>
      <c r="B66" s="3"/>
      <c r="C66" s="3"/>
    </row>
  </sheetData>
  <mergeCells count="5">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abSelected="1" zoomScaleNormal="100" workbookViewId="0">
      <pane xSplit="2" ySplit="3" topLeftCell="C4" activePane="bottomRight" state="frozen"/>
      <selection activeCell="J26" sqref="J26"/>
      <selection pane="topRight" activeCell="J26" sqref="J26"/>
      <selection pane="bottomLeft" activeCell="J26" sqref="J26"/>
      <selection pane="bottomRight" activeCell="M10" sqref="M10"/>
    </sheetView>
  </sheetViews>
  <sheetFormatPr defaultRowHeight="15" outlineLevelCol="1" x14ac:dyDescent="0.25"/>
  <cols>
    <col min="2" max="2" width="25.140625" customWidth="1"/>
    <col min="3" max="3" width="16" bestFit="1" customWidth="1"/>
    <col min="4" max="4" width="15.5703125" customWidth="1"/>
    <col min="5" max="5" width="14.85546875" bestFit="1" customWidth="1"/>
    <col min="6" max="6" width="13.7109375" bestFit="1" customWidth="1"/>
    <col min="7" max="7" width="18.42578125" bestFit="1" customWidth="1"/>
    <col min="8" max="8" width="13.42578125" customWidth="1"/>
    <col min="9" max="9" width="3.5703125" customWidth="1"/>
    <col min="10" max="10" width="13.7109375" bestFit="1" customWidth="1"/>
    <col min="11" max="11" width="12.42578125" bestFit="1" customWidth="1"/>
    <col min="12" max="13" width="13.7109375" bestFit="1" customWidth="1"/>
    <col min="14" max="14" width="11.42578125" bestFit="1" customWidth="1"/>
    <col min="15" max="15" width="16" bestFit="1" customWidth="1" outlineLevel="1"/>
    <col min="16" max="16" width="19.28515625" customWidth="1" outlineLevel="1"/>
    <col min="17" max="17" width="16" style="46" customWidth="1" outlineLevel="1"/>
    <col min="18" max="18" width="11.85546875" bestFit="1" customWidth="1" outlineLevel="1"/>
    <col min="19" max="20" width="16" customWidth="1" outlineLevel="1"/>
    <col min="21" max="21" width="16" style="46" customWidth="1" outlineLevel="1"/>
    <col min="22" max="22" width="16" customWidth="1" outlineLevel="1"/>
    <col min="23" max="23" width="9.140625" customWidth="1" outlineLevel="1"/>
    <col min="24" max="27" width="16" bestFit="1" customWidth="1" outlineLevel="1"/>
    <col min="28" max="28" width="13" bestFit="1" customWidth="1"/>
  </cols>
  <sheetData>
    <row r="1" spans="1:28" x14ac:dyDescent="0.25">
      <c r="A1" s="3" t="str">
        <f>+'PPC Cycle 3'!A1</f>
        <v>Evergy Metro, Inc. - DSIM Rider Update Filed 12/01/2023</v>
      </c>
    </row>
    <row r="2" spans="1:28" ht="15.75" thickBot="1" x14ac:dyDescent="0.3">
      <c r="H2" s="46"/>
      <c r="I2" s="46"/>
      <c r="J2" s="48"/>
      <c r="K2" s="48"/>
    </row>
    <row r="3" spans="1:28" ht="27.75" thickBot="1" x14ac:dyDescent="0.3">
      <c r="B3" s="87" t="s">
        <v>7</v>
      </c>
      <c r="C3" s="127" t="s">
        <v>19</v>
      </c>
      <c r="D3" s="127" t="s">
        <v>20</v>
      </c>
      <c r="E3" s="127" t="s">
        <v>57</v>
      </c>
      <c r="F3" s="127" t="s">
        <v>21</v>
      </c>
      <c r="G3" s="127" t="s">
        <v>38</v>
      </c>
      <c r="H3" s="89" t="s">
        <v>28</v>
      </c>
      <c r="I3" s="39"/>
      <c r="J3" s="88" t="s">
        <v>13</v>
      </c>
      <c r="K3" s="89" t="s">
        <v>56</v>
      </c>
      <c r="L3" s="89" t="s">
        <v>72</v>
      </c>
      <c r="M3" s="89" t="s">
        <v>73</v>
      </c>
    </row>
    <row r="4" spans="1:28" ht="15.75" thickBot="1" x14ac:dyDescent="0.3">
      <c r="B4" s="90" t="s">
        <v>24</v>
      </c>
      <c r="C4" s="125">
        <f t="shared" ref="C4:F8" si="0">C13+C22</f>
        <v>7264273.8500000015</v>
      </c>
      <c r="D4" s="126">
        <f t="shared" si="0"/>
        <v>2036671.0599200004</v>
      </c>
      <c r="E4" s="126">
        <f t="shared" si="0"/>
        <v>1279004.8559999999</v>
      </c>
      <c r="F4" s="126">
        <f t="shared" si="0"/>
        <v>-146647.93115000005</v>
      </c>
      <c r="G4" s="318">
        <f>+'PPC Cycle 3'!B5</f>
        <v>2679841400</v>
      </c>
      <c r="H4" s="129">
        <f>ROUND(SUM(C4:F4)/G4,5)</f>
        <v>3.8899999999999998E-3</v>
      </c>
      <c r="I4" s="130"/>
      <c r="J4" s="342">
        <f>ROUND((C13+C22)/G4,5)-0.00001</f>
        <v>2.7000000000000001E-3</v>
      </c>
      <c r="K4" s="255">
        <f>ROUND((D13+D22)/G4,5)</f>
        <v>7.6000000000000004E-4</v>
      </c>
      <c r="L4" s="255">
        <f>ROUND((E13+E22)/G4,5)</f>
        <v>4.8000000000000001E-4</v>
      </c>
      <c r="M4" s="131">
        <f>ROUND((F13+F22)/G4,5)</f>
        <v>-5.0000000000000002E-5</v>
      </c>
      <c r="N4" s="221">
        <f>+H4-SUM(J4:M4)</f>
        <v>0</v>
      </c>
    </row>
    <row r="5" spans="1:28" ht="15.75" thickBot="1" x14ac:dyDescent="0.3">
      <c r="B5" s="90" t="s">
        <v>107</v>
      </c>
      <c r="C5" s="125">
        <f t="shared" si="0"/>
        <v>770854.2699999999</v>
      </c>
      <c r="D5" s="126">
        <f t="shared" si="0"/>
        <v>284149.81525999994</v>
      </c>
      <c r="E5" s="126">
        <f t="shared" si="0"/>
        <v>184047.46464000002</v>
      </c>
      <c r="F5" s="126">
        <f t="shared" si="0"/>
        <v>-319.3500000000007</v>
      </c>
      <c r="G5" s="318">
        <f>+'PPC Cycle 3'!B6</f>
        <v>604271148</v>
      </c>
      <c r="H5" s="129">
        <f>ROUND(SUM(C5:F5)/G5,5)</f>
        <v>2.0500000000000002E-3</v>
      </c>
      <c r="I5" s="130"/>
      <c r="J5" s="276">
        <f>ROUND((C14+C23)/G5,5)</f>
        <v>1.2800000000000001E-3</v>
      </c>
      <c r="K5" s="255">
        <f>ROUND((D14+D23)/G5,5)</f>
        <v>4.6999999999999999E-4</v>
      </c>
      <c r="L5" s="255">
        <f>ROUND((E14+E23)/G5,5)</f>
        <v>2.9999999999999997E-4</v>
      </c>
      <c r="M5" s="131">
        <f>ROUND((F14+F23)/G5,5)</f>
        <v>0</v>
      </c>
      <c r="N5" s="221">
        <f t="shared" ref="N5:N8" si="1">+H5-SUM(J5:M5)</f>
        <v>0</v>
      </c>
      <c r="O5" s="254"/>
      <c r="P5" s="254"/>
      <c r="Q5" s="254"/>
      <c r="R5" s="254"/>
      <c r="S5" s="254"/>
      <c r="T5" s="254"/>
    </row>
    <row r="6" spans="1:28" s="46" customFormat="1" ht="15.75" thickBot="1" x14ac:dyDescent="0.3">
      <c r="B6" s="90" t="s">
        <v>108</v>
      </c>
      <c r="C6" s="125">
        <f t="shared" si="0"/>
        <v>2569959.9400000004</v>
      </c>
      <c r="D6" s="126">
        <f t="shared" si="0"/>
        <v>665148.67208999989</v>
      </c>
      <c r="E6" s="126">
        <f t="shared" si="0"/>
        <v>394133.4257100001</v>
      </c>
      <c r="F6" s="126">
        <f t="shared" si="0"/>
        <v>-244.71000000000049</v>
      </c>
      <c r="G6" s="318">
        <f>+'PPC Cycle 3'!B7</f>
        <v>1111128667</v>
      </c>
      <c r="H6" s="129">
        <f>ROUND(SUM(C6:F6)/G6,5)</f>
        <v>3.2699999999999999E-3</v>
      </c>
      <c r="I6" s="130"/>
      <c r="J6" s="342">
        <f>ROUND((C15+C24)/G6,5)+0.00001</f>
        <v>2.32E-3</v>
      </c>
      <c r="K6" s="255">
        <f>ROUND((D15+D24)/G6,5)</f>
        <v>5.9999999999999995E-4</v>
      </c>
      <c r="L6" s="255">
        <f>ROUND((E15+E24)/G6,5)</f>
        <v>3.5E-4</v>
      </c>
      <c r="M6" s="131">
        <f>ROUND((F15+F24)/G6,5)</f>
        <v>0</v>
      </c>
      <c r="N6" s="221">
        <f t="shared" si="1"/>
        <v>0</v>
      </c>
      <c r="O6" s="254"/>
      <c r="P6" s="254"/>
      <c r="Q6" s="254"/>
      <c r="R6" s="254"/>
      <c r="S6" s="254"/>
      <c r="T6" s="254"/>
    </row>
    <row r="7" spans="1:28" s="46" customFormat="1" ht="15.75" thickBot="1" x14ac:dyDescent="0.3">
      <c r="B7" s="90" t="s">
        <v>109</v>
      </c>
      <c r="C7" s="125">
        <f t="shared" si="0"/>
        <v>3517728.4699999997</v>
      </c>
      <c r="D7" s="126">
        <f t="shared" si="0"/>
        <v>653762.90112000005</v>
      </c>
      <c r="E7" s="126">
        <f t="shared" si="0"/>
        <v>748764.99064000009</v>
      </c>
      <c r="F7" s="126">
        <f t="shared" si="0"/>
        <v>937.22</v>
      </c>
      <c r="G7" s="318">
        <f>+'PPC Cycle 3'!B8</f>
        <v>1798734802</v>
      </c>
      <c r="H7" s="129">
        <f>ROUND(SUM(C7:F7)/G7,5)</f>
        <v>2.7399999999999998E-3</v>
      </c>
      <c r="I7" s="130"/>
      <c r="J7" s="276">
        <f>ROUND((C16+C25)/G7,5)</f>
        <v>1.9599999999999999E-3</v>
      </c>
      <c r="K7" s="255">
        <f>ROUND((D16+D25)/G7,5)</f>
        <v>3.6000000000000002E-4</v>
      </c>
      <c r="L7" s="255">
        <f>ROUND((E16+E25)/G7,5)</f>
        <v>4.2000000000000002E-4</v>
      </c>
      <c r="M7" s="131">
        <f>ROUND((F16+F25)/G7,5)</f>
        <v>0</v>
      </c>
      <c r="N7" s="221">
        <f t="shared" si="1"/>
        <v>0</v>
      </c>
      <c r="O7" s="254"/>
      <c r="P7" s="254"/>
      <c r="Q7" s="254"/>
      <c r="R7" s="254"/>
      <c r="S7" s="254"/>
      <c r="T7" s="254"/>
    </row>
    <row r="8" spans="1:28" s="46" customFormat="1" ht="15.75" thickBot="1" x14ac:dyDescent="0.3">
      <c r="B8" s="90" t="s">
        <v>110</v>
      </c>
      <c r="C8" s="125">
        <f t="shared" si="0"/>
        <v>423987.80000000069</v>
      </c>
      <c r="D8" s="126">
        <f t="shared" si="0"/>
        <v>60054.634600000012</v>
      </c>
      <c r="E8" s="126">
        <f t="shared" si="0"/>
        <v>118497.92596000001</v>
      </c>
      <c r="F8" s="126">
        <f t="shared" si="0"/>
        <v>-373.1500000000002</v>
      </c>
      <c r="G8" s="318">
        <f>+'PPC Cycle 3'!B9</f>
        <v>467837333</v>
      </c>
      <c r="H8" s="129">
        <f>ROUND(SUM(C8:F8)/G8,5)</f>
        <v>1.2899999999999999E-3</v>
      </c>
      <c r="I8" s="130"/>
      <c r="J8" s="276">
        <f>ROUND((C17+C26)/G8,5)</f>
        <v>9.1E-4</v>
      </c>
      <c r="K8" s="255">
        <f>ROUND((D17+D26)/G8,5)</f>
        <v>1.2999999999999999E-4</v>
      </c>
      <c r="L8" s="255">
        <f>ROUND((E17+E26)/G8,5)</f>
        <v>2.5000000000000001E-4</v>
      </c>
      <c r="M8" s="131">
        <f>ROUND((F17+F26)/G8,5)</f>
        <v>0</v>
      </c>
      <c r="N8" s="221">
        <f t="shared" si="1"/>
        <v>0</v>
      </c>
      <c r="O8" s="254"/>
      <c r="P8" s="254"/>
      <c r="Q8" s="254"/>
      <c r="R8" s="254"/>
      <c r="S8" s="254"/>
      <c r="T8" s="254"/>
    </row>
    <row r="9" spans="1:28" x14ac:dyDescent="0.25">
      <c r="C9" s="124"/>
      <c r="D9" s="124"/>
      <c r="E9" s="124"/>
      <c r="F9" s="124"/>
      <c r="G9" s="123"/>
    </row>
    <row r="10" spans="1:28" x14ac:dyDescent="0.25">
      <c r="C10" s="124"/>
      <c r="D10" s="124"/>
      <c r="E10" s="124"/>
      <c r="F10" s="124"/>
      <c r="G10" s="123"/>
      <c r="H10" s="271"/>
      <c r="I10" s="147"/>
      <c r="J10" s="271"/>
      <c r="K10" s="271"/>
      <c r="L10" s="271"/>
      <c r="M10" s="271"/>
    </row>
    <row r="11" spans="1:28" ht="15.75" thickBot="1" x14ac:dyDescent="0.3">
      <c r="C11" s="124"/>
      <c r="D11" s="124"/>
      <c r="E11" s="124"/>
      <c r="F11" s="124"/>
      <c r="G11" s="123"/>
      <c r="H11" s="272"/>
      <c r="I11" s="273"/>
      <c r="J11" s="272"/>
      <c r="K11" s="272"/>
      <c r="L11" s="272"/>
      <c r="M11" s="272"/>
    </row>
    <row r="12" spans="1:28" ht="15.75" thickBot="1" x14ac:dyDescent="0.3">
      <c r="B12" s="87" t="s">
        <v>7</v>
      </c>
      <c r="C12" s="128" t="s">
        <v>6</v>
      </c>
      <c r="D12" s="128" t="s">
        <v>16</v>
      </c>
      <c r="E12" s="128" t="s">
        <v>58</v>
      </c>
      <c r="F12" s="128" t="s">
        <v>17</v>
      </c>
      <c r="G12" s="123"/>
      <c r="H12" s="272"/>
      <c r="I12" s="273"/>
      <c r="J12" s="272"/>
      <c r="K12" s="272"/>
      <c r="L12" s="272"/>
      <c r="M12" s="272"/>
      <c r="O12" s="128" t="s">
        <v>74</v>
      </c>
      <c r="P12" s="128" t="s">
        <v>75</v>
      </c>
      <c r="Q12" s="128" t="s">
        <v>82</v>
      </c>
      <c r="R12" s="46"/>
      <c r="S12" s="128" t="s">
        <v>76</v>
      </c>
      <c r="T12" s="128" t="s">
        <v>77</v>
      </c>
      <c r="U12" s="128" t="s">
        <v>103</v>
      </c>
      <c r="V12" s="128" t="s">
        <v>93</v>
      </c>
      <c r="X12" s="128" t="s">
        <v>115</v>
      </c>
      <c r="Y12" s="128" t="s">
        <v>116</v>
      </c>
      <c r="Z12" s="128" t="s">
        <v>117</v>
      </c>
      <c r="AA12" s="128" t="s">
        <v>118</v>
      </c>
    </row>
    <row r="13" spans="1:28" ht="15.75" thickBot="1" x14ac:dyDescent="0.3">
      <c r="B13" s="90" t="s">
        <v>24</v>
      </c>
      <c r="C13" s="317">
        <f>+'PPC Cycle 3'!C5</f>
        <v>7009252.8900000006</v>
      </c>
      <c r="D13" s="317">
        <f>'PTD Cycle 2'!C6+'PTD Cycle 3'!C6</f>
        <v>2031638.55</v>
      </c>
      <c r="E13" s="317">
        <f>+'EO Cycle 2'!G7+'EO Cycle 3'!G7</f>
        <v>1282558.5</v>
      </c>
      <c r="F13" s="317">
        <f>+'OA Cycle 3'!F9</f>
        <v>0</v>
      </c>
      <c r="G13" s="123"/>
      <c r="H13" s="272"/>
      <c r="I13" s="273"/>
      <c r="J13" s="272"/>
      <c r="K13" s="272"/>
      <c r="L13" s="272"/>
      <c r="M13" s="272"/>
      <c r="O13" s="179">
        <v>0</v>
      </c>
      <c r="P13" s="179">
        <v>0</v>
      </c>
      <c r="Q13" s="220">
        <v>0</v>
      </c>
      <c r="R13" s="154"/>
      <c r="S13" s="319">
        <v>0</v>
      </c>
      <c r="T13" s="319">
        <f>ROUND(+'PTD Cycle 2'!C6/'Tariff Tables'!G4,5)</f>
        <v>0</v>
      </c>
      <c r="U13" s="319">
        <f>ROUND('EO Cycle 2'!G7/'Tariff Tables'!G4,5)</f>
        <v>-1.0000000000000001E-5</v>
      </c>
      <c r="V13" s="319">
        <f>ROUND(0/'Tariff Tables'!G4,5)</f>
        <v>0</v>
      </c>
      <c r="W13" s="278"/>
      <c r="X13" s="291">
        <f>ROUND('PPC Cycle 3'!C5/'Tariff Tables'!$G4,5)-0.00001</f>
        <v>2.6099999999999999E-3</v>
      </c>
      <c r="Y13" s="319">
        <f>ROUND('PTD Cycle 3'!C6/'Tariff Tables'!G4,5)</f>
        <v>7.6000000000000004E-4</v>
      </c>
      <c r="Z13" s="291">
        <f>ROUND('EO Cycle 3'!G7/'Tariff Tables'!G4,5)+0.00001</f>
        <v>5.0000000000000001E-4</v>
      </c>
      <c r="AA13" s="319">
        <f>ROUND('OA Cycle 3'!E9/'Tariff Tables'!G4,5)</f>
        <v>0</v>
      </c>
      <c r="AB13" s="154">
        <f>SUM(O13:AA13,O22:AA22)</f>
        <v>3.8900000000000002E-3</v>
      </c>
    </row>
    <row r="14" spans="1:28" ht="15.75" thickBot="1" x14ac:dyDescent="0.3">
      <c r="B14" s="90" t="s">
        <v>107</v>
      </c>
      <c r="C14" s="317">
        <f>+'PPC Cycle 3'!C6</f>
        <v>688974.45</v>
      </c>
      <c r="D14" s="317">
        <f>'PTD Cycle 2'!C10+'PTD Cycle 3'!C7</f>
        <v>339226</v>
      </c>
      <c r="E14" s="317">
        <f>+'EO Cycle 2'!G11+'EO Cycle 3'!G11</f>
        <v>168717.09000000003</v>
      </c>
      <c r="F14" s="317">
        <f>+'OA Cycle 3'!F14</f>
        <v>0</v>
      </c>
      <c r="G14" s="123"/>
      <c r="H14" s="272"/>
      <c r="I14" s="273"/>
      <c r="J14" s="274"/>
      <c r="K14" s="272"/>
      <c r="L14" s="272"/>
      <c r="M14" s="272"/>
      <c r="O14" s="179">
        <v>0</v>
      </c>
      <c r="P14" s="179">
        <v>0</v>
      </c>
      <c r="Q14" s="220">
        <v>0</v>
      </c>
      <c r="R14" s="154"/>
      <c r="S14" s="319">
        <v>0</v>
      </c>
      <c r="T14" s="320">
        <f>ROUND(+'PTD Cycle 2'!C10/'Tariff Tables'!G5,5)</f>
        <v>0</v>
      </c>
      <c r="U14" s="321">
        <f>ROUND('EO Cycle 2'!G11/'Tariff Tables'!G5,5)</f>
        <v>-2.0000000000000002E-5</v>
      </c>
      <c r="V14" s="320">
        <f>ROUND('OA Cycle 2'!B13/'Tariff Tables'!G5,5)</f>
        <v>0</v>
      </c>
      <c r="W14" s="278"/>
      <c r="X14" s="319">
        <f>ROUND('PPC Cycle 3'!C6/'Tariff Tables'!$G5,5)</f>
        <v>1.14E-3</v>
      </c>
      <c r="Y14" s="319">
        <f>ROUND('PTD Cycle 3'!C7/'Tariff Tables'!G5,5)</f>
        <v>5.5999999999999995E-4</v>
      </c>
      <c r="Z14" s="319">
        <f>ROUND('EO Cycle 3'!G11/'Tariff Tables'!G5,5)</f>
        <v>2.9999999999999997E-4</v>
      </c>
      <c r="AA14" s="319">
        <f>ROUND('OA Cycle 3'!B14/'Tariff Tables'!G5,5)</f>
        <v>0</v>
      </c>
      <c r="AB14" s="154">
        <f t="shared" ref="AB14:AB17" si="2">SUM(O14:AA14,O23:AA23)</f>
        <v>2.0500000000000002E-3</v>
      </c>
    </row>
    <row r="15" spans="1:28" s="46" customFormat="1" ht="15.75" thickBot="1" x14ac:dyDescent="0.3">
      <c r="B15" s="90" t="s">
        <v>108</v>
      </c>
      <c r="C15" s="317">
        <f>+'PPC Cycle 3'!C7</f>
        <v>1876827.8700000003</v>
      </c>
      <c r="D15" s="317">
        <f>'PTD Cycle 2'!C11+'PTD Cycle 3'!C8</f>
        <v>565546.46</v>
      </c>
      <c r="E15" s="317">
        <f>+'EO Cycle 2'!G12+'EO Cycle 3'!G12</f>
        <v>334381.53000000003</v>
      </c>
      <c r="F15" s="317">
        <f>+'OA Cycle 3'!F15</f>
        <v>0</v>
      </c>
      <c r="G15" s="123"/>
      <c r="H15" s="272"/>
      <c r="I15" s="273"/>
      <c r="J15" s="272"/>
      <c r="K15" s="272"/>
      <c r="L15" s="275"/>
      <c r="M15" s="272"/>
      <c r="O15" s="179">
        <v>0</v>
      </c>
      <c r="P15" s="179">
        <v>0</v>
      </c>
      <c r="Q15" s="220">
        <v>0</v>
      </c>
      <c r="R15" s="154"/>
      <c r="S15" s="319">
        <v>0</v>
      </c>
      <c r="T15" s="320">
        <f>ROUND(+'PTD Cycle 2'!C11/'Tariff Tables'!G6,5)</f>
        <v>0</v>
      </c>
      <c r="U15" s="321">
        <f>ROUND('EO Cycle 2'!G12/'Tariff Tables'!G6,5)</f>
        <v>0</v>
      </c>
      <c r="V15" s="320">
        <f>ROUND('OA Cycle 2'!B14/'Tariff Tables'!G6,5)</f>
        <v>0</v>
      </c>
      <c r="W15" s="278"/>
      <c r="X15" s="319">
        <f>ROUND('PPC Cycle 3'!C7/'Tariff Tables'!$G6,5)</f>
        <v>1.6900000000000001E-3</v>
      </c>
      <c r="Y15" s="319">
        <f>ROUND('PTD Cycle 3'!C8/'Tariff Tables'!G6,5)</f>
        <v>5.1000000000000004E-4</v>
      </c>
      <c r="Z15" s="319">
        <f>ROUND('EO Cycle 3'!G12/'Tariff Tables'!G6,5)</f>
        <v>2.9999999999999997E-4</v>
      </c>
      <c r="AA15" s="319">
        <f>ROUND('OA Cycle 3'!B15/'Tariff Tables'!G6,5)</f>
        <v>0</v>
      </c>
      <c r="AB15" s="154">
        <f t="shared" si="2"/>
        <v>3.2699999999999999E-3</v>
      </c>
    </row>
    <row r="16" spans="1:28" s="46" customFormat="1" ht="15.75" thickBot="1" x14ac:dyDescent="0.3">
      <c r="B16" s="90" t="s">
        <v>109</v>
      </c>
      <c r="C16" s="317">
        <f>+'PPC Cycle 3'!C8</f>
        <v>2983392.59</v>
      </c>
      <c r="D16" s="317">
        <f>'PTD Cycle 2'!C12+'PTD Cycle 3'!C9</f>
        <v>584432.77</v>
      </c>
      <c r="E16" s="317">
        <f>+'EO Cycle 2'!G13+'EO Cycle 3'!G13</f>
        <v>682244.24000000011</v>
      </c>
      <c r="F16" s="317">
        <f>+'OA Cycle 3'!F16</f>
        <v>0</v>
      </c>
      <c r="G16" s="123"/>
      <c r="H16" s="17"/>
      <c r="I16" s="17"/>
      <c r="J16" s="152"/>
      <c r="K16" s="17"/>
      <c r="L16" s="17"/>
      <c r="M16" s="17"/>
      <c r="O16" s="179">
        <v>0</v>
      </c>
      <c r="P16" s="179">
        <v>0</v>
      </c>
      <c r="Q16" s="237">
        <v>0</v>
      </c>
      <c r="R16" s="238"/>
      <c r="S16" s="319">
        <v>0</v>
      </c>
      <c r="T16" s="320">
        <f>ROUND(+'PTD Cycle 2'!C12/'Tariff Tables'!G7,5)</f>
        <v>0</v>
      </c>
      <c r="U16" s="321">
        <f>ROUND('EO Cycle 2'!G13/'Tariff Tables'!G7,5)</f>
        <v>0</v>
      </c>
      <c r="V16" s="320">
        <f>ROUND('OA Cycle 2'!B15/'Tariff Tables'!G7,5)</f>
        <v>0</v>
      </c>
      <c r="W16" s="278"/>
      <c r="X16" s="319">
        <f>ROUND('PPC Cycle 3'!C8/'Tariff Tables'!$G7,5)</f>
        <v>1.66E-3</v>
      </c>
      <c r="Y16" s="319">
        <f>ROUND('PTD Cycle 3'!C9/'Tariff Tables'!G7,5)</f>
        <v>3.2000000000000003E-4</v>
      </c>
      <c r="Z16" s="319">
        <f>ROUND('EO Cycle 3'!G13/'Tariff Tables'!G7,5)</f>
        <v>3.8000000000000002E-4</v>
      </c>
      <c r="AA16" s="319">
        <f>ROUND('OA Cycle 3'!B16/'Tariff Tables'!G7,5)</f>
        <v>0</v>
      </c>
      <c r="AB16" s="154">
        <f t="shared" si="2"/>
        <v>2.7400000000000002E-3</v>
      </c>
    </row>
    <row r="17" spans="2:28" s="46" customFormat="1" ht="15.75" thickBot="1" x14ac:dyDescent="0.3">
      <c r="B17" s="90" t="s">
        <v>110</v>
      </c>
      <c r="C17" s="317">
        <f>+'PPC Cycle 3'!C9</f>
        <v>472714.38999999996</v>
      </c>
      <c r="D17" s="317">
        <f>'PTD Cycle 2'!C13+'PTD Cycle 3'!C10</f>
        <v>47707.63</v>
      </c>
      <c r="E17" s="317">
        <f>+'EO Cycle 2'!G14+'EO Cycle 3'!G14</f>
        <v>109158.13</v>
      </c>
      <c r="F17" s="317">
        <f>+'OA Cycle 3'!F17</f>
        <v>0</v>
      </c>
      <c r="G17" s="123"/>
      <c r="J17" s="152"/>
      <c r="K17" s="17"/>
      <c r="O17" s="179">
        <v>0</v>
      </c>
      <c r="P17" s="179">
        <v>0</v>
      </c>
      <c r="Q17" s="237">
        <v>0</v>
      </c>
      <c r="R17" s="238"/>
      <c r="S17" s="319">
        <v>0</v>
      </c>
      <c r="T17" s="320">
        <f>ROUND(+'PTD Cycle 2'!C13/'Tariff Tables'!G8,5)</f>
        <v>0</v>
      </c>
      <c r="U17" s="320">
        <f>ROUND('EO Cycle 2'!G14/'Tariff Tables'!G8,5)</f>
        <v>1.0000000000000001E-5</v>
      </c>
      <c r="V17" s="320">
        <f>ROUND('OA Cycle 2'!B16/'Tariff Tables'!G8,5)</f>
        <v>0</v>
      </c>
      <c r="W17" s="278"/>
      <c r="X17" s="319">
        <f>ROUND('PPC Cycle 3'!C9/'Tariff Tables'!$G8,5)</f>
        <v>1.01E-3</v>
      </c>
      <c r="Y17" s="319">
        <f>ROUND('PTD Cycle 3'!C10/'Tariff Tables'!G8,5)</f>
        <v>1E-4</v>
      </c>
      <c r="Z17" s="319">
        <f>ROUND('EO Cycle 3'!G14/'Tariff Tables'!G8,5)</f>
        <v>2.2000000000000001E-4</v>
      </c>
      <c r="AA17" s="319">
        <f>ROUND('OA Cycle 3'!B17/'Tariff Tables'!G8,5)</f>
        <v>0</v>
      </c>
      <c r="AB17" s="154">
        <f t="shared" si="2"/>
        <v>1.2899999999999999E-3</v>
      </c>
    </row>
    <row r="18" spans="2:28" x14ac:dyDescent="0.25">
      <c r="C18" s="124"/>
      <c r="D18" s="124"/>
      <c r="E18" s="124"/>
      <c r="F18" s="124"/>
      <c r="G18" s="123"/>
      <c r="J18" s="17"/>
      <c r="K18" s="17"/>
      <c r="O18" s="180"/>
      <c r="P18" s="180"/>
      <c r="Q18" s="240"/>
      <c r="R18" s="238"/>
      <c r="S18" s="238"/>
      <c r="T18" s="238"/>
      <c r="U18" s="238"/>
      <c r="V18" s="238"/>
      <c r="W18" s="278"/>
      <c r="X18" s="238"/>
      <c r="Y18" s="238"/>
      <c r="Z18" s="238"/>
      <c r="AA18" s="238"/>
    </row>
    <row r="19" spans="2:28" x14ac:dyDescent="0.25">
      <c r="C19" s="124"/>
      <c r="D19" s="124"/>
      <c r="E19" s="124"/>
      <c r="F19" s="124"/>
      <c r="G19" s="123"/>
      <c r="J19" s="17"/>
      <c r="K19" s="17"/>
      <c r="O19" s="180"/>
      <c r="P19" s="180"/>
      <c r="Q19" s="240"/>
      <c r="R19" s="238"/>
      <c r="S19" s="238"/>
      <c r="T19" s="238"/>
      <c r="U19" s="238"/>
      <c r="V19" s="238"/>
      <c r="W19" s="278"/>
      <c r="X19" s="238"/>
      <c r="Y19" s="238"/>
      <c r="Z19" s="238"/>
      <c r="AA19" s="238"/>
    </row>
    <row r="20" spans="2:28" ht="15.75" thickBot="1" x14ac:dyDescent="0.3">
      <c r="C20" s="124"/>
      <c r="D20" s="124"/>
      <c r="E20" s="124"/>
      <c r="F20" s="124"/>
      <c r="G20" s="123"/>
      <c r="J20" s="17"/>
      <c r="K20" s="17"/>
      <c r="O20" s="180"/>
      <c r="P20" s="180"/>
      <c r="Q20" s="240"/>
      <c r="R20" s="238"/>
      <c r="S20" s="238"/>
      <c r="T20" s="238"/>
      <c r="U20" s="238"/>
      <c r="V20" s="238"/>
      <c r="W20" s="278"/>
      <c r="X20" s="238"/>
      <c r="Y20" s="238"/>
      <c r="Z20" s="238"/>
      <c r="AA20" s="238"/>
    </row>
    <row r="21" spans="2:28" ht="15.75" thickBot="1" x14ac:dyDescent="0.3">
      <c r="B21" s="87" t="s">
        <v>7</v>
      </c>
      <c r="C21" s="128" t="s">
        <v>4</v>
      </c>
      <c r="D21" s="128" t="s">
        <v>9</v>
      </c>
      <c r="E21" s="128" t="s">
        <v>59</v>
      </c>
      <c r="F21" s="128" t="s">
        <v>18</v>
      </c>
      <c r="G21" s="123"/>
      <c r="O21" s="181" t="s">
        <v>78</v>
      </c>
      <c r="P21" s="181" t="s">
        <v>79</v>
      </c>
      <c r="Q21" s="241" t="s">
        <v>83</v>
      </c>
      <c r="R21" s="238"/>
      <c r="S21" s="242" t="s">
        <v>80</v>
      </c>
      <c r="T21" s="242" t="s">
        <v>81</v>
      </c>
      <c r="U21" s="241" t="s">
        <v>106</v>
      </c>
      <c r="V21" s="242" t="s">
        <v>94</v>
      </c>
      <c r="W21" s="278"/>
      <c r="X21" s="242" t="s">
        <v>119</v>
      </c>
      <c r="Y21" s="242" t="s">
        <v>120</v>
      </c>
      <c r="Z21" s="241" t="s">
        <v>121</v>
      </c>
      <c r="AA21" s="242" t="s">
        <v>122</v>
      </c>
    </row>
    <row r="22" spans="2:28" ht="15.75" thickBot="1" x14ac:dyDescent="0.3">
      <c r="B22" s="90" t="s">
        <v>24</v>
      </c>
      <c r="C22" s="317">
        <f>+'PCR Cycle 3'!K4+'PCR Cycle 2'!K4</f>
        <v>255020.96000000052</v>
      </c>
      <c r="D22" s="317">
        <f>'TDR Cycle 3'!K4+'TDR Cycle 2'!K4</f>
        <v>5032.5099200002151</v>
      </c>
      <c r="E22" s="317">
        <f>+'EOR Cycle 2'!J4+'EOR Cycle 3'!J4</f>
        <v>-3553.6440000000657</v>
      </c>
      <c r="F22" s="317">
        <f>+'OAR Cycle 2'!I4+'OAR Cycle 3'!I4</f>
        <v>-146647.93115000005</v>
      </c>
      <c r="G22" s="123"/>
      <c r="O22" s="179">
        <v>0</v>
      </c>
      <c r="P22" s="179">
        <v>0</v>
      </c>
      <c r="Q22" s="239">
        <v>0</v>
      </c>
      <c r="R22" s="238"/>
      <c r="S22" s="319">
        <f>ROUND(+'PCR Cycle 2'!K4/'Tariff Tables'!G4,5)</f>
        <v>0</v>
      </c>
      <c r="T22" s="319">
        <f>ROUND(+'TDR Cycle 2'!K4/'Tariff Tables'!G4,5)</f>
        <v>1E-4</v>
      </c>
      <c r="U22" s="319">
        <f>ROUND('EOR Cycle 2'!J4/'Tariff Tables'!G4,5)</f>
        <v>-3.0000000000000001E-5</v>
      </c>
      <c r="V22" s="319">
        <f>ROUND('OAR Cycle 2'!I4/'Tariff Tables'!G4,5)</f>
        <v>-1.0000000000000001E-5</v>
      </c>
      <c r="W22" s="278"/>
      <c r="X22" s="291">
        <f>ROUND('PCR Cycle 3'!K4/'Tariff Tables'!G4,5)-0.00001</f>
        <v>9.0000000000000006E-5</v>
      </c>
      <c r="Y22" s="319">
        <f>ROUND('TDR Cycle 3'!K4/'Tariff Tables'!G4,5)</f>
        <v>-1E-4</v>
      </c>
      <c r="Z22" s="319">
        <f>ROUND(+'EOR Cycle 3'!J4/'Tariff Tables'!G4,5)</f>
        <v>2.0000000000000002E-5</v>
      </c>
      <c r="AA22" s="291">
        <f>ROUND(('OAR Cycle 3'!I4)/'Tariff Tables'!G4,5)+0.00001</f>
        <v>-4.0000000000000003E-5</v>
      </c>
    </row>
    <row r="23" spans="2:28" ht="15.75" thickBot="1" x14ac:dyDescent="0.3">
      <c r="B23" s="90" t="s">
        <v>107</v>
      </c>
      <c r="C23" s="317">
        <f>'PCR Cycle 3'!K5+'PCR Cycle 2'!K8</f>
        <v>81879.81999999992</v>
      </c>
      <c r="D23" s="317">
        <f>'TDR Cycle 3'!K5+'TDR Cycle 2'!K8</f>
        <v>-55076.184740000055</v>
      </c>
      <c r="E23" s="317">
        <f>+'EOR Cycle 2'!J8+'EOR Cycle 3'!J5</f>
        <v>15330.374639999995</v>
      </c>
      <c r="F23" s="317">
        <f>+'OAR Cycle 2'!I9+'OAR Cycle 3'!I5</f>
        <v>-319.3500000000007</v>
      </c>
      <c r="G23" s="123"/>
      <c r="O23" s="179">
        <v>0</v>
      </c>
      <c r="P23" s="179">
        <v>0</v>
      </c>
      <c r="Q23" s="239">
        <v>0</v>
      </c>
      <c r="R23" s="238"/>
      <c r="S23" s="319">
        <f>ROUND(+'PCR Cycle 2'!K8/'Tariff Tables'!G5,5)</f>
        <v>0</v>
      </c>
      <c r="T23" s="319">
        <f>ROUND(+'TDR Cycle 2'!K8/'Tariff Tables'!G5,5)</f>
        <v>6.0000000000000002E-5</v>
      </c>
      <c r="U23" s="291">
        <f>ROUND('EOR Cycle 2'!J8/'Tariff Tables'!G5,5)-0.00001</f>
        <v>1.0000000000000001E-5</v>
      </c>
      <c r="V23" s="319">
        <f>ROUND('OAR Cycle 2'!I8/'Tariff Tables'!G5,5)</f>
        <v>0</v>
      </c>
      <c r="W23" s="278"/>
      <c r="X23" s="319">
        <f>ROUND('PCR Cycle 3'!K5/'Tariff Tables'!G5,5)</f>
        <v>1.3999999999999999E-4</v>
      </c>
      <c r="Y23" s="319">
        <f>ROUND('TDR Cycle 3'!K5/'Tariff Tables'!G5,5)</f>
        <v>-1.4999999999999999E-4</v>
      </c>
      <c r="Z23" s="319">
        <f>ROUND(+'EOR Cycle 3'!J5/'Tariff Tables'!G5,5)</f>
        <v>1.0000000000000001E-5</v>
      </c>
      <c r="AA23" s="319">
        <f>ROUND(('OAR Cycle 3'!I5-'OAR Cycle 3'!G5)/'Tariff Tables'!G5,5)</f>
        <v>0</v>
      </c>
    </row>
    <row r="24" spans="2:28" s="46" customFormat="1" ht="15.75" thickBot="1" x14ac:dyDescent="0.3">
      <c r="B24" s="90" t="s">
        <v>108</v>
      </c>
      <c r="C24" s="317">
        <f>'PCR Cycle 3'!K6+'PCR Cycle 2'!K9</f>
        <v>693132.07</v>
      </c>
      <c r="D24" s="317">
        <f>'TDR Cycle 3'!K6+'TDR Cycle 2'!K9</f>
        <v>99602.212089999957</v>
      </c>
      <c r="E24" s="317">
        <f>+'EOR Cycle 2'!J9+'EOR Cycle 3'!J6</f>
        <v>59751.895710000041</v>
      </c>
      <c r="F24" s="317">
        <f>+'OAR Cycle 2'!I10+'OAR Cycle 3'!I6</f>
        <v>-244.71000000000049</v>
      </c>
      <c r="G24" s="123"/>
      <c r="O24" s="179">
        <v>0</v>
      </c>
      <c r="P24" s="179">
        <v>0</v>
      </c>
      <c r="Q24" s="239">
        <v>0</v>
      </c>
      <c r="R24" s="238"/>
      <c r="S24" s="319">
        <f>ROUND(+'PCR Cycle 2'!K9/'Tariff Tables'!G6,5)</f>
        <v>0</v>
      </c>
      <c r="T24" s="319">
        <f>ROUND(+'TDR Cycle 2'!K9/'Tariff Tables'!G6,5)</f>
        <v>9.0000000000000006E-5</v>
      </c>
      <c r="U24" s="319">
        <f>ROUND('EOR Cycle 2'!J9/'Tariff Tables'!G6,5)</f>
        <v>2.0000000000000002E-5</v>
      </c>
      <c r="V24" s="319">
        <f>ROUND('OAR Cycle 2'!I9/'Tariff Tables'!G6,5)</f>
        <v>0</v>
      </c>
      <c r="W24" s="278"/>
      <c r="X24" s="319">
        <f>ROUND('PCR Cycle 3'!K6/'Tariff Tables'!G6,5)</f>
        <v>6.3000000000000003E-4</v>
      </c>
      <c r="Y24" s="319">
        <f>ROUND('TDR Cycle 3'!K6/'Tariff Tables'!G6,5)</f>
        <v>0</v>
      </c>
      <c r="Z24" s="319">
        <f>ROUND(+'EOR Cycle 3'!J6/'Tariff Tables'!G6,5)</f>
        <v>3.0000000000000001E-5</v>
      </c>
      <c r="AA24" s="319">
        <f>ROUND(('OAR Cycle 3'!I6-'OAR Cycle 3'!G6)/'Tariff Tables'!G6,5)</f>
        <v>0</v>
      </c>
    </row>
    <row r="25" spans="2:28" s="46" customFormat="1" ht="15.75" thickBot="1" x14ac:dyDescent="0.3">
      <c r="B25" s="90" t="s">
        <v>109</v>
      </c>
      <c r="C25" s="317">
        <f>'PCR Cycle 3'!K7+'PCR Cycle 2'!K10</f>
        <v>534335.87999999977</v>
      </c>
      <c r="D25" s="317">
        <f>'TDR Cycle 3'!K7+'TDR Cycle 2'!K10</f>
        <v>69330.13112000002</v>
      </c>
      <c r="E25" s="317">
        <f>+'EOR Cycle 2'!J10+'EOR Cycle 3'!J7</f>
        <v>66520.750640000013</v>
      </c>
      <c r="F25" s="317">
        <f>+'OAR Cycle 2'!I11+'OAR Cycle 3'!I7</f>
        <v>937.22</v>
      </c>
      <c r="G25" s="123"/>
      <c r="O25" s="179">
        <v>0</v>
      </c>
      <c r="P25" s="179">
        <v>0</v>
      </c>
      <c r="Q25" s="239">
        <v>0</v>
      </c>
      <c r="R25" s="238"/>
      <c r="S25" s="319">
        <f>ROUND(+'PCR Cycle 2'!K10/'Tariff Tables'!G7,5)</f>
        <v>0</v>
      </c>
      <c r="T25" s="319">
        <f>ROUND(+'TDR Cycle 2'!K10/'Tariff Tables'!G7,5)</f>
        <v>6.9999999999999994E-5</v>
      </c>
      <c r="U25" s="319">
        <f>ROUND('EOR Cycle 2'!J10/'Tariff Tables'!G7,5)</f>
        <v>2.0000000000000002E-5</v>
      </c>
      <c r="V25" s="319">
        <f>ROUND('OAR Cycle 2'!I10/'Tariff Tables'!G7,5)</f>
        <v>0</v>
      </c>
      <c r="W25" s="278"/>
      <c r="X25" s="319">
        <f>ROUND('PCR Cycle 3'!K7/'Tariff Tables'!G7,5)</f>
        <v>2.9999999999999997E-4</v>
      </c>
      <c r="Y25" s="319">
        <f>ROUND('TDR Cycle 3'!K7/'Tariff Tables'!G7,5)</f>
        <v>-3.0000000000000001E-5</v>
      </c>
      <c r="Z25" s="319">
        <f>ROUND(+'EOR Cycle 3'!J7/'Tariff Tables'!G7,5)</f>
        <v>2.0000000000000002E-5</v>
      </c>
      <c r="AA25" s="319">
        <f>ROUND(('OAR Cycle 3'!I7-'OAR Cycle 3'!G7)/'Tariff Tables'!G7,5)</f>
        <v>0</v>
      </c>
    </row>
    <row r="26" spans="2:28" s="46" customFormat="1" ht="15.75" thickBot="1" x14ac:dyDescent="0.3">
      <c r="B26" s="90" t="s">
        <v>110</v>
      </c>
      <c r="C26" s="317">
        <f>'PCR Cycle 3'!K8+'PCR Cycle 2'!K11</f>
        <v>-48726.589999999291</v>
      </c>
      <c r="D26" s="317">
        <f>'TDR Cycle 3'!K8+'TDR Cycle 2'!K11</f>
        <v>12347.004600000015</v>
      </c>
      <c r="E26" s="317">
        <f>+'EOR Cycle 2'!J11+'EOR Cycle 3'!J8</f>
        <v>9339.7959599999995</v>
      </c>
      <c r="F26" s="317">
        <f>+'OAR Cycle 2'!I12+'OAR Cycle 3'!I8</f>
        <v>-373.1500000000002</v>
      </c>
      <c r="G26" s="123"/>
      <c r="O26" s="179">
        <v>0</v>
      </c>
      <c r="P26" s="179">
        <v>0</v>
      </c>
      <c r="Q26" s="239">
        <v>0</v>
      </c>
      <c r="R26" s="238"/>
      <c r="S26" s="319">
        <f>ROUND(+'PCR Cycle 2'!K11/'Tariff Tables'!G8,5)</f>
        <v>0</v>
      </c>
      <c r="T26" s="319">
        <f>ROUND(+'TDR Cycle 2'!K11/'Tariff Tables'!G8,5)</f>
        <v>5.0000000000000002E-5</v>
      </c>
      <c r="U26" s="319">
        <f>ROUND('EOR Cycle 2'!J11/'Tariff Tables'!G8,5)</f>
        <v>1.0000000000000001E-5</v>
      </c>
      <c r="V26" s="319">
        <f>ROUND('OAR Cycle 2'!I11/'Tariff Tables'!G8,5)</f>
        <v>0</v>
      </c>
      <c r="W26" s="278"/>
      <c r="X26" s="319">
        <f>ROUND('PCR Cycle 3'!K8/'Tariff Tables'!G8,5)</f>
        <v>-1E-4</v>
      </c>
      <c r="Y26" s="291">
        <f>ROUND('TDR Cycle 3'!K8/'Tariff Tables'!G8,5)+0.00001</f>
        <v>-1.9999999999999998E-5</v>
      </c>
      <c r="Z26" s="319">
        <f>ROUND(+'EOR Cycle 3'!J8/'Tariff Tables'!G8,5)</f>
        <v>1.0000000000000001E-5</v>
      </c>
      <c r="AA26" s="319">
        <f>ROUND(('OAR Cycle 3'!I8-'OAR Cycle 3'!G8)/'Tariff Tables'!G8,5)</f>
        <v>0</v>
      </c>
    </row>
    <row r="27" spans="2:28" x14ac:dyDescent="0.25">
      <c r="F27" s="123"/>
      <c r="O27" s="46"/>
      <c r="P27" s="46"/>
      <c r="R27" s="46"/>
      <c r="S27" s="46"/>
      <c r="T27" s="46"/>
    </row>
    <row r="28" spans="2:28" x14ac:dyDescent="0.25">
      <c r="B28" s="93" t="s">
        <v>39</v>
      </c>
      <c r="R28" t="s">
        <v>151</v>
      </c>
      <c r="S28" s="153">
        <f>+J4-O13-O22-S13-S22-X13-X22</f>
        <v>2.3039296165316969E-19</v>
      </c>
      <c r="T28" s="153">
        <f t="shared" ref="S28:V32" si="3">+K4-P13-P22-T13-T22-Y13-Y22</f>
        <v>0</v>
      </c>
      <c r="U28" s="153">
        <f t="shared" si="3"/>
        <v>-5.7598240413292423E-20</v>
      </c>
      <c r="V28" s="153">
        <f>+M4-R13-R22-V13-V22-AA13-AA22</f>
        <v>0</v>
      </c>
    </row>
    <row r="29" spans="2:28" x14ac:dyDescent="0.25">
      <c r="B29" s="94" t="s">
        <v>40</v>
      </c>
      <c r="R29" t="s">
        <v>152</v>
      </c>
      <c r="S29" s="153">
        <f t="shared" si="3"/>
        <v>0</v>
      </c>
      <c r="T29" s="153">
        <f t="shared" si="3"/>
        <v>0</v>
      </c>
      <c r="U29" s="153">
        <f t="shared" si="3"/>
        <v>-2.8799120206646212E-20</v>
      </c>
      <c r="V29" s="153">
        <f t="shared" si="3"/>
        <v>0</v>
      </c>
    </row>
    <row r="30" spans="2:28" x14ac:dyDescent="0.25">
      <c r="B30" s="94" t="s">
        <v>43</v>
      </c>
      <c r="R30" t="s">
        <v>153</v>
      </c>
      <c r="S30" s="153">
        <f t="shared" si="3"/>
        <v>0</v>
      </c>
      <c r="T30" s="153">
        <f t="shared" si="3"/>
        <v>-1.0842021724855044E-19</v>
      </c>
      <c r="U30" s="153">
        <f t="shared" si="3"/>
        <v>0</v>
      </c>
      <c r="V30" s="153">
        <f t="shared" si="3"/>
        <v>0</v>
      </c>
    </row>
    <row r="31" spans="2:28" x14ac:dyDescent="0.25">
      <c r="B31" s="94" t="s">
        <v>144</v>
      </c>
      <c r="R31" t="s">
        <v>154</v>
      </c>
      <c r="S31" s="153">
        <f t="shared" si="3"/>
        <v>0</v>
      </c>
      <c r="T31" s="153">
        <f t="shared" si="3"/>
        <v>0</v>
      </c>
      <c r="U31" s="153">
        <f t="shared" si="3"/>
        <v>0</v>
      </c>
      <c r="V31" s="153">
        <f t="shared" si="3"/>
        <v>0</v>
      </c>
    </row>
    <row r="32" spans="2:28" x14ac:dyDescent="0.25">
      <c r="B32" s="94" t="s">
        <v>41</v>
      </c>
      <c r="R32" t="s">
        <v>155</v>
      </c>
      <c r="S32" s="153">
        <f t="shared" si="3"/>
        <v>0</v>
      </c>
      <c r="T32" s="153">
        <f t="shared" si="3"/>
        <v>0</v>
      </c>
      <c r="U32" s="153">
        <f t="shared" si="3"/>
        <v>0</v>
      </c>
      <c r="V32" s="153">
        <f t="shared" si="3"/>
        <v>0</v>
      </c>
    </row>
    <row r="33" spans="2:20" x14ac:dyDescent="0.25">
      <c r="B33" s="94" t="s">
        <v>149</v>
      </c>
      <c r="O33" s="247"/>
      <c r="P33" s="247"/>
      <c r="Q33" s="247"/>
      <c r="R33" s="147"/>
      <c r="S33" s="46"/>
      <c r="T33" s="46"/>
    </row>
    <row r="34" spans="2:20" x14ac:dyDescent="0.25">
      <c r="B34" s="94" t="s">
        <v>143</v>
      </c>
      <c r="O34" s="147"/>
      <c r="P34" s="147"/>
      <c r="Q34" s="248"/>
      <c r="R34" s="147"/>
      <c r="S34" s="46"/>
      <c r="T34" s="46"/>
    </row>
    <row r="35" spans="2:20" x14ac:dyDescent="0.25">
      <c r="B35" s="94" t="s">
        <v>48</v>
      </c>
      <c r="O35" s="249"/>
      <c r="P35" s="147"/>
      <c r="Q35" s="248"/>
      <c r="R35" s="147"/>
      <c r="S35" s="46"/>
      <c r="T35" s="46"/>
    </row>
    <row r="36" spans="2:20" x14ac:dyDescent="0.25">
      <c r="B36" s="94" t="s">
        <v>148</v>
      </c>
      <c r="O36" s="250"/>
      <c r="P36" s="251"/>
      <c r="Q36" s="248"/>
      <c r="R36" s="248"/>
      <c r="S36" s="46"/>
      <c r="T36" s="46"/>
    </row>
    <row r="37" spans="2:20" x14ac:dyDescent="0.25">
      <c r="B37" s="94" t="s">
        <v>145</v>
      </c>
      <c r="O37" s="250"/>
      <c r="P37" s="251"/>
      <c r="Q37" s="248"/>
      <c r="R37" s="248"/>
      <c r="S37" s="46"/>
      <c r="T37" s="46"/>
    </row>
    <row r="38" spans="2:20" x14ac:dyDescent="0.25">
      <c r="B38" s="94" t="s">
        <v>146</v>
      </c>
      <c r="O38" s="250"/>
      <c r="P38" s="251"/>
      <c r="Q38" s="248"/>
      <c r="R38" s="248"/>
      <c r="S38" s="46"/>
      <c r="T38" s="46"/>
    </row>
    <row r="39" spans="2:20" x14ac:dyDescent="0.25">
      <c r="B39" s="94" t="s">
        <v>150</v>
      </c>
      <c r="O39" s="250"/>
      <c r="P39" s="251"/>
      <c r="Q39" s="248"/>
      <c r="R39" s="248"/>
      <c r="S39" s="46"/>
      <c r="T39" s="46"/>
    </row>
    <row r="40" spans="2:20" x14ac:dyDescent="0.25">
      <c r="B40" s="94" t="s">
        <v>42</v>
      </c>
      <c r="O40" s="250"/>
      <c r="P40" s="251"/>
      <c r="Q40" s="248"/>
      <c r="R40" s="248"/>
      <c r="S40" s="46"/>
      <c r="T40" s="46"/>
    </row>
    <row r="41" spans="2:20" x14ac:dyDescent="0.25">
      <c r="B41" s="94" t="s">
        <v>147</v>
      </c>
      <c r="O41" s="250"/>
      <c r="P41" s="251"/>
      <c r="Q41" s="248"/>
      <c r="R41" s="248"/>
      <c r="S41" s="46"/>
      <c r="T41" s="46"/>
    </row>
    <row r="42" spans="2:20" x14ac:dyDescent="0.25">
      <c r="B42" s="94" t="s">
        <v>190</v>
      </c>
      <c r="O42" s="252"/>
      <c r="P42" s="251"/>
      <c r="Q42" s="248"/>
      <c r="R42" s="248"/>
      <c r="S42" s="46"/>
      <c r="T42" s="46"/>
    </row>
    <row r="43" spans="2:20" x14ac:dyDescent="0.25">
      <c r="B43" s="94" t="s">
        <v>191</v>
      </c>
      <c r="O43" s="147"/>
      <c r="P43" s="253"/>
      <c r="Q43" s="248"/>
      <c r="R43" s="248"/>
      <c r="S43" s="46"/>
      <c r="T43" s="46"/>
    </row>
    <row r="44" spans="2:20" x14ac:dyDescent="0.25">
      <c r="O44" s="249"/>
      <c r="P44" s="147"/>
      <c r="Q44" s="248"/>
      <c r="R44" s="248"/>
      <c r="S44" s="46"/>
      <c r="T44" s="46"/>
    </row>
    <row r="45" spans="2:20" x14ac:dyDescent="0.25">
      <c r="O45" s="250"/>
      <c r="P45" s="251"/>
      <c r="Q45" s="248"/>
      <c r="R45" s="248"/>
      <c r="S45" s="46"/>
      <c r="T45" s="46"/>
    </row>
    <row r="46" spans="2:20" x14ac:dyDescent="0.25">
      <c r="O46" s="250"/>
      <c r="P46" s="251"/>
      <c r="Q46" s="248"/>
      <c r="R46" s="248"/>
      <c r="S46" s="46"/>
      <c r="T46" s="46"/>
    </row>
    <row r="47" spans="2:20" x14ac:dyDescent="0.25">
      <c r="O47" s="250"/>
      <c r="P47" s="251"/>
      <c r="Q47" s="248"/>
      <c r="R47" s="248"/>
      <c r="S47" s="46"/>
      <c r="T47" s="46"/>
    </row>
    <row r="48" spans="2:20" x14ac:dyDescent="0.25">
      <c r="O48" s="250"/>
      <c r="P48" s="251"/>
      <c r="Q48" s="248"/>
      <c r="R48" s="248"/>
      <c r="S48" s="46"/>
      <c r="T48" s="46"/>
    </row>
    <row r="49" spans="15:20" x14ac:dyDescent="0.25">
      <c r="O49" s="250"/>
      <c r="P49" s="251"/>
      <c r="Q49" s="248"/>
      <c r="R49" s="248"/>
      <c r="S49" s="46"/>
      <c r="T49" s="46"/>
    </row>
    <row r="50" spans="15:20" x14ac:dyDescent="0.25">
      <c r="O50" s="250"/>
      <c r="P50" s="251"/>
      <c r="Q50" s="248"/>
      <c r="R50" s="248"/>
      <c r="S50" s="46"/>
      <c r="T50" s="46"/>
    </row>
    <row r="51" spans="15:20" x14ac:dyDescent="0.25">
      <c r="O51" s="252"/>
      <c r="P51" s="251"/>
      <c r="Q51" s="248"/>
      <c r="R51" s="248"/>
    </row>
    <row r="52" spans="15:20" x14ac:dyDescent="0.25">
      <c r="O52" s="147"/>
      <c r="P52" s="253"/>
      <c r="Q52" s="248"/>
      <c r="R52" s="248"/>
    </row>
    <row r="53" spans="15:20" x14ac:dyDescent="0.25">
      <c r="O53" s="147"/>
      <c r="P53" s="147"/>
      <c r="Q53" s="248"/>
      <c r="R53" s="248"/>
    </row>
    <row r="54" spans="15:20" x14ac:dyDescent="0.25">
      <c r="O54" s="147"/>
      <c r="P54" s="147"/>
      <c r="Q54" s="147"/>
      <c r="R54" s="147"/>
    </row>
    <row r="55" spans="15:20" x14ac:dyDescent="0.25">
      <c r="O55" s="147"/>
      <c r="P55" s="147"/>
      <c r="Q55" s="147"/>
      <c r="R55" s="147"/>
    </row>
    <row r="56" spans="15:20" x14ac:dyDescent="0.25">
      <c r="O56" s="147"/>
      <c r="P56" s="147"/>
      <c r="Q56" s="147"/>
      <c r="R56" s="147"/>
    </row>
    <row r="57" spans="15:20" x14ac:dyDescent="0.25">
      <c r="O57" s="147"/>
      <c r="P57" s="147"/>
      <c r="Q57" s="147"/>
      <c r="R57" s="147"/>
    </row>
  </sheetData>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election activeCell="H4" sqref="H4"/>
    </sheetView>
  </sheetViews>
  <sheetFormatPr defaultRowHeight="15" x14ac:dyDescent="0.25"/>
  <cols>
    <col min="1" max="1" width="23.140625" bestFit="1" customWidth="1"/>
    <col min="2" max="2" width="11.28515625" bestFit="1" customWidth="1"/>
    <col min="3" max="3" width="10.140625" bestFit="1" customWidth="1"/>
    <col min="4" max="4" width="11.28515625" bestFit="1" customWidth="1"/>
    <col min="5" max="5" width="11" customWidth="1"/>
    <col min="6" max="6" width="10.140625" bestFit="1" customWidth="1"/>
    <col min="7" max="7" width="9" bestFit="1" customWidth="1"/>
  </cols>
  <sheetData>
    <row r="3" spans="1:6" ht="15.75" thickBot="1" x14ac:dyDescent="0.3">
      <c r="A3" s="3" t="s">
        <v>127</v>
      </c>
    </row>
    <row r="4" spans="1:6" ht="27.75" thickBot="1" x14ac:dyDescent="0.3">
      <c r="A4" s="87" t="s">
        <v>134</v>
      </c>
      <c r="B4" s="127" t="s">
        <v>133</v>
      </c>
      <c r="C4" s="127" t="s">
        <v>132</v>
      </c>
      <c r="D4" s="127" t="s">
        <v>131</v>
      </c>
      <c r="E4" s="127" t="s">
        <v>130</v>
      </c>
      <c r="F4" s="89" t="s">
        <v>156</v>
      </c>
    </row>
    <row r="5" spans="1:6" ht="15.75" thickBot="1" x14ac:dyDescent="0.3">
      <c r="A5" s="90" t="s">
        <v>24</v>
      </c>
      <c r="B5" s="322">
        <f>+'Tariff Tables'!S13+'Tariff Tables'!S22</f>
        <v>0</v>
      </c>
      <c r="C5" s="322">
        <f>+'Tariff Tables'!T13+'Tariff Tables'!T22</f>
        <v>1E-4</v>
      </c>
      <c r="D5" s="322">
        <f>+'Tariff Tables'!U13+'Tariff Tables'!U22</f>
        <v>-4.0000000000000003E-5</v>
      </c>
      <c r="E5" s="322">
        <f>+'Tariff Tables'!V13+'Tariff Tables'!V22</f>
        <v>-1.0000000000000001E-5</v>
      </c>
      <c r="F5" s="233">
        <f>SUM(B5:E5)</f>
        <v>5.0000000000000002E-5</v>
      </c>
    </row>
    <row r="6" spans="1:6" ht="15.75" thickBot="1" x14ac:dyDescent="0.3">
      <c r="A6" s="90" t="s">
        <v>107</v>
      </c>
      <c r="B6" s="322">
        <f>+'Tariff Tables'!S14+'Tariff Tables'!S23</f>
        <v>0</v>
      </c>
      <c r="C6" s="322">
        <f>+'Tariff Tables'!T14+'Tariff Tables'!T23</f>
        <v>6.0000000000000002E-5</v>
      </c>
      <c r="D6" s="322">
        <f>+'Tariff Tables'!U14+'Tariff Tables'!U23</f>
        <v>-1.0000000000000001E-5</v>
      </c>
      <c r="E6" s="322">
        <f>+'Tariff Tables'!V14+'Tariff Tables'!V23</f>
        <v>0</v>
      </c>
      <c r="F6" s="233">
        <f t="shared" ref="F6:F9" si="0">SUM(B6:E6)</f>
        <v>5.0000000000000002E-5</v>
      </c>
    </row>
    <row r="7" spans="1:6" ht="15.75" thickBot="1" x14ac:dyDescent="0.3">
      <c r="A7" s="90" t="s">
        <v>108</v>
      </c>
      <c r="B7" s="322">
        <f>+'Tariff Tables'!S15+'Tariff Tables'!S24</f>
        <v>0</v>
      </c>
      <c r="C7" s="322">
        <f>+'Tariff Tables'!T15+'Tariff Tables'!T24</f>
        <v>9.0000000000000006E-5</v>
      </c>
      <c r="D7" s="322">
        <f>+'Tariff Tables'!U15+'Tariff Tables'!U24</f>
        <v>2.0000000000000002E-5</v>
      </c>
      <c r="E7" s="322">
        <f>+'Tariff Tables'!V15+'Tariff Tables'!V24</f>
        <v>0</v>
      </c>
      <c r="F7" s="233">
        <f t="shared" si="0"/>
        <v>1.1E-4</v>
      </c>
    </row>
    <row r="8" spans="1:6" ht="15.75" thickBot="1" x14ac:dyDescent="0.3">
      <c r="A8" s="90" t="s">
        <v>109</v>
      </c>
      <c r="B8" s="322">
        <f>+'Tariff Tables'!S16+'Tariff Tables'!S25</f>
        <v>0</v>
      </c>
      <c r="C8" s="322">
        <f>+'Tariff Tables'!T16+'Tariff Tables'!T25</f>
        <v>6.9999999999999994E-5</v>
      </c>
      <c r="D8" s="322">
        <f>+'Tariff Tables'!U16+'Tariff Tables'!U25</f>
        <v>2.0000000000000002E-5</v>
      </c>
      <c r="E8" s="322">
        <f>+'Tariff Tables'!V16+'Tariff Tables'!V25</f>
        <v>0</v>
      </c>
      <c r="F8" s="233">
        <f t="shared" si="0"/>
        <v>8.9999999999999992E-5</v>
      </c>
    </row>
    <row r="9" spans="1:6" ht="15.75" thickBot="1" x14ac:dyDescent="0.3">
      <c r="A9" s="90" t="s">
        <v>110</v>
      </c>
      <c r="B9" s="322">
        <f>+'Tariff Tables'!S17+'Tariff Tables'!S26</f>
        <v>0</v>
      </c>
      <c r="C9" s="322">
        <f>+'Tariff Tables'!T17+'Tariff Tables'!T26</f>
        <v>5.0000000000000002E-5</v>
      </c>
      <c r="D9" s="322">
        <f>+'Tariff Tables'!U17+'Tariff Tables'!U26</f>
        <v>2.0000000000000002E-5</v>
      </c>
      <c r="E9" s="322">
        <f>+'Tariff Tables'!V17+'Tariff Tables'!V26</f>
        <v>0</v>
      </c>
      <c r="F9" s="233">
        <f t="shared" si="0"/>
        <v>7.0000000000000007E-5</v>
      </c>
    </row>
    <row r="12" spans="1:6" ht="15.75" thickBot="1" x14ac:dyDescent="0.3">
      <c r="A12" s="3" t="s">
        <v>128</v>
      </c>
      <c r="B12" s="46"/>
      <c r="C12" s="46"/>
      <c r="D12" s="46"/>
      <c r="E12" s="46"/>
      <c r="F12" s="46"/>
    </row>
    <row r="13" spans="1:6" ht="27.75" thickBot="1" x14ac:dyDescent="0.3">
      <c r="A13" s="87" t="s">
        <v>134</v>
      </c>
      <c r="B13" s="127" t="s">
        <v>133</v>
      </c>
      <c r="C13" s="127" t="s">
        <v>132</v>
      </c>
      <c r="D13" s="127" t="s">
        <v>131</v>
      </c>
      <c r="E13" s="127" t="s">
        <v>130</v>
      </c>
      <c r="F13" s="89" t="s">
        <v>156</v>
      </c>
    </row>
    <row r="14" spans="1:6" ht="15.75" thickBot="1" x14ac:dyDescent="0.3">
      <c r="A14" s="90" t="s">
        <v>24</v>
      </c>
      <c r="B14" s="322">
        <f>+'Tariff Tables'!X13+'Tariff Tables'!X22</f>
        <v>2.6999999999999997E-3</v>
      </c>
      <c r="C14" s="322">
        <f>+'Tariff Tables'!Y13+'Tariff Tables'!Y22</f>
        <v>6.6E-4</v>
      </c>
      <c r="D14" s="322">
        <f>+'Tariff Tables'!Z13+'Tariff Tables'!Z22</f>
        <v>5.2000000000000006E-4</v>
      </c>
      <c r="E14" s="322">
        <f>+'Tariff Tables'!AA13+'Tariff Tables'!AA22</f>
        <v>-4.0000000000000003E-5</v>
      </c>
      <c r="F14" s="233">
        <f>SUM(B14:E14)</f>
        <v>3.8399999999999997E-3</v>
      </c>
    </row>
    <row r="15" spans="1:6" ht="15.75" thickBot="1" x14ac:dyDescent="0.3">
      <c r="A15" s="90" t="s">
        <v>107</v>
      </c>
      <c r="B15" s="322">
        <f>+'Tariff Tables'!X14+'Tariff Tables'!X23</f>
        <v>1.2799999999999999E-3</v>
      </c>
      <c r="C15" s="322">
        <f>+'Tariff Tables'!Y14+'Tariff Tables'!Y23</f>
        <v>4.0999999999999999E-4</v>
      </c>
      <c r="D15" s="322">
        <f>+'Tariff Tables'!Z14+'Tariff Tables'!Z23</f>
        <v>3.1E-4</v>
      </c>
      <c r="E15" s="322">
        <f>+'Tariff Tables'!AA14+'Tariff Tables'!AA23</f>
        <v>0</v>
      </c>
      <c r="F15" s="233">
        <f t="shared" ref="F15:F18" si="1">SUM(B15:E15)</f>
        <v>2E-3</v>
      </c>
    </row>
    <row r="16" spans="1:6" ht="15.75" thickBot="1" x14ac:dyDescent="0.3">
      <c r="A16" s="90" t="s">
        <v>108</v>
      </c>
      <c r="B16" s="322">
        <f>+'Tariff Tables'!X15+'Tariff Tables'!X24</f>
        <v>2.32E-3</v>
      </c>
      <c r="C16" s="322">
        <f>+'Tariff Tables'!Y15+'Tariff Tables'!Y24</f>
        <v>5.1000000000000004E-4</v>
      </c>
      <c r="D16" s="322">
        <f>+'Tariff Tables'!Z15+'Tariff Tables'!Z24</f>
        <v>3.3E-4</v>
      </c>
      <c r="E16" s="322">
        <f>+'Tariff Tables'!AA15+'Tariff Tables'!AA24</f>
        <v>0</v>
      </c>
      <c r="F16" s="233">
        <f t="shared" si="1"/>
        <v>3.16E-3</v>
      </c>
    </row>
    <row r="17" spans="1:7" ht="15.75" thickBot="1" x14ac:dyDescent="0.3">
      <c r="A17" s="90" t="s">
        <v>109</v>
      </c>
      <c r="B17" s="322">
        <f>+'Tariff Tables'!X16+'Tariff Tables'!X25</f>
        <v>1.9599999999999999E-3</v>
      </c>
      <c r="C17" s="322">
        <f>+'Tariff Tables'!Y16+'Tariff Tables'!Y25</f>
        <v>2.9E-4</v>
      </c>
      <c r="D17" s="322">
        <f>+'Tariff Tables'!Z16+'Tariff Tables'!Z25</f>
        <v>4.0000000000000002E-4</v>
      </c>
      <c r="E17" s="322">
        <f>+'Tariff Tables'!AA16+'Tariff Tables'!AA25</f>
        <v>0</v>
      </c>
      <c r="F17" s="233">
        <f t="shared" si="1"/>
        <v>2.65E-3</v>
      </c>
    </row>
    <row r="18" spans="1:7" ht="15.75" thickBot="1" x14ac:dyDescent="0.3">
      <c r="A18" s="90" t="s">
        <v>110</v>
      </c>
      <c r="B18" s="322">
        <f>+'Tariff Tables'!X17+'Tariff Tables'!X26</f>
        <v>9.1E-4</v>
      </c>
      <c r="C18" s="322">
        <f>+'Tariff Tables'!Y17+'Tariff Tables'!Y26</f>
        <v>8.0000000000000007E-5</v>
      </c>
      <c r="D18" s="322">
        <f>+'Tariff Tables'!Z17+'Tariff Tables'!Z26</f>
        <v>2.3000000000000001E-4</v>
      </c>
      <c r="E18" s="322">
        <f>+'Tariff Tables'!AA17+'Tariff Tables'!AA26</f>
        <v>0</v>
      </c>
      <c r="F18" s="233">
        <f t="shared" si="1"/>
        <v>1.2199999999999999E-3</v>
      </c>
    </row>
    <row r="21" spans="1:7" ht="15.75" thickBot="1" x14ac:dyDescent="0.3">
      <c r="A21" s="3" t="s">
        <v>129</v>
      </c>
      <c r="B21" s="46"/>
      <c r="C21" s="46"/>
      <c r="D21" s="46"/>
      <c r="E21" s="46"/>
      <c r="F21" s="46"/>
    </row>
    <row r="22" spans="1:7" ht="27.75" thickBot="1" x14ac:dyDescent="0.3">
      <c r="A22" s="87" t="s">
        <v>134</v>
      </c>
      <c r="B22" s="127" t="s">
        <v>133</v>
      </c>
      <c r="C22" s="127" t="s">
        <v>132</v>
      </c>
      <c r="D22" s="127" t="s">
        <v>131</v>
      </c>
      <c r="E22" s="127" t="s">
        <v>130</v>
      </c>
      <c r="F22" s="89" t="s">
        <v>156</v>
      </c>
    </row>
    <row r="23" spans="1:7" ht="15.75" thickBot="1" x14ac:dyDescent="0.3">
      <c r="A23" s="90" t="s">
        <v>24</v>
      </c>
      <c r="B23" s="323">
        <f>+B5+B14</f>
        <v>2.6999999999999997E-3</v>
      </c>
      <c r="C23" s="235">
        <f t="shared" ref="C23:E23" si="2">+C5+C14</f>
        <v>7.6000000000000004E-4</v>
      </c>
      <c r="D23" s="235">
        <f t="shared" si="2"/>
        <v>4.8000000000000007E-4</v>
      </c>
      <c r="E23" s="235">
        <f t="shared" si="2"/>
        <v>-5.0000000000000002E-5</v>
      </c>
      <c r="F23" s="233">
        <f>SUM(B23:E23)</f>
        <v>3.8899999999999998E-3</v>
      </c>
      <c r="G23" s="236">
        <f>+F23-'Tariff Tables'!H4</f>
        <v>0</v>
      </c>
    </row>
    <row r="24" spans="1:7" ht="15.75" thickBot="1" x14ac:dyDescent="0.3">
      <c r="A24" s="90" t="s">
        <v>107</v>
      </c>
      <c r="B24" s="234">
        <f t="shared" ref="B24:E24" si="3">+B6+B15</f>
        <v>1.2799999999999999E-3</v>
      </c>
      <c r="C24" s="235">
        <f t="shared" si="3"/>
        <v>4.6999999999999999E-4</v>
      </c>
      <c r="D24" s="235">
        <f t="shared" si="3"/>
        <v>2.9999999999999997E-4</v>
      </c>
      <c r="E24" s="235">
        <f t="shared" si="3"/>
        <v>0</v>
      </c>
      <c r="F24" s="233">
        <f t="shared" ref="F24:F27" si="4">SUM(B24:E24)</f>
        <v>2.0499999999999997E-3</v>
      </c>
      <c r="G24" s="236">
        <f>+F24-'Tariff Tables'!H5</f>
        <v>0</v>
      </c>
    </row>
    <row r="25" spans="1:7" ht="15.75" thickBot="1" x14ac:dyDescent="0.3">
      <c r="A25" s="90" t="s">
        <v>108</v>
      </c>
      <c r="B25" s="234">
        <f t="shared" ref="B25:E25" si="5">+B7+B16</f>
        <v>2.32E-3</v>
      </c>
      <c r="C25" s="235">
        <f t="shared" si="5"/>
        <v>6.0000000000000006E-4</v>
      </c>
      <c r="D25" s="235">
        <f t="shared" si="5"/>
        <v>3.5E-4</v>
      </c>
      <c r="E25" s="235">
        <f t="shared" si="5"/>
        <v>0</v>
      </c>
      <c r="F25" s="233">
        <f t="shared" si="4"/>
        <v>3.2699999999999999E-3</v>
      </c>
      <c r="G25" s="236">
        <f>+F25-'Tariff Tables'!H6</f>
        <v>0</v>
      </c>
    </row>
    <row r="26" spans="1:7" ht="15.75" thickBot="1" x14ac:dyDescent="0.3">
      <c r="A26" s="90" t="s">
        <v>109</v>
      </c>
      <c r="B26" s="234">
        <f t="shared" ref="B26:E26" si="6">+B8+B17</f>
        <v>1.9599999999999999E-3</v>
      </c>
      <c r="C26" s="235">
        <f t="shared" si="6"/>
        <v>3.5999999999999997E-4</v>
      </c>
      <c r="D26" s="235">
        <f t="shared" si="6"/>
        <v>4.2000000000000002E-4</v>
      </c>
      <c r="E26" s="235">
        <f t="shared" si="6"/>
        <v>0</v>
      </c>
      <c r="F26" s="233">
        <f t="shared" si="4"/>
        <v>2.7400000000000002E-3</v>
      </c>
      <c r="G26" s="236">
        <f>+F26-'Tariff Tables'!H7</f>
        <v>0</v>
      </c>
    </row>
    <row r="27" spans="1:7" ht="15.75" thickBot="1" x14ac:dyDescent="0.3">
      <c r="A27" s="90" t="s">
        <v>110</v>
      </c>
      <c r="B27" s="234">
        <f t="shared" ref="B27:E27" si="7">+B9+B18</f>
        <v>9.1E-4</v>
      </c>
      <c r="C27" s="235">
        <f t="shared" si="7"/>
        <v>1.3000000000000002E-4</v>
      </c>
      <c r="D27" s="235">
        <f t="shared" si="7"/>
        <v>2.5000000000000001E-4</v>
      </c>
      <c r="E27" s="235">
        <f t="shared" si="7"/>
        <v>0</v>
      </c>
      <c r="F27" s="233">
        <f t="shared" si="4"/>
        <v>1.2900000000000001E-3</v>
      </c>
      <c r="G27" s="236">
        <f>+F27-'Tariff Tables'!H8</f>
        <v>0</v>
      </c>
    </row>
    <row r="29" spans="1:7" x14ac:dyDescent="0.25">
      <c r="B29" s="236">
        <f>+B23-'Tariff Tables'!J4</f>
        <v>0</v>
      </c>
      <c r="C29" s="236">
        <f>+C23-'Tariff Tables'!K4</f>
        <v>0</v>
      </c>
      <c r="D29" s="236">
        <f>+D23-'Tariff Tables'!L4</f>
        <v>0</v>
      </c>
      <c r="E29" s="236">
        <f>+E23-'Tariff Tables'!M4</f>
        <v>0</v>
      </c>
      <c r="F29" s="236"/>
    </row>
    <row r="30" spans="1:7" x14ac:dyDescent="0.25">
      <c r="B30" s="236">
        <f>+B24-'Tariff Tables'!J5</f>
        <v>0</v>
      </c>
      <c r="C30" s="236">
        <f>+C24-'Tariff Tables'!K5</f>
        <v>0</v>
      </c>
      <c r="D30" s="236">
        <f>+D24-'Tariff Tables'!L5</f>
        <v>0</v>
      </c>
      <c r="E30" s="236">
        <f>+E24-'Tariff Tables'!M5</f>
        <v>0</v>
      </c>
      <c r="F30" s="236"/>
    </row>
    <row r="31" spans="1:7" x14ac:dyDescent="0.25">
      <c r="B31" s="236">
        <f>+B25-'Tariff Tables'!J6</f>
        <v>0</v>
      </c>
      <c r="C31" s="236">
        <f>+C25-'Tariff Tables'!K6</f>
        <v>0</v>
      </c>
      <c r="D31" s="236">
        <f>+D25-'Tariff Tables'!L6</f>
        <v>0</v>
      </c>
      <c r="E31" s="236">
        <f>+E25-'Tariff Tables'!M6</f>
        <v>0</v>
      </c>
      <c r="F31" s="236"/>
    </row>
    <row r="32" spans="1:7" x14ac:dyDescent="0.25">
      <c r="B32" s="236">
        <f>+B26-'Tariff Tables'!J7</f>
        <v>0</v>
      </c>
      <c r="C32" s="236">
        <f>+C26-'Tariff Tables'!K7</f>
        <v>0</v>
      </c>
      <c r="D32" s="236">
        <f>+D26-'Tariff Tables'!L7</f>
        <v>0</v>
      </c>
      <c r="E32" s="236">
        <f>+E26-'Tariff Tables'!M7</f>
        <v>0</v>
      </c>
      <c r="F32" s="236"/>
    </row>
    <row r="33" spans="2:6" x14ac:dyDescent="0.25">
      <c r="B33" s="236">
        <f>+B27-'Tariff Tables'!J8</f>
        <v>0</v>
      </c>
      <c r="C33" s="236">
        <f>+C27-'Tariff Tables'!K8</f>
        <v>0</v>
      </c>
      <c r="D33" s="236">
        <f>+D27-'Tariff Tables'!L8</f>
        <v>0</v>
      </c>
      <c r="E33" s="236">
        <f>+E27-'Tariff Tables'!M8</f>
        <v>0</v>
      </c>
      <c r="F33" s="236"/>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A19" sqref="A19"/>
    </sheetView>
  </sheetViews>
  <sheetFormatPr defaultColWidth="9.140625" defaultRowHeight="15" x14ac:dyDescent="0.25"/>
  <cols>
    <col min="1" max="1" width="20.85546875" style="46" customWidth="1"/>
    <col min="2" max="2" width="22" style="46" customWidth="1"/>
    <col min="3" max="3" width="17.28515625" style="46" customWidth="1"/>
    <col min="4" max="4" width="14.85546875" style="46" customWidth="1"/>
    <col min="5" max="5" width="16.140625" style="46" customWidth="1"/>
    <col min="6" max="6" width="10.7109375" style="46" bestFit="1" customWidth="1"/>
    <col min="7" max="16384" width="9.140625" style="46"/>
  </cols>
  <sheetData>
    <row r="1" spans="1:25" x14ac:dyDescent="0.25">
      <c r="A1" s="63" t="s">
        <v>232</v>
      </c>
    </row>
    <row r="2" spans="1:25" x14ac:dyDescent="0.25">
      <c r="A2" s="9" t="s">
        <v>233</v>
      </c>
    </row>
    <row r="3" spans="1:25" ht="35.25" customHeight="1" x14ac:dyDescent="0.25">
      <c r="B3" s="325" t="s">
        <v>113</v>
      </c>
      <c r="C3" s="325"/>
    </row>
    <row r="4" spans="1:25" ht="75" x14ac:dyDescent="0.25">
      <c r="B4" s="70" t="s">
        <v>44</v>
      </c>
      <c r="C4" s="230" t="s">
        <v>26</v>
      </c>
      <c r="D4" s="279" t="s">
        <v>285</v>
      </c>
      <c r="E4" s="279" t="s">
        <v>286</v>
      </c>
    </row>
    <row r="5" spans="1:25" x14ac:dyDescent="0.25">
      <c r="A5" s="20" t="s">
        <v>24</v>
      </c>
      <c r="B5" s="75">
        <f>SUM('[1]Billed kWh Sales'!$H36:$I36)</f>
        <v>2679841400</v>
      </c>
      <c r="C5" s="228">
        <f>SUM(D5:E5)</f>
        <v>7009252.8900000006</v>
      </c>
      <c r="D5" s="228">
        <f>ROUND(SUM('[2]Monthly Program Costs Ext'!$BD$290:$BO$290),2)</f>
        <v>76774.92</v>
      </c>
      <c r="E5" s="228">
        <f>'[19]Metro by program and class'!$Q$31</f>
        <v>6932477.9700000007</v>
      </c>
      <c r="F5" s="47"/>
    </row>
    <row r="6" spans="1:25" x14ac:dyDescent="0.25">
      <c r="A6" s="20" t="s">
        <v>107</v>
      </c>
      <c r="B6" s="75">
        <f>SUM('[1]Billed kWh Sales'!$H37:$I37)</f>
        <v>604271148</v>
      </c>
      <c r="C6" s="228">
        <f>SUM(D6:E6)</f>
        <v>688974.45</v>
      </c>
      <c r="D6" s="228">
        <f>ROUND(SUM('[2]Monthly Program Costs Ext'!$BD$291:$BO$291),2)</f>
        <v>12246</v>
      </c>
      <c r="E6" s="228">
        <f>'[19]Metro by program and class'!$R$31</f>
        <v>676728.45</v>
      </c>
      <c r="F6" s="47"/>
    </row>
    <row r="7" spans="1:25" x14ac:dyDescent="0.25">
      <c r="A7" s="20" t="s">
        <v>108</v>
      </c>
      <c r="B7" s="75">
        <f>SUM('[1]Billed kWh Sales'!$H38:$I38)</f>
        <v>1111128667</v>
      </c>
      <c r="C7" s="228">
        <f>SUM(D7:E7)</f>
        <v>1876827.8700000003</v>
      </c>
      <c r="D7" s="228">
        <f>ROUND(SUM('[2]Monthly Program Costs Ext'!$BD$292:$BO$292),2)</f>
        <v>24568.799999999999</v>
      </c>
      <c r="E7" s="228">
        <f>'[19]Metro by program and class'!$S$31</f>
        <v>1852259.0700000003</v>
      </c>
      <c r="F7" s="47"/>
    </row>
    <row r="8" spans="1:25" x14ac:dyDescent="0.25">
      <c r="A8" s="20" t="s">
        <v>109</v>
      </c>
      <c r="B8" s="75">
        <f>SUM('[1]Billed kWh Sales'!$H39:$I39)</f>
        <v>1798734802</v>
      </c>
      <c r="C8" s="228">
        <f>SUM(D8:E8)</f>
        <v>2983392.59</v>
      </c>
      <c r="D8" s="228">
        <f>ROUND(SUM('[2]Monthly Program Costs Ext'!$BD$293:$BO$293),2)</f>
        <v>39089.22</v>
      </c>
      <c r="E8" s="228">
        <f>'[19]Metro by program and class'!$T$31</f>
        <v>2944303.3699999996</v>
      </c>
      <c r="F8" s="47"/>
    </row>
    <row r="9" spans="1:25" x14ac:dyDescent="0.25">
      <c r="A9" s="20" t="s">
        <v>110</v>
      </c>
      <c r="B9" s="75">
        <f>SUM('[1]Billed kWh Sales'!$H40:$I40)</f>
        <v>467837333</v>
      </c>
      <c r="C9" s="228">
        <f>SUM(D9:E9)</f>
        <v>472714.38999999996</v>
      </c>
      <c r="D9" s="228">
        <f>ROUND(SUM('[2]Monthly Program Costs Ext'!$BD$294:$BO$294),2)</f>
        <v>10446.540000000001</v>
      </c>
      <c r="E9" s="228">
        <f>'[19]Metro by program and class'!$U$31</f>
        <v>462267.85</v>
      </c>
      <c r="F9" s="47"/>
      <c r="P9" s="1"/>
      <c r="Q9" s="1"/>
      <c r="R9" s="1"/>
      <c r="S9" s="1"/>
      <c r="T9" s="1"/>
      <c r="U9" s="1"/>
      <c r="V9" s="1"/>
      <c r="W9" s="1"/>
      <c r="X9" s="1"/>
      <c r="Y9" s="1"/>
    </row>
    <row r="10" spans="1:25" x14ac:dyDescent="0.25">
      <c r="A10" s="30" t="s">
        <v>112</v>
      </c>
      <c r="B10" s="245">
        <f>SUM(B5:B9)</f>
        <v>6661813350</v>
      </c>
      <c r="C10" s="229">
        <f>SUM(C5:C9)</f>
        <v>13031162.190000001</v>
      </c>
      <c r="D10" s="229">
        <f>SUM(D5:D9)</f>
        <v>163125.48000000001</v>
      </c>
      <c r="E10" s="229">
        <f>SUM(E5:E9)</f>
        <v>12868036.710000001</v>
      </c>
      <c r="P10" s="1"/>
      <c r="Q10" s="1"/>
      <c r="R10" s="1"/>
      <c r="S10" s="1"/>
      <c r="T10" s="1"/>
      <c r="U10" s="1"/>
      <c r="V10" s="1"/>
      <c r="W10" s="1"/>
      <c r="X10" s="1"/>
      <c r="Y10" s="1"/>
    </row>
    <row r="12" spans="1:25" x14ac:dyDescent="0.25">
      <c r="A12" s="53" t="s">
        <v>11</v>
      </c>
    </row>
    <row r="13" spans="1:25" ht="45.75" customHeight="1" x14ac:dyDescent="0.25">
      <c r="A13" s="324" t="s">
        <v>230</v>
      </c>
      <c r="B13" s="324"/>
      <c r="C13" s="324"/>
      <c r="D13" s="324"/>
      <c r="E13" s="324"/>
      <c r="F13" s="281"/>
      <c r="G13" s="326"/>
      <c r="H13" s="326"/>
      <c r="I13" s="326"/>
    </row>
    <row r="14" spans="1:25" x14ac:dyDescent="0.25">
      <c r="A14" s="324" t="s">
        <v>234</v>
      </c>
      <c r="B14" s="324"/>
      <c r="C14" s="324"/>
      <c r="D14" s="324"/>
      <c r="E14" s="324"/>
    </row>
    <row r="15" spans="1:25" x14ac:dyDescent="0.25">
      <c r="A15" s="324" t="s">
        <v>235</v>
      </c>
      <c r="B15" s="324"/>
      <c r="C15" s="324"/>
      <c r="D15" s="324"/>
      <c r="E15" s="324"/>
    </row>
    <row r="16" spans="1:25" ht="30" customHeight="1" x14ac:dyDescent="0.25">
      <c r="A16" s="324" t="s">
        <v>287</v>
      </c>
      <c r="B16" s="324"/>
      <c r="C16" s="324"/>
      <c r="D16" s="324"/>
      <c r="E16" s="324"/>
    </row>
    <row r="24" spans="3:3" x14ac:dyDescent="0.25">
      <c r="C24" s="2"/>
    </row>
    <row r="46" spans="2:3" x14ac:dyDescent="0.25">
      <c r="B46" s="8"/>
      <c r="C46" s="8"/>
    </row>
    <row r="50" spans="2:3" x14ac:dyDescent="0.25">
      <c r="B50" s="8"/>
      <c r="C50" s="8"/>
    </row>
  </sheetData>
  <mergeCells count="6">
    <mergeCell ref="A16:E16"/>
    <mergeCell ref="B3:C3"/>
    <mergeCell ref="G13:I13"/>
    <mergeCell ref="A14:E14"/>
    <mergeCell ref="A13:E13"/>
    <mergeCell ref="A15:E1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A12" workbookViewId="0">
      <selection activeCell="P40" sqref="P40"/>
    </sheetView>
  </sheetViews>
  <sheetFormatPr defaultColWidth="9.140625" defaultRowHeight="15" outlineLevelCol="1" x14ac:dyDescent="0.25"/>
  <cols>
    <col min="1" max="1" width="54.5703125" style="46" customWidth="1"/>
    <col min="2" max="2" width="15.42578125" style="46" customWidth="1"/>
    <col min="3" max="3" width="15.85546875" style="46" customWidth="1"/>
    <col min="4" max="4" width="15" style="46" hidden="1" customWidth="1" outlineLevel="1"/>
    <col min="5" max="5" width="15.28515625" style="46" customWidth="1" collapsed="1"/>
    <col min="6" max="6" width="15.85546875" style="46" customWidth="1"/>
    <col min="7" max="7" width="17.5703125" style="46" customWidth="1"/>
    <col min="8" max="9" width="13.28515625" style="46" customWidth="1"/>
    <col min="10" max="10" width="15.7109375" style="46" customWidth="1"/>
    <col min="11" max="12" width="12.5703125" style="46" bestFit="1" customWidth="1"/>
    <col min="13" max="13" width="14.42578125" style="46" customWidth="1"/>
    <col min="14" max="14" width="15" style="46" bestFit="1" customWidth="1"/>
    <col min="15" max="15" width="16.28515625" style="46" bestFit="1" customWidth="1"/>
    <col min="16" max="16" width="16.140625" style="46" customWidth="1" outlineLevel="1"/>
    <col min="17" max="17" width="17.28515625" style="46" bestFit="1" customWidth="1"/>
    <col min="18" max="18" width="17.42578125" style="46" customWidth="1"/>
    <col min="19" max="19" width="15.5703125" style="46" customWidth="1"/>
    <col min="20" max="20" width="13" style="46" customWidth="1"/>
    <col min="21" max="21" width="9.140625" style="46"/>
    <col min="22" max="22" width="14.28515625" style="46" bestFit="1" customWidth="1"/>
    <col min="23" max="16384" width="9.140625" style="46"/>
  </cols>
  <sheetData>
    <row r="1" spans="1:35" x14ac:dyDescent="0.25">
      <c r="A1" s="3" t="str">
        <f>+'PPC Cycle 3'!A1</f>
        <v>Evergy Metro, Inc. - DSIM Rider Update Filed 12/01/2023</v>
      </c>
      <c r="B1" s="3"/>
      <c r="C1" s="3"/>
      <c r="D1" s="3"/>
    </row>
    <row r="2" spans="1:35" x14ac:dyDescent="0.25">
      <c r="E2" s="3" t="s">
        <v>60</v>
      </c>
    </row>
    <row r="3" spans="1:35" ht="30" x14ac:dyDescent="0.25">
      <c r="E3" s="48" t="s">
        <v>46</v>
      </c>
      <c r="F3" s="48" t="s">
        <v>45</v>
      </c>
      <c r="G3" s="70" t="s">
        <v>2</v>
      </c>
      <c r="H3" s="48" t="s">
        <v>3</v>
      </c>
      <c r="I3" s="70" t="s">
        <v>55</v>
      </c>
      <c r="J3" s="48" t="s">
        <v>10</v>
      </c>
      <c r="K3" s="48" t="s">
        <v>4</v>
      </c>
    </row>
    <row r="4" spans="1:35" x14ac:dyDescent="0.25">
      <c r="A4" s="20" t="s">
        <v>24</v>
      </c>
      <c r="E4" s="22">
        <f>SUM(C34:M34)</f>
        <v>0</v>
      </c>
      <c r="F4" s="134">
        <f>SUM(C27:M27)</f>
        <v>1539185400.9835</v>
      </c>
      <c r="G4" s="22">
        <f>SUM(C23:L23)</f>
        <v>0</v>
      </c>
      <c r="H4" s="22">
        <f>G4-E4</f>
        <v>0</v>
      </c>
      <c r="I4" s="22">
        <f>+B47</f>
        <v>-2.3305801732931286E-12</v>
      </c>
      <c r="J4" s="22">
        <f>SUM(C52:L52)</f>
        <v>0</v>
      </c>
      <c r="K4" s="25">
        <f>SUM(H4:J4)</f>
        <v>-2.3305801732931286E-12</v>
      </c>
      <c r="L4" s="47">
        <f>+K4-M47</f>
        <v>0</v>
      </c>
    </row>
    <row r="5" spans="1:35" ht="15.75" thickBot="1" x14ac:dyDescent="0.3">
      <c r="A5" s="20" t="s">
        <v>25</v>
      </c>
      <c r="E5" s="22">
        <f>SUM(C35:M38)</f>
        <v>-6314.0899999999992</v>
      </c>
      <c r="F5" s="134">
        <f>SUM(C28:M31)</f>
        <v>2088678850.5417001</v>
      </c>
      <c r="G5" s="22">
        <f>SUM(C24:L24)</f>
        <v>0</v>
      </c>
      <c r="H5" s="22">
        <f>G5-E5</f>
        <v>6314.0899999999992</v>
      </c>
      <c r="I5" s="22">
        <f>+B48</f>
        <v>-18806.950000000026</v>
      </c>
      <c r="J5" s="22">
        <f>SUM(C53:L53)</f>
        <v>-554.25</v>
      </c>
      <c r="K5" s="25">
        <f>SUM(H5:J5)</f>
        <v>-13047.110000000026</v>
      </c>
      <c r="L5" s="47">
        <f>+K5-M48</f>
        <v>0</v>
      </c>
    </row>
    <row r="6" spans="1:35" ht="16.5" thickTop="1" thickBot="1" x14ac:dyDescent="0.3">
      <c r="E6" s="27">
        <f t="shared" ref="E6" si="0">SUM(E4:E5)</f>
        <v>-6314.0899999999992</v>
      </c>
      <c r="F6" s="27">
        <f t="shared" ref="F6:I6" si="1">SUM(F4:F5)</f>
        <v>3627864251.5251999</v>
      </c>
      <c r="G6" s="27">
        <f t="shared" si="1"/>
        <v>0</v>
      </c>
      <c r="H6" s="27">
        <f t="shared" si="1"/>
        <v>6314.0899999999992</v>
      </c>
      <c r="I6" s="27">
        <f t="shared" si="1"/>
        <v>-18806.95000000003</v>
      </c>
      <c r="J6" s="27">
        <f>SUM(J4:J5)</f>
        <v>-554.25</v>
      </c>
      <c r="K6" s="27">
        <f>SUM(K4:K5)</f>
        <v>-13047.110000000028</v>
      </c>
    </row>
    <row r="7" spans="1:35" ht="45.75" thickTop="1" x14ac:dyDescent="0.25">
      <c r="E7" s="226"/>
      <c r="F7" s="227"/>
      <c r="G7" s="226"/>
      <c r="H7" s="226"/>
      <c r="I7" s="226"/>
      <c r="J7" s="225"/>
      <c r="K7" s="225"/>
      <c r="L7" s="224" t="s">
        <v>123</v>
      </c>
    </row>
    <row r="8" spans="1:35" x14ac:dyDescent="0.25">
      <c r="A8" s="20" t="s">
        <v>107</v>
      </c>
      <c r="E8" s="226"/>
      <c r="F8" s="227"/>
      <c r="G8" s="226"/>
      <c r="H8" s="226"/>
      <c r="I8" s="226"/>
      <c r="J8" s="225"/>
      <c r="K8" s="25">
        <f>ROUND($K$5*L8,2)</f>
        <v>-1771.33</v>
      </c>
      <c r="L8" s="222">
        <f>+'[3]Monthly TD Calc'!$DC$44</f>
        <v>0.13576441564001979</v>
      </c>
    </row>
    <row r="9" spans="1:35" x14ac:dyDescent="0.25">
      <c r="A9" s="20" t="s">
        <v>108</v>
      </c>
      <c r="E9" s="226"/>
      <c r="F9" s="227"/>
      <c r="G9" s="226"/>
      <c r="H9" s="226"/>
      <c r="I9" s="226"/>
      <c r="J9" s="225"/>
      <c r="K9" s="25">
        <f t="shared" ref="K9:K11" si="2">ROUND($K$5*L9,2)</f>
        <v>-4646.28</v>
      </c>
      <c r="L9" s="222">
        <f>+'[3]Monthly TD Calc'!$DD$44</f>
        <v>0.35611574316442379</v>
      </c>
    </row>
    <row r="10" spans="1:35" x14ac:dyDescent="0.25">
      <c r="A10" s="20" t="s">
        <v>109</v>
      </c>
      <c r="E10" s="226"/>
      <c r="F10" s="227"/>
      <c r="G10" s="226"/>
      <c r="H10" s="226"/>
      <c r="I10" s="226"/>
      <c r="J10" s="225"/>
      <c r="K10" s="25">
        <f t="shared" si="2"/>
        <v>-5457.85</v>
      </c>
      <c r="L10" s="222">
        <f>+'[3]Monthly TD Calc'!$DE$44</f>
        <v>0.4183185730547726</v>
      </c>
    </row>
    <row r="11" spans="1:35" ht="15.75" thickBot="1" x14ac:dyDescent="0.3">
      <c r="A11" s="20" t="s">
        <v>110</v>
      </c>
      <c r="E11" s="226"/>
      <c r="F11" s="227"/>
      <c r="G11" s="226"/>
      <c r="H11" s="226"/>
      <c r="I11" s="226"/>
      <c r="J11" s="225"/>
      <c r="K11" s="25">
        <f t="shared" si="2"/>
        <v>-1171.6500000000001</v>
      </c>
      <c r="L11" s="222">
        <f>+'[3]Monthly TD Calc'!$DF$44</f>
        <v>8.9801268140783777E-2</v>
      </c>
    </row>
    <row r="12" spans="1:35" ht="16.5" thickTop="1" thickBot="1" x14ac:dyDescent="0.3">
      <c r="A12" s="20" t="s">
        <v>112</v>
      </c>
      <c r="E12" s="226"/>
      <c r="F12" s="227"/>
      <c r="G12" s="226"/>
      <c r="H12" s="226"/>
      <c r="I12" s="226"/>
      <c r="J12" s="225"/>
      <c r="K12" s="27">
        <f>SUM(K8:K11)</f>
        <v>-13047.109999999999</v>
      </c>
      <c r="L12" s="223">
        <f>SUM(L8:L11)</f>
        <v>1</v>
      </c>
    </row>
    <row r="13" spans="1:35" ht="16.5" thickTop="1" thickBot="1" x14ac:dyDescent="0.3"/>
    <row r="14" spans="1:35" ht="60.75" thickBot="1" x14ac:dyDescent="0.3">
      <c r="B14" s="115" t="s">
        <v>236</v>
      </c>
      <c r="C14" s="267" t="s">
        <v>237</v>
      </c>
      <c r="D14" s="267"/>
      <c r="E14" s="332" t="s">
        <v>33</v>
      </c>
      <c r="F14" s="332"/>
      <c r="G14" s="333"/>
      <c r="H14" s="334" t="s">
        <v>33</v>
      </c>
      <c r="I14" s="335"/>
      <c r="J14" s="336"/>
      <c r="K14" s="328" t="s">
        <v>8</v>
      </c>
      <c r="L14" s="329"/>
      <c r="M14" s="330"/>
      <c r="P14" s="292" t="s">
        <v>284</v>
      </c>
    </row>
    <row r="15" spans="1:35" x14ac:dyDescent="0.25">
      <c r="A15" s="46" t="s">
        <v>32</v>
      </c>
      <c r="C15" s="14"/>
      <c r="D15" s="19"/>
      <c r="E15" s="19">
        <v>45077</v>
      </c>
      <c r="F15" s="19">
        <f>EOMONTH(E15,1)</f>
        <v>45107</v>
      </c>
      <c r="G15" s="19">
        <f t="shared" ref="G15:M15" si="3">EOMONTH(F15,1)</f>
        <v>45138</v>
      </c>
      <c r="H15" s="14">
        <f t="shared" si="3"/>
        <v>45169</v>
      </c>
      <c r="I15" s="19">
        <f t="shared" si="3"/>
        <v>45199</v>
      </c>
      <c r="J15" s="15">
        <f t="shared" si="3"/>
        <v>45230</v>
      </c>
      <c r="K15" s="19">
        <f t="shared" si="3"/>
        <v>45260</v>
      </c>
      <c r="L15" s="19">
        <f t="shared" si="3"/>
        <v>45291</v>
      </c>
      <c r="M15" s="95">
        <f t="shared" si="3"/>
        <v>45322</v>
      </c>
      <c r="P15" s="292"/>
      <c r="Z15" s="1"/>
      <c r="AA15" s="1"/>
      <c r="AB15" s="1"/>
      <c r="AC15" s="1"/>
      <c r="AD15" s="1"/>
      <c r="AE15" s="1"/>
      <c r="AF15" s="1"/>
      <c r="AG15" s="1"/>
      <c r="AH15" s="1"/>
      <c r="AI15" s="1"/>
    </row>
    <row r="16" spans="1:35" x14ac:dyDescent="0.25">
      <c r="A16" s="46" t="s">
        <v>24</v>
      </c>
      <c r="C16" s="97">
        <v>0</v>
      </c>
      <c r="D16" s="256"/>
      <c r="E16" s="109">
        <v>0</v>
      </c>
      <c r="F16" s="109">
        <v>0</v>
      </c>
      <c r="G16" s="110">
        <v>0</v>
      </c>
      <c r="H16" s="16">
        <v>0</v>
      </c>
      <c r="I16" s="55">
        <v>0</v>
      </c>
      <c r="J16" s="162">
        <v>0</v>
      </c>
      <c r="K16" s="172">
        <v>0</v>
      </c>
      <c r="L16" s="136">
        <v>0</v>
      </c>
      <c r="M16" s="76"/>
      <c r="P16" s="47">
        <f>-SUM(K16:M16)</f>
        <v>0</v>
      </c>
    </row>
    <row r="17" spans="1:16" x14ac:dyDescent="0.25">
      <c r="A17" s="46" t="s">
        <v>25</v>
      </c>
      <c r="C17" s="97">
        <v>0</v>
      </c>
      <c r="D17" s="256"/>
      <c r="E17" s="109">
        <v>0</v>
      </c>
      <c r="F17" s="109">
        <v>0</v>
      </c>
      <c r="G17" s="110">
        <v>0</v>
      </c>
      <c r="H17" s="16">
        <v>0</v>
      </c>
      <c r="I17" s="55">
        <v>0</v>
      </c>
      <c r="J17" s="162">
        <v>0</v>
      </c>
      <c r="K17" s="172">
        <v>0</v>
      </c>
      <c r="L17" s="136">
        <v>0</v>
      </c>
      <c r="M17" s="76"/>
      <c r="N17" s="63" t="s">
        <v>27</v>
      </c>
      <c r="P17" s="47">
        <f t="shared" ref="P17:P19" si="4">-SUM(K17:M17)</f>
        <v>0</v>
      </c>
    </row>
    <row r="18" spans="1:16" x14ac:dyDescent="0.25">
      <c r="A18" s="46" t="s">
        <v>0</v>
      </c>
      <c r="C18" s="97">
        <v>0</v>
      </c>
      <c r="D18" s="256"/>
      <c r="E18" s="109">
        <v>0</v>
      </c>
      <c r="F18" s="109">
        <v>0</v>
      </c>
      <c r="G18" s="110">
        <v>0</v>
      </c>
      <c r="H18" s="16">
        <v>0</v>
      </c>
      <c r="I18" s="55">
        <v>0</v>
      </c>
      <c r="J18" s="162">
        <v>0</v>
      </c>
      <c r="K18" s="172">
        <v>0</v>
      </c>
      <c r="L18" s="136">
        <v>0</v>
      </c>
      <c r="M18" s="76"/>
      <c r="N18" s="73">
        <v>0.5</v>
      </c>
      <c r="P18" s="47">
        <f t="shared" si="4"/>
        <v>0</v>
      </c>
    </row>
    <row r="19" spans="1:16" x14ac:dyDescent="0.25">
      <c r="A19" s="46" t="s">
        <v>1</v>
      </c>
      <c r="C19" s="97">
        <v>0</v>
      </c>
      <c r="D19" s="256"/>
      <c r="E19" s="109">
        <v>0</v>
      </c>
      <c r="F19" s="109">
        <v>0</v>
      </c>
      <c r="G19" s="110">
        <v>0</v>
      </c>
      <c r="H19" s="16">
        <v>0</v>
      </c>
      <c r="I19" s="55">
        <v>0</v>
      </c>
      <c r="J19" s="162">
        <v>0</v>
      </c>
      <c r="K19" s="172">
        <v>0</v>
      </c>
      <c r="L19" s="136">
        <v>0</v>
      </c>
      <c r="M19" s="76"/>
      <c r="N19" s="63"/>
      <c r="P19" s="47">
        <f t="shared" si="4"/>
        <v>0</v>
      </c>
    </row>
    <row r="20" spans="1:16" x14ac:dyDescent="0.25">
      <c r="C20" s="98"/>
      <c r="D20" s="257"/>
      <c r="E20" s="31"/>
      <c r="F20" s="31"/>
      <c r="G20" s="31"/>
      <c r="H20" s="28"/>
      <c r="I20" s="31"/>
      <c r="J20" s="11"/>
      <c r="K20" s="31"/>
      <c r="L20" s="31"/>
      <c r="M20" s="29"/>
    </row>
    <row r="21" spans="1:16" x14ac:dyDescent="0.25">
      <c r="C21" s="98"/>
      <c r="D21" s="257"/>
      <c r="E21" s="31"/>
      <c r="F21" s="31"/>
      <c r="G21" s="31"/>
      <c r="H21" s="28"/>
      <c r="I21" s="31"/>
      <c r="J21" s="11"/>
      <c r="K21" s="31"/>
      <c r="L21" s="31"/>
      <c r="M21" s="29"/>
    </row>
    <row r="22" spans="1:16" x14ac:dyDescent="0.25">
      <c r="A22" s="46" t="s">
        <v>35</v>
      </c>
      <c r="C22" s="99"/>
      <c r="D22" s="147"/>
      <c r="E22" s="31"/>
      <c r="F22" s="31"/>
      <c r="G22" s="31"/>
      <c r="H22" s="28"/>
      <c r="I22" s="31"/>
      <c r="J22" s="163"/>
      <c r="K22" s="17"/>
      <c r="L22" s="17"/>
      <c r="M22" s="11"/>
    </row>
    <row r="23" spans="1:16" x14ac:dyDescent="0.25">
      <c r="A23" s="46" t="s">
        <v>24</v>
      </c>
      <c r="C23" s="40"/>
      <c r="D23" s="120"/>
      <c r="E23" s="41">
        <f t="shared" ref="E23:L23" si="5">E16+($N$18*E$18)+($N$18*E$19)</f>
        <v>0</v>
      </c>
      <c r="F23" s="41">
        <f t="shared" si="5"/>
        <v>0</v>
      </c>
      <c r="G23" s="108">
        <f t="shared" si="5"/>
        <v>0</v>
      </c>
      <c r="H23" s="40">
        <f t="shared" si="5"/>
        <v>0</v>
      </c>
      <c r="I23" s="41">
        <f t="shared" si="5"/>
        <v>0</v>
      </c>
      <c r="J23" s="61">
        <f t="shared" si="5"/>
        <v>0</v>
      </c>
      <c r="K23" s="120">
        <f t="shared" si="5"/>
        <v>0</v>
      </c>
      <c r="L23" s="41">
        <f t="shared" si="5"/>
        <v>0</v>
      </c>
      <c r="M23" s="61">
        <f t="shared" ref="M23" si="6">M16+($N$18*M$18)+($N$18*M$19)+M$20*(1-$N$20)</f>
        <v>0</v>
      </c>
    </row>
    <row r="24" spans="1:16" x14ac:dyDescent="0.25">
      <c r="A24" s="46" t="s">
        <v>25</v>
      </c>
      <c r="C24" s="40"/>
      <c r="D24" s="120"/>
      <c r="E24" s="41">
        <f t="shared" ref="E24:L24" si="7">(E$17+$N$18*E$18)+E$19*$N$18</f>
        <v>0</v>
      </c>
      <c r="F24" s="41">
        <f t="shared" si="7"/>
        <v>0</v>
      </c>
      <c r="G24" s="108">
        <f t="shared" si="7"/>
        <v>0</v>
      </c>
      <c r="H24" s="40">
        <f t="shared" si="7"/>
        <v>0</v>
      </c>
      <c r="I24" s="41">
        <f t="shared" si="7"/>
        <v>0</v>
      </c>
      <c r="J24" s="61">
        <f t="shared" si="7"/>
        <v>0</v>
      </c>
      <c r="K24" s="120">
        <f t="shared" si="7"/>
        <v>0</v>
      </c>
      <c r="L24" s="41">
        <f t="shared" si="7"/>
        <v>0</v>
      </c>
      <c r="M24" s="61">
        <f t="shared" ref="M24" si="8">(M$17+$N$18*M$18+M$20*$N$20)+M$19*$N$18</f>
        <v>0</v>
      </c>
    </row>
    <row r="25" spans="1:16" x14ac:dyDescent="0.25">
      <c r="C25" s="99"/>
      <c r="D25" s="147"/>
      <c r="E25" s="31"/>
      <c r="F25" s="31"/>
      <c r="G25" s="31"/>
      <c r="H25" s="28"/>
      <c r="I25" s="31"/>
      <c r="J25" s="11"/>
      <c r="K25" s="17"/>
      <c r="L25" s="17"/>
      <c r="M25" s="11"/>
    </row>
    <row r="26" spans="1:16" x14ac:dyDescent="0.25">
      <c r="A26" s="39" t="s">
        <v>47</v>
      </c>
      <c r="B26" s="39"/>
      <c r="C26" s="101"/>
      <c r="D26" s="258"/>
      <c r="E26" s="31"/>
      <c r="F26" s="31"/>
      <c r="G26" s="31"/>
      <c r="H26" s="28"/>
      <c r="I26" s="31"/>
      <c r="J26" s="11"/>
      <c r="K26" s="17"/>
      <c r="L26" s="17"/>
      <c r="M26" s="11"/>
    </row>
    <row r="27" spans="1:16" x14ac:dyDescent="0.25">
      <c r="A27" s="46" t="s">
        <v>24</v>
      </c>
      <c r="C27" s="102">
        <v>-637744359</v>
      </c>
      <c r="D27" s="259"/>
      <c r="E27" s="111">
        <f>'[4]May 2023'!$G140</f>
        <v>153608115.565175</v>
      </c>
      <c r="F27" s="111">
        <f>'[4]June 2023'!$G145</f>
        <v>209710948.8513875</v>
      </c>
      <c r="G27" s="111">
        <f>'[4]July 2023'!$G145</f>
        <v>278626610.72096258</v>
      </c>
      <c r="H27" s="182">
        <f>'[4]August 2023'!$G145</f>
        <v>287664948.77565002</v>
      </c>
      <c r="I27" s="185">
        <f>'[4]September 2023'!$G145</f>
        <v>285623460.03516239</v>
      </c>
      <c r="J27" s="177">
        <f>'[4]October 2023'!$G145</f>
        <v>285623460.03516239</v>
      </c>
      <c r="K27" s="173">
        <f>'[1]Billed kWh Sales'!$AA24</f>
        <v>167362018</v>
      </c>
      <c r="L27" s="173">
        <f>'[1]Billed kWh Sales'!$AB24</f>
        <v>238634246</v>
      </c>
      <c r="M27" s="77">
        <f>'[1]Billed kWh Sales'!$AC24</f>
        <v>270075952</v>
      </c>
      <c r="P27" s="47">
        <f t="shared" ref="P27:P31" si="9">-SUM(K27:M27)</f>
        <v>-676072216</v>
      </c>
    </row>
    <row r="28" spans="1:16" x14ac:dyDescent="0.25">
      <c r="A28" s="46" t="s">
        <v>107</v>
      </c>
      <c r="C28" s="102">
        <v>-150507222</v>
      </c>
      <c r="D28" s="259"/>
      <c r="E28" s="111">
        <f>'[4]May 2023'!$G141</f>
        <v>41841213.929499991</v>
      </c>
      <c r="F28" s="111">
        <f>'[4]June 2023'!$G146</f>
        <v>52906429.388999999</v>
      </c>
      <c r="G28" s="111">
        <f>'[4]July 2023'!$G146</f>
        <v>60589357.413699992</v>
      </c>
      <c r="H28" s="182">
        <f>'[4]August 2023'!$G146</f>
        <v>53164888.667599984</v>
      </c>
      <c r="I28" s="185">
        <f>'[4]September 2023'!$G146</f>
        <v>59754701.112800002</v>
      </c>
      <c r="J28" s="177">
        <f>'[4]October 2023'!$G146</f>
        <v>59754701.112800002</v>
      </c>
      <c r="K28" s="173">
        <f>'[1]Billed kWh Sales'!$AA25</f>
        <v>45996215</v>
      </c>
      <c r="L28" s="173">
        <f>'[1]Billed kWh Sales'!$AB25</f>
        <v>50669099</v>
      </c>
      <c r="M28" s="77">
        <f>'[1]Billed kWh Sales'!$AC25</f>
        <v>51536064</v>
      </c>
      <c r="P28" s="47">
        <f t="shared" si="9"/>
        <v>-148201378</v>
      </c>
    </row>
    <row r="29" spans="1:16" x14ac:dyDescent="0.25">
      <c r="A29" s="46" t="s">
        <v>108</v>
      </c>
      <c r="C29" s="102">
        <v>-276751404</v>
      </c>
      <c r="D29" s="259"/>
      <c r="E29" s="111">
        <f>'[4]May 2023'!$G142</f>
        <v>78101680.974799991</v>
      </c>
      <c r="F29" s="111">
        <f>'[4]June 2023'!$G147</f>
        <v>91037845.061999992</v>
      </c>
      <c r="G29" s="111">
        <f>'[4]July 2023'!$G147</f>
        <v>101613823.18710001</v>
      </c>
      <c r="H29" s="182">
        <f>'[4]August 2023'!$G147</f>
        <v>104352847.3318</v>
      </c>
      <c r="I29" s="185">
        <f>'[4]September 2023'!$G147</f>
        <v>106129448.26049997</v>
      </c>
      <c r="J29" s="177">
        <f>'[4]October 2023'!$G147</f>
        <v>106129448.26049997</v>
      </c>
      <c r="K29" s="173">
        <f>'[1]Billed kWh Sales'!$AA26</f>
        <v>84577450</v>
      </c>
      <c r="L29" s="173">
        <f>'[1]Billed kWh Sales'!$AB26</f>
        <v>93169910</v>
      </c>
      <c r="M29" s="77">
        <f>'[1]Billed kWh Sales'!$AC26</f>
        <v>94764077</v>
      </c>
      <c r="P29" s="47">
        <f t="shared" si="9"/>
        <v>-272511437</v>
      </c>
    </row>
    <row r="30" spans="1:16" x14ac:dyDescent="0.25">
      <c r="A30" s="46" t="s">
        <v>109</v>
      </c>
      <c r="C30" s="102">
        <v>-448015067</v>
      </c>
      <c r="D30" s="259"/>
      <c r="E30" s="111">
        <f>'[4]May 2023'!$G143</f>
        <v>134005063.37409998</v>
      </c>
      <c r="F30" s="111">
        <f>'[4]June 2023'!$G148</f>
        <v>146445173.66980001</v>
      </c>
      <c r="G30" s="111">
        <f>'[4]July 2023'!$G148</f>
        <v>154891570.83790001</v>
      </c>
      <c r="H30" s="182">
        <f>'[4]August 2023'!$G148</f>
        <v>160050302.79149997</v>
      </c>
      <c r="I30" s="185">
        <f>'[4]September 2023'!$G148</f>
        <v>163695099.28690001</v>
      </c>
      <c r="J30" s="177">
        <f>'[4]October 2023'!$G148</f>
        <v>163695099.28690001</v>
      </c>
      <c r="K30" s="173">
        <f>'[1]Billed kWh Sales'!$AA27</f>
        <v>136916999</v>
      </c>
      <c r="L30" s="173">
        <f>'[1]Billed kWh Sales'!$AB27</f>
        <v>150826781</v>
      </c>
      <c r="M30" s="77">
        <f>'[1]Billed kWh Sales'!$AC27</f>
        <v>153407476</v>
      </c>
      <c r="P30" s="47">
        <f t="shared" si="9"/>
        <v>-441151256</v>
      </c>
    </row>
    <row r="31" spans="1:16" x14ac:dyDescent="0.25">
      <c r="A31" s="46" t="s">
        <v>110</v>
      </c>
      <c r="C31" s="102">
        <v>-116525334</v>
      </c>
      <c r="D31" s="259"/>
      <c r="E31" s="111">
        <f>'[4]May 2023'!$G144</f>
        <v>40299318.380000003</v>
      </c>
      <c r="F31" s="111">
        <f>'[4]June 2023'!$G149</f>
        <v>35352927.079299994</v>
      </c>
      <c r="G31" s="111">
        <f>'[4]July 2023'!$G149</f>
        <v>47089556.10549999</v>
      </c>
      <c r="H31" s="182">
        <f>'[4]August 2023'!$G149</f>
        <v>59924735.7267</v>
      </c>
      <c r="I31" s="185">
        <f>'[4]September 2023'!$G149</f>
        <v>41524233.650499992</v>
      </c>
      <c r="J31" s="177">
        <f>'[4]October 2023'!$G149</f>
        <v>41524233.650499992</v>
      </c>
      <c r="K31" s="173">
        <f>'[1]Billed kWh Sales'!$AA28</f>
        <v>35611077</v>
      </c>
      <c r="L31" s="173">
        <f>'[1]Billed kWh Sales'!$AB28</f>
        <v>39228906</v>
      </c>
      <c r="M31" s="77">
        <f>'[1]Billed kWh Sales'!$AC28</f>
        <v>39900125</v>
      </c>
      <c r="P31" s="47">
        <f t="shared" si="9"/>
        <v>-114740108</v>
      </c>
    </row>
    <row r="32" spans="1:16" x14ac:dyDescent="0.25">
      <c r="C32" s="99"/>
      <c r="D32" s="147"/>
      <c r="E32" s="31"/>
      <c r="F32" s="31"/>
      <c r="G32" s="31"/>
      <c r="H32" s="28"/>
      <c r="I32" s="31"/>
      <c r="J32" s="11"/>
      <c r="K32" s="17"/>
      <c r="L32" s="17"/>
      <c r="M32" s="11"/>
    </row>
    <row r="33" spans="1:16" x14ac:dyDescent="0.25">
      <c r="A33" s="46" t="s">
        <v>34</v>
      </c>
      <c r="C33" s="99"/>
      <c r="D33" s="147"/>
      <c r="E33" s="18"/>
      <c r="F33" s="18"/>
      <c r="G33" s="18"/>
      <c r="H33" s="91"/>
      <c r="I33" s="18"/>
      <c r="J33" s="11"/>
      <c r="K33" s="57"/>
      <c r="L33" s="57"/>
      <c r="M33" s="58"/>
      <c r="N33" s="63" t="s">
        <v>50</v>
      </c>
      <c r="O33" s="39"/>
    </row>
    <row r="34" spans="1:16" x14ac:dyDescent="0.25">
      <c r="A34" s="46" t="s">
        <v>24</v>
      </c>
      <c r="C34" s="97">
        <v>0</v>
      </c>
      <c r="D34" s="256"/>
      <c r="E34" s="109">
        <f>+'[4]May 2023'!$G43+'[4]May 2023'!$G52</f>
        <v>0</v>
      </c>
      <c r="F34" s="109">
        <f>+'[4]June 2023'!$G43+'[4]June 2023'!$G52</f>
        <v>0</v>
      </c>
      <c r="G34" s="111">
        <f>+'[4]July 2023'!$G43+'[4]July 2023'!$G52</f>
        <v>0</v>
      </c>
      <c r="H34" s="183">
        <f>+'[4]August 2023'!$G43+'[4]August 2023'!$G52</f>
        <v>0</v>
      </c>
      <c r="I34" s="55">
        <f>+'[4]September 2023'!$G43+'[4]September 2023'!$G52</f>
        <v>0</v>
      </c>
      <c r="J34" s="175">
        <f>+'[4]October 2023'!$G43+'[4]October 2023'!$G52</f>
        <v>0</v>
      </c>
      <c r="K34" s="120">
        <f>ROUND(K27*$N34,2)</f>
        <v>0</v>
      </c>
      <c r="L34" s="41">
        <f t="shared" ref="L34:M34" si="10">ROUND(L27*$N34,2)</f>
        <v>0</v>
      </c>
      <c r="M34" s="61">
        <f t="shared" si="10"/>
        <v>0</v>
      </c>
      <c r="N34" s="72">
        <v>0</v>
      </c>
      <c r="P34" s="47">
        <f t="shared" ref="P34:P40" si="11">-SUM(K34:M34)</f>
        <v>0</v>
      </c>
    </row>
    <row r="35" spans="1:16" x14ac:dyDescent="0.25">
      <c r="A35" s="46" t="s">
        <v>107</v>
      </c>
      <c r="C35" s="97">
        <v>1505.07</v>
      </c>
      <c r="D35" s="256"/>
      <c r="E35" s="109">
        <f>+'[4]May 2023'!$G44+'[4]May 2023'!$G53</f>
        <v>-418.01</v>
      </c>
      <c r="F35" s="109">
        <f>+'[4]June 2023'!$G44+'[4]June 2023'!$G53</f>
        <v>-531.56000000000006</v>
      </c>
      <c r="G35" s="111">
        <f>+'[4]July 2023'!$G44+'[4]July 2023'!$G53</f>
        <v>-604.09</v>
      </c>
      <c r="H35" s="183">
        <f>+'[4]August 2023'!$G44+'[4]August 2023'!$G53</f>
        <v>-317.52</v>
      </c>
      <c r="I35" s="55">
        <f>+'[4]September 2023'!$G44+'[4]September 2023'!$G53</f>
        <v>-1.19</v>
      </c>
      <c r="J35" s="175">
        <f>+'[4]October 2023'!$G44+'[4]October 2023'!$G53</f>
        <v>0.33</v>
      </c>
      <c r="K35" s="120">
        <f t="shared" ref="K35:M35" si="12">ROUND(K28*$N35,2)</f>
        <v>0</v>
      </c>
      <c r="L35" s="41">
        <f t="shared" si="12"/>
        <v>0</v>
      </c>
      <c r="M35" s="61">
        <f t="shared" si="12"/>
        <v>0</v>
      </c>
      <c r="N35" s="72">
        <v>0</v>
      </c>
      <c r="P35" s="47">
        <f t="shared" si="11"/>
        <v>0</v>
      </c>
    </row>
    <row r="36" spans="1:16" x14ac:dyDescent="0.25">
      <c r="A36" s="46" t="s">
        <v>108</v>
      </c>
      <c r="C36" s="97">
        <v>2767.51</v>
      </c>
      <c r="D36" s="256"/>
      <c r="E36" s="109">
        <f>+'[4]May 2023'!$G45+'[4]May 2023'!$G54</f>
        <v>-780.24</v>
      </c>
      <c r="F36" s="109">
        <f>+'[4]June 2023'!$G45+'[4]June 2023'!$G54</f>
        <v>-908.24</v>
      </c>
      <c r="G36" s="111">
        <f>+'[4]July 2023'!$G45+'[4]July 2023'!$G54</f>
        <v>-1013.02</v>
      </c>
      <c r="H36" s="183">
        <f>+'[4]August 2023'!$G45+'[4]August 2023'!$G54</f>
        <v>-1040.08</v>
      </c>
      <c r="I36" s="55">
        <f>+'[4]September 2023'!$G45+'[4]September 2023'!$G54</f>
        <v>-1054.83</v>
      </c>
      <c r="J36" s="175">
        <f>+'[4]October 2023'!$G45+'[4]October 2023'!$G54</f>
        <v>-903.58</v>
      </c>
      <c r="K36" s="120">
        <f t="shared" ref="K36:M36" si="13">ROUND(K29*$N36,2)</f>
        <v>-845.77</v>
      </c>
      <c r="L36" s="41">
        <f t="shared" si="13"/>
        <v>-931.7</v>
      </c>
      <c r="M36" s="61">
        <f t="shared" si="13"/>
        <v>-947.64</v>
      </c>
      <c r="N36" s="72">
        <v>-1.0000000000000001E-5</v>
      </c>
      <c r="P36" s="47">
        <f t="shared" si="11"/>
        <v>2725.11</v>
      </c>
    </row>
    <row r="37" spans="1:16" x14ac:dyDescent="0.25">
      <c r="A37" s="46" t="s">
        <v>109</v>
      </c>
      <c r="C37" s="97">
        <v>4480.16</v>
      </c>
      <c r="D37" s="256"/>
      <c r="E37" s="109">
        <f>+'[4]May 2023'!$G46+'[4]May 2023'!$G55</f>
        <v>-1337.6599999999999</v>
      </c>
      <c r="F37" s="109">
        <f>+'[4]June 2023'!$G46+'[4]June 2023'!$G55</f>
        <v>-1460.8700000000001</v>
      </c>
      <c r="G37" s="111">
        <f>+'[4]July 2023'!$G46+'[4]July 2023'!$G55</f>
        <v>-1544.15</v>
      </c>
      <c r="H37" s="183">
        <f>+'[4]August 2023'!$G46+'[4]August 2023'!$G55</f>
        <v>-1059.8399999999999</v>
      </c>
      <c r="I37" s="55">
        <f>+'[4]September 2023'!$G46+'[4]September 2023'!$G55</f>
        <v>-1.23</v>
      </c>
      <c r="J37" s="175">
        <f>+'[4]October 2023'!$G46+'[4]October 2023'!$G55</f>
        <v>0</v>
      </c>
      <c r="K37" s="120">
        <f t="shared" ref="K37:M37" si="14">ROUND(K30*$N37,2)</f>
        <v>0</v>
      </c>
      <c r="L37" s="41">
        <f t="shared" si="14"/>
        <v>0</v>
      </c>
      <c r="M37" s="61">
        <f t="shared" si="14"/>
        <v>0</v>
      </c>
      <c r="N37" s="72">
        <v>0</v>
      </c>
      <c r="P37" s="47">
        <f t="shared" si="11"/>
        <v>0</v>
      </c>
    </row>
    <row r="38" spans="1:16" x14ac:dyDescent="0.25">
      <c r="A38" s="46" t="s">
        <v>110</v>
      </c>
      <c r="C38" s="97">
        <v>1165.26</v>
      </c>
      <c r="D38" s="256"/>
      <c r="E38" s="109">
        <f>+'[4]May 2023'!$G47+'[4]May 2023'!$G56</f>
        <v>-318.16999999999996</v>
      </c>
      <c r="F38" s="109">
        <f>+'[4]June 2023'!$G47+'[4]June 2023'!$G56</f>
        <v>-175.04000000000002</v>
      </c>
      <c r="G38" s="111">
        <f>+'[4]July 2023'!$G47+'[4]July 2023'!$G56</f>
        <v>20.379999999999939</v>
      </c>
      <c r="H38" s="183">
        <f>+'[4]August 2023'!$G47+'[4]August 2023'!$G56</f>
        <v>-256.27999999999997</v>
      </c>
      <c r="I38" s="55">
        <f>+'[4]September 2023'!$G47+'[4]September 2023'!$G56</f>
        <v>149.19</v>
      </c>
      <c r="J38" s="175">
        <f>+'[4]October 2023'!$G47+'[4]October 2023'!$G56</f>
        <v>48.720000000000006</v>
      </c>
      <c r="K38" s="120">
        <f>ROUND(K31*$N38,2)</f>
        <v>0</v>
      </c>
      <c r="L38" s="41">
        <f t="shared" ref="L38:M38" si="15">ROUND(L31*$N38,2)</f>
        <v>0</v>
      </c>
      <c r="M38" s="61">
        <f t="shared" si="15"/>
        <v>0</v>
      </c>
      <c r="N38" s="72">
        <v>0</v>
      </c>
      <c r="P38" s="47">
        <f t="shared" si="11"/>
        <v>0</v>
      </c>
    </row>
    <row r="39" spans="1:16" x14ac:dyDescent="0.25">
      <c r="C39" s="67"/>
      <c r="D39" s="68"/>
      <c r="E39" s="18"/>
      <c r="F39" s="18"/>
      <c r="G39" s="18"/>
      <c r="H39" s="91"/>
      <c r="I39" s="18"/>
      <c r="J39" s="11"/>
      <c r="K39" s="56"/>
      <c r="L39" s="56"/>
      <c r="M39" s="13"/>
      <c r="N39" s="4"/>
    </row>
    <row r="40" spans="1:16" ht="15.75" thickBot="1" x14ac:dyDescent="0.3">
      <c r="A40" s="46" t="s">
        <v>14</v>
      </c>
      <c r="C40" s="103">
        <v>253.15</v>
      </c>
      <c r="D40" s="260"/>
      <c r="E40" s="112">
        <v>-138.05000000000001</v>
      </c>
      <c r="F40" s="112">
        <v>-124.73</v>
      </c>
      <c r="G40" s="113">
        <v>-112.16</v>
      </c>
      <c r="H40" s="26">
        <v>-98.62</v>
      </c>
      <c r="I40" s="119">
        <v>-89.66</v>
      </c>
      <c r="J40" s="176">
        <v>-85.52</v>
      </c>
      <c r="K40" s="174">
        <v>-81.42</v>
      </c>
      <c r="L40" s="138">
        <v>-77.09</v>
      </c>
      <c r="M40" s="81"/>
      <c r="P40" s="47">
        <f t="shared" si="11"/>
        <v>158.51</v>
      </c>
    </row>
    <row r="41" spans="1:16" x14ac:dyDescent="0.25">
      <c r="C41" s="99"/>
      <c r="D41" s="147"/>
      <c r="E41" s="31"/>
      <c r="F41" s="31"/>
      <c r="G41" s="31"/>
      <c r="H41" s="28"/>
      <c r="I41" s="31"/>
      <c r="J41" s="11"/>
      <c r="K41" s="17"/>
      <c r="L41" s="17"/>
      <c r="M41" s="11"/>
    </row>
    <row r="42" spans="1:16" x14ac:dyDescent="0.25">
      <c r="A42" s="46" t="s">
        <v>52</v>
      </c>
      <c r="C42" s="99"/>
      <c r="D42" s="147"/>
      <c r="E42" s="31"/>
      <c r="F42" s="31"/>
      <c r="G42" s="31"/>
      <c r="H42" s="28"/>
      <c r="I42" s="31"/>
      <c r="J42" s="11"/>
      <c r="K42" s="17"/>
      <c r="L42" s="17"/>
      <c r="M42" s="11"/>
    </row>
    <row r="43" spans="1:16" x14ac:dyDescent="0.25">
      <c r="A43" s="46" t="s">
        <v>24</v>
      </c>
      <c r="C43" s="40">
        <f t="shared" ref="C43:M43" si="16">C23-C34</f>
        <v>0</v>
      </c>
      <c r="D43" s="120">
        <v>0</v>
      </c>
      <c r="E43" s="41">
        <f t="shared" si="16"/>
        <v>0</v>
      </c>
      <c r="F43" s="41">
        <f t="shared" si="16"/>
        <v>0</v>
      </c>
      <c r="G43" s="108">
        <f t="shared" si="16"/>
        <v>0</v>
      </c>
      <c r="H43" s="40">
        <f t="shared" si="16"/>
        <v>0</v>
      </c>
      <c r="I43" s="41">
        <f t="shared" si="16"/>
        <v>0</v>
      </c>
      <c r="J43" s="61">
        <f t="shared" si="16"/>
        <v>0</v>
      </c>
      <c r="K43" s="120">
        <f t="shared" si="16"/>
        <v>0</v>
      </c>
      <c r="L43" s="41">
        <f t="shared" si="16"/>
        <v>0</v>
      </c>
      <c r="M43" s="49">
        <f t="shared" si="16"/>
        <v>0</v>
      </c>
    </row>
    <row r="44" spans="1:16" x14ac:dyDescent="0.25">
      <c r="A44" s="46" t="s">
        <v>25</v>
      </c>
      <c r="C44" s="40">
        <f>C24-SUM(C35:C38)</f>
        <v>-9918</v>
      </c>
      <c r="D44" s="120">
        <f>-D43</f>
        <v>0</v>
      </c>
      <c r="E44" s="41">
        <f>E24-SUM(E35:E38)</f>
        <v>2854.08</v>
      </c>
      <c r="F44" s="41">
        <f t="shared" ref="F44:M44" si="17">F24-SUM(F35:F38)</f>
        <v>3075.71</v>
      </c>
      <c r="G44" s="108">
        <f t="shared" si="17"/>
        <v>3140.88</v>
      </c>
      <c r="H44" s="40">
        <f t="shared" si="17"/>
        <v>2673.7199999999993</v>
      </c>
      <c r="I44" s="41">
        <f t="shared" si="17"/>
        <v>908.06</v>
      </c>
      <c r="J44" s="61">
        <f t="shared" si="17"/>
        <v>854.53</v>
      </c>
      <c r="K44" s="120">
        <f t="shared" si="17"/>
        <v>845.77</v>
      </c>
      <c r="L44" s="41">
        <f t="shared" si="17"/>
        <v>931.7</v>
      </c>
      <c r="M44" s="49">
        <f t="shared" si="17"/>
        <v>947.64</v>
      </c>
    </row>
    <row r="45" spans="1:16" x14ac:dyDescent="0.25">
      <c r="C45" s="99"/>
      <c r="D45" s="147"/>
      <c r="E45" s="31"/>
      <c r="F45" s="31"/>
      <c r="G45" s="31"/>
      <c r="H45" s="28"/>
      <c r="I45" s="31"/>
      <c r="J45" s="11"/>
      <c r="K45" s="17"/>
      <c r="L45" s="17"/>
      <c r="M45" s="11"/>
    </row>
    <row r="46" spans="1:16" ht="15.75" thickBot="1" x14ac:dyDescent="0.3">
      <c r="A46" s="46" t="s">
        <v>53</v>
      </c>
      <c r="C46" s="104"/>
      <c r="D46" s="261"/>
      <c r="E46" s="31"/>
      <c r="F46" s="31"/>
      <c r="G46" s="31"/>
      <c r="H46" s="28"/>
      <c r="I46" s="31"/>
      <c r="J46" s="11"/>
      <c r="K46" s="17"/>
      <c r="L46" s="17"/>
      <c r="M46" s="11"/>
    </row>
    <row r="47" spans="1:16" x14ac:dyDescent="0.25">
      <c r="A47" s="46" t="s">
        <v>24</v>
      </c>
      <c r="B47" s="310">
        <v>-2.3305801732931286E-12</v>
      </c>
      <c r="C47" s="41">
        <f>B47+C43+B52</f>
        <v>-2.3305801732931286E-12</v>
      </c>
      <c r="D47" s="41">
        <f>C47+D43+C52</f>
        <v>-2.3305801732931286E-12</v>
      </c>
      <c r="E47" s="41">
        <f t="shared" ref="E47" si="18">D47+E43+D52</f>
        <v>-2.3305801732931286E-12</v>
      </c>
      <c r="F47" s="41">
        <f t="shared" ref="F47" si="19">E47+F43+E52</f>
        <v>-2.3305801732931286E-12</v>
      </c>
      <c r="G47" s="108">
        <f t="shared" ref="G47:M47" si="20">F47+G43+F52</f>
        <v>-2.3305801732931286E-12</v>
      </c>
      <c r="H47" s="285">
        <f>G47+H43+G52</f>
        <v>-2.3305801732931286E-12</v>
      </c>
      <c r="I47" s="286">
        <f t="shared" si="20"/>
        <v>-2.3305801732931286E-12</v>
      </c>
      <c r="J47" s="61">
        <f t="shared" si="20"/>
        <v>-2.3305801732931286E-12</v>
      </c>
      <c r="K47" s="120">
        <f t="shared" si="20"/>
        <v>-2.3305801732931286E-12</v>
      </c>
      <c r="L47" s="41">
        <f t="shared" si="20"/>
        <v>-2.3305801732931286E-12</v>
      </c>
      <c r="M47" s="49">
        <f t="shared" si="20"/>
        <v>-2.3305801732931286E-12</v>
      </c>
    </row>
    <row r="48" spans="1:16" ht="15.75" thickBot="1" x14ac:dyDescent="0.3">
      <c r="A48" s="46" t="s">
        <v>25</v>
      </c>
      <c r="B48" s="311">
        <v>-18806.950000000026</v>
      </c>
      <c r="C48" s="41">
        <f>B48+C44+B53</f>
        <v>-28724.950000000026</v>
      </c>
      <c r="D48" s="41">
        <f>C48+D44+C53</f>
        <v>-28471.950000000026</v>
      </c>
      <c r="E48" s="41">
        <f>C48+D44+E44+C53+D53</f>
        <v>-25617.870000000024</v>
      </c>
      <c r="F48" s="41">
        <f t="shared" ref="F48:M48" si="21">E48+F44+E53</f>
        <v>-22680.210000000025</v>
      </c>
      <c r="G48" s="108">
        <f t="shared" si="21"/>
        <v>-19664.060000000023</v>
      </c>
      <c r="H48" s="40">
        <f t="shared" si="21"/>
        <v>-17102.500000000025</v>
      </c>
      <c r="I48" s="41">
        <f t="shared" si="21"/>
        <v>-16293.060000000027</v>
      </c>
      <c r="J48" s="61">
        <f t="shared" si="21"/>
        <v>-15528.190000000026</v>
      </c>
      <c r="K48" s="120">
        <f t="shared" si="21"/>
        <v>-14767.940000000026</v>
      </c>
      <c r="L48" s="41">
        <f t="shared" si="21"/>
        <v>-13917.660000000025</v>
      </c>
      <c r="M48" s="49">
        <f t="shared" si="21"/>
        <v>-13047.110000000026</v>
      </c>
    </row>
    <row r="49" spans="1:16" x14ac:dyDescent="0.25">
      <c r="C49" s="99"/>
      <c r="D49" s="147"/>
      <c r="E49" s="31"/>
      <c r="F49" s="31"/>
      <c r="G49" s="31"/>
      <c r="H49" s="28"/>
      <c r="I49" s="31"/>
      <c r="J49" s="11"/>
      <c r="K49" s="17"/>
      <c r="L49" s="17"/>
      <c r="M49" s="11"/>
    </row>
    <row r="50" spans="1:16" x14ac:dyDescent="0.25">
      <c r="A50" s="39" t="s">
        <v>49</v>
      </c>
      <c r="B50" s="39"/>
      <c r="C50" s="104"/>
      <c r="D50" s="261"/>
      <c r="E50" s="83">
        <f>'[5]May 2023'!$E$43</f>
        <v>5.1044699999999998E-3</v>
      </c>
      <c r="F50" s="83">
        <f>'[5]June 2023'!$E$42</f>
        <v>5.1503699999999996E-3</v>
      </c>
      <c r="G50" s="83">
        <f>'[5]July 2023'!$E$43</f>
        <v>5.2820799999999998E-3</v>
      </c>
      <c r="H50" s="84">
        <f>'[5]August 2023'!$E$43</f>
        <v>5.3483699999999999E-3</v>
      </c>
      <c r="I50" s="83">
        <f>'[5]September 2023'!$E$42</f>
        <v>5.3539599999999996E-3</v>
      </c>
      <c r="J50" s="92">
        <f>'[5]October 2023'!$E$43</f>
        <v>5.3597599999999999E-3</v>
      </c>
      <c r="K50" s="83">
        <f>+J50</f>
        <v>5.3597599999999999E-3</v>
      </c>
      <c r="L50" s="83">
        <f>+K50</f>
        <v>5.3597599999999999E-3</v>
      </c>
      <c r="M50" s="92"/>
    </row>
    <row r="51" spans="1:16" x14ac:dyDescent="0.25">
      <c r="A51" s="39" t="s">
        <v>37</v>
      </c>
      <c r="B51" s="39"/>
      <c r="C51" s="99"/>
      <c r="D51" s="147"/>
      <c r="E51" s="31"/>
      <c r="F51" s="31"/>
      <c r="G51" s="31"/>
      <c r="H51" s="28"/>
      <c r="I51" s="31"/>
      <c r="J51" s="11"/>
      <c r="K51" s="17"/>
      <c r="L51" s="17"/>
      <c r="M51" s="11"/>
      <c r="N51" s="71"/>
    </row>
    <row r="52" spans="1:16" x14ac:dyDescent="0.25">
      <c r="A52" s="46" t="s">
        <v>24</v>
      </c>
      <c r="C52" s="308">
        <v>0</v>
      </c>
      <c r="D52" s="120"/>
      <c r="E52" s="41">
        <f>ROUND((C47+C52+D52+E43/2)*E$50,2)</f>
        <v>0</v>
      </c>
      <c r="F52" s="41">
        <f t="shared" ref="F52:F53" si="22">ROUND((E47+E52+F43/2)*F$50,2)</f>
        <v>0</v>
      </c>
      <c r="G52" s="108">
        <f t="shared" ref="G52:G53" si="23">ROUND((F47+F52+G43/2)*G$50,2)</f>
        <v>0</v>
      </c>
      <c r="H52" s="40">
        <f>ROUND((G47+G52+H43/2)*H$50,2)*0</f>
        <v>0</v>
      </c>
      <c r="I52" s="120">
        <f t="shared" ref="I52:J53" si="24">ROUND((H47+H52+I43/2)*I$50,2)</f>
        <v>0</v>
      </c>
      <c r="J52" s="61">
        <f t="shared" si="24"/>
        <v>0</v>
      </c>
      <c r="K52" s="120">
        <f t="shared" ref="K52:K53" si="25">ROUND((J47+J52+K43/2)*K$50,2)</f>
        <v>0</v>
      </c>
      <c r="L52" s="120">
        <f t="shared" ref="L52:L53" si="26">ROUND((K47+K52+L43/2)*L$50,2)</f>
        <v>0</v>
      </c>
      <c r="M52" s="49"/>
      <c r="P52" s="47">
        <f t="shared" ref="P52:P53" si="27">-SUM(K52:M52)</f>
        <v>0</v>
      </c>
    </row>
    <row r="53" spans="1:16" ht="15.75" thickBot="1" x14ac:dyDescent="0.3">
      <c r="A53" s="46" t="s">
        <v>25</v>
      </c>
      <c r="C53" s="309">
        <v>253</v>
      </c>
      <c r="D53" s="262"/>
      <c r="E53" s="41">
        <f>ROUND((C48+C53+D53+E44/2)*E$50,2)</f>
        <v>-138.05000000000001</v>
      </c>
      <c r="F53" s="41">
        <f t="shared" si="22"/>
        <v>-124.73</v>
      </c>
      <c r="G53" s="108">
        <f t="shared" si="23"/>
        <v>-112.16</v>
      </c>
      <c r="H53" s="40">
        <f t="shared" ref="H53" si="28">ROUND((G48+G53+H44/2)*H$50,2)</f>
        <v>-98.62</v>
      </c>
      <c r="I53" s="120">
        <f t="shared" si="24"/>
        <v>-89.66</v>
      </c>
      <c r="J53" s="61">
        <f t="shared" si="24"/>
        <v>-85.52</v>
      </c>
      <c r="K53" s="120">
        <f t="shared" si="25"/>
        <v>-81.42</v>
      </c>
      <c r="L53" s="120">
        <f t="shared" si="26"/>
        <v>-77.09</v>
      </c>
      <c r="M53" s="49"/>
      <c r="P53" s="47">
        <f t="shared" si="27"/>
        <v>158.51</v>
      </c>
    </row>
    <row r="54" spans="1:16" ht="16.5" thickTop="1" thickBot="1" x14ac:dyDescent="0.3">
      <c r="A54" s="54" t="s">
        <v>22</v>
      </c>
      <c r="B54" s="54"/>
      <c r="C54" s="288"/>
      <c r="D54" s="263"/>
      <c r="E54" s="32">
        <f t="shared" ref="E54:M54" si="29">SUM(E52:E53)+SUM(E47:E48)-E57</f>
        <v>0</v>
      </c>
      <c r="F54" s="32">
        <f t="shared" si="29"/>
        <v>0</v>
      </c>
      <c r="G54" s="50">
        <f t="shared" si="29"/>
        <v>0</v>
      </c>
      <c r="H54" s="121">
        <f t="shared" si="29"/>
        <v>0</v>
      </c>
      <c r="I54" s="32">
        <f t="shared" si="29"/>
        <v>0</v>
      </c>
      <c r="J54" s="62">
        <f t="shared" si="29"/>
        <v>0</v>
      </c>
      <c r="K54" s="161">
        <f t="shared" si="29"/>
        <v>0</v>
      </c>
      <c r="L54" s="32">
        <f t="shared" si="29"/>
        <v>0</v>
      </c>
      <c r="M54" s="96">
        <f t="shared" si="29"/>
        <v>0</v>
      </c>
    </row>
    <row r="55" spans="1:16" ht="16.5" thickTop="1" thickBot="1" x14ac:dyDescent="0.3">
      <c r="A55" s="54" t="s">
        <v>23</v>
      </c>
      <c r="B55" s="54"/>
      <c r="C55" s="289"/>
      <c r="D55" s="264"/>
      <c r="E55" s="32">
        <f t="shared" ref="E55:M55" si="30">SUM(E52:E53)-E40</f>
        <v>0</v>
      </c>
      <c r="F55" s="32">
        <f t="shared" si="30"/>
        <v>0</v>
      </c>
      <c r="G55" s="50">
        <f t="shared" si="30"/>
        <v>0</v>
      </c>
      <c r="H55" s="51">
        <f t="shared" si="30"/>
        <v>0</v>
      </c>
      <c r="I55" s="32">
        <f t="shared" si="30"/>
        <v>0</v>
      </c>
      <c r="J55" s="62">
        <f t="shared" si="30"/>
        <v>0</v>
      </c>
      <c r="K55" s="161">
        <f t="shared" si="30"/>
        <v>0</v>
      </c>
      <c r="L55" s="32">
        <f t="shared" si="30"/>
        <v>0</v>
      </c>
      <c r="M55" s="96">
        <f t="shared" si="30"/>
        <v>0</v>
      </c>
    </row>
    <row r="56" spans="1:16" ht="16.5" thickTop="1" thickBot="1" x14ac:dyDescent="0.3">
      <c r="C56" s="99"/>
      <c r="D56" s="147"/>
      <c r="E56" s="17"/>
      <c r="F56" s="17"/>
      <c r="G56" s="17"/>
      <c r="H56" s="10"/>
      <c r="I56" s="17"/>
      <c r="J56" s="11"/>
      <c r="K56" s="17"/>
      <c r="L56" s="17"/>
      <c r="M56" s="11"/>
    </row>
    <row r="57" spans="1:16" ht="15.75" thickBot="1" x14ac:dyDescent="0.3">
      <c r="A57" s="46" t="s">
        <v>36</v>
      </c>
      <c r="B57" s="116">
        <f>+B47+B48</f>
        <v>-18806.95000000003</v>
      </c>
      <c r="C57" s="40">
        <f t="shared" ref="C57:M57" si="31">(SUM(C16:C20)-SUM(C34:C38))+SUM(C52:C53)+B57</f>
        <v>-28471.95000000003</v>
      </c>
      <c r="D57" s="40">
        <f t="shared" si="31"/>
        <v>-28471.95000000003</v>
      </c>
      <c r="E57" s="41">
        <f>(SUM(E16:E20)-SUM(E34:E38))+SUM(D52:E53)+C57</f>
        <v>-25755.920000000031</v>
      </c>
      <c r="F57" s="41">
        <f t="shared" si="31"/>
        <v>-22804.940000000031</v>
      </c>
      <c r="G57" s="108">
        <f t="shared" si="31"/>
        <v>-19776.22000000003</v>
      </c>
      <c r="H57" s="40">
        <f t="shared" si="31"/>
        <v>-17201.120000000032</v>
      </c>
      <c r="I57" s="41">
        <f t="shared" si="31"/>
        <v>-16382.720000000032</v>
      </c>
      <c r="J57" s="61">
        <f t="shared" si="31"/>
        <v>-15613.710000000032</v>
      </c>
      <c r="K57" s="120">
        <f t="shared" si="31"/>
        <v>-14849.360000000032</v>
      </c>
      <c r="L57" s="41">
        <f t="shared" si="31"/>
        <v>-13994.750000000031</v>
      </c>
      <c r="M57" s="61">
        <f t="shared" si="31"/>
        <v>-13047.110000000032</v>
      </c>
    </row>
    <row r="58" spans="1:16" x14ac:dyDescent="0.25">
      <c r="A58" s="46" t="s">
        <v>12</v>
      </c>
      <c r="C58" s="117"/>
      <c r="D58" s="17"/>
      <c r="E58" s="56"/>
      <c r="F58" s="56"/>
      <c r="G58" s="56"/>
      <c r="H58" s="12"/>
      <c r="I58" s="56"/>
      <c r="J58" s="11"/>
      <c r="K58" s="17"/>
      <c r="L58" s="17"/>
      <c r="M58" s="11"/>
    </row>
    <row r="59" spans="1:16" ht="15.75" thickBot="1" x14ac:dyDescent="0.3">
      <c r="B59" s="17"/>
      <c r="C59" s="43"/>
      <c r="D59" s="44"/>
      <c r="E59" s="44"/>
      <c r="F59" s="44"/>
      <c r="G59" s="44"/>
      <c r="H59" s="43"/>
      <c r="I59" s="44"/>
      <c r="J59" s="45"/>
      <c r="K59" s="44"/>
      <c r="L59" s="44"/>
      <c r="M59" s="45"/>
    </row>
    <row r="61" spans="1:16" x14ac:dyDescent="0.25">
      <c r="A61" s="69" t="s">
        <v>11</v>
      </c>
      <c r="B61" s="69"/>
      <c r="C61" s="69"/>
      <c r="D61" s="69"/>
    </row>
    <row r="62" spans="1:16" ht="42.75" customHeight="1" x14ac:dyDescent="0.25">
      <c r="A62" s="331" t="s">
        <v>192</v>
      </c>
      <c r="B62" s="331"/>
      <c r="C62" s="331"/>
      <c r="D62" s="331"/>
      <c r="E62" s="331"/>
      <c r="F62" s="331"/>
      <c r="G62" s="331"/>
      <c r="H62" s="331"/>
      <c r="I62" s="331"/>
      <c r="J62" s="331"/>
      <c r="K62" s="142"/>
      <c r="L62" s="142"/>
      <c r="M62" s="142"/>
    </row>
    <row r="63" spans="1:16" ht="42" customHeight="1" x14ac:dyDescent="0.25">
      <c r="A63" s="331" t="s">
        <v>238</v>
      </c>
      <c r="B63" s="331"/>
      <c r="C63" s="331"/>
      <c r="D63" s="331"/>
      <c r="E63" s="331"/>
      <c r="F63" s="331"/>
      <c r="G63" s="331"/>
      <c r="H63" s="331"/>
      <c r="I63" s="331"/>
      <c r="J63" s="331"/>
      <c r="K63" s="142"/>
      <c r="L63" s="142"/>
      <c r="M63" s="142"/>
    </row>
    <row r="64" spans="1:16" ht="58.5" customHeight="1" x14ac:dyDescent="0.25">
      <c r="A64" s="331" t="s">
        <v>239</v>
      </c>
      <c r="B64" s="331"/>
      <c r="C64" s="331"/>
      <c r="D64" s="331"/>
      <c r="E64" s="331"/>
      <c r="F64" s="331"/>
      <c r="G64" s="331"/>
      <c r="H64" s="331"/>
      <c r="I64" s="331"/>
      <c r="J64" s="331"/>
      <c r="K64" s="142"/>
      <c r="L64" s="142"/>
      <c r="M64" s="142"/>
    </row>
    <row r="65" spans="1:14" x14ac:dyDescent="0.25">
      <c r="A65" s="3" t="s">
        <v>31</v>
      </c>
      <c r="B65" s="3"/>
      <c r="C65" s="3"/>
      <c r="D65" s="3"/>
      <c r="J65" s="4"/>
    </row>
    <row r="66" spans="1:14" x14ac:dyDescent="0.25">
      <c r="A66" s="63" t="s">
        <v>240</v>
      </c>
      <c r="B66" s="3"/>
      <c r="C66" s="3"/>
      <c r="D66" s="3"/>
      <c r="J66" s="4"/>
    </row>
    <row r="67" spans="1:14" x14ac:dyDescent="0.25">
      <c r="A67" s="3" t="s">
        <v>51</v>
      </c>
      <c r="B67" s="3"/>
      <c r="C67" s="3"/>
      <c r="D67" s="3"/>
      <c r="J67" s="4"/>
    </row>
    <row r="68" spans="1:14" x14ac:dyDescent="0.25">
      <c r="A68" s="3" t="s">
        <v>185</v>
      </c>
    </row>
    <row r="70" spans="1:14" ht="30" customHeight="1" x14ac:dyDescent="0.25">
      <c r="A70" s="327"/>
      <c r="B70" s="327"/>
      <c r="C70" s="327"/>
      <c r="D70" s="327"/>
      <c r="E70" s="327"/>
      <c r="F70" s="327"/>
      <c r="G70" s="327"/>
    </row>
    <row r="77" spans="1:14" x14ac:dyDescent="0.25">
      <c r="N77" s="8"/>
    </row>
  </sheetData>
  <mergeCells count="7">
    <mergeCell ref="A70:G70"/>
    <mergeCell ref="K14:M14"/>
    <mergeCell ref="A64:J64"/>
    <mergeCell ref="E14:G14"/>
    <mergeCell ref="A62:J62"/>
    <mergeCell ref="A63:J63"/>
    <mergeCell ref="H14:J14"/>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81"/>
  <sheetViews>
    <sheetView workbookViewId="0">
      <selection activeCell="O5" sqref="O5"/>
    </sheetView>
  </sheetViews>
  <sheetFormatPr defaultColWidth="9.140625" defaultRowHeight="15" outlineLevelCol="1" x14ac:dyDescent="0.25"/>
  <cols>
    <col min="1" max="1" width="54.5703125" style="46" customWidth="1"/>
    <col min="2" max="2" width="14.7109375" style="46" customWidth="1"/>
    <col min="3" max="3" width="15" style="46" customWidth="1"/>
    <col min="4" max="4" width="15" style="46" hidden="1" customWidth="1" outlineLevel="1"/>
    <col min="5" max="5" width="15.28515625" style="46" customWidth="1" collapsed="1"/>
    <col min="6" max="6" width="15.85546875" style="46" customWidth="1"/>
    <col min="7" max="7" width="17.5703125" style="46" customWidth="1"/>
    <col min="8" max="9" width="13.28515625" style="46" customWidth="1"/>
    <col min="10" max="10" width="15.7109375" style="46" customWidth="1"/>
    <col min="11" max="12" width="12.5703125" style="46" bestFit="1" customWidth="1"/>
    <col min="13" max="13" width="14.42578125" style="46" customWidth="1"/>
    <col min="14" max="14" width="15" style="46" bestFit="1" customWidth="1"/>
    <col min="15" max="15" width="16.28515625" style="46" bestFit="1" customWidth="1"/>
    <col min="16" max="16" width="16.28515625" style="46" customWidth="1" outlineLevel="1"/>
    <col min="17" max="17" width="16.140625" style="46" customWidth="1"/>
    <col min="18" max="18" width="17.28515625" style="46" bestFit="1" customWidth="1"/>
    <col min="19" max="19" width="17.42578125" style="46" customWidth="1"/>
    <col min="20" max="20" width="15.5703125" style="46" customWidth="1"/>
    <col min="21" max="21" width="13" style="46" customWidth="1"/>
    <col min="22" max="22" width="9.140625" style="46"/>
    <col min="23" max="23" width="14.28515625" style="46" bestFit="1" customWidth="1"/>
    <col min="24" max="16384" width="9.140625" style="46"/>
  </cols>
  <sheetData>
    <row r="1" spans="1:36" x14ac:dyDescent="0.25">
      <c r="A1" s="3" t="str">
        <f>+'PPC Cycle 3'!A1</f>
        <v>Evergy Metro, Inc. - DSIM Rider Update Filed 12/01/2023</v>
      </c>
      <c r="B1" s="3"/>
      <c r="C1" s="3"/>
      <c r="D1" s="3"/>
    </row>
    <row r="2" spans="1:36" x14ac:dyDescent="0.25">
      <c r="E2" s="3" t="s">
        <v>139</v>
      </c>
    </row>
    <row r="3" spans="1:36" ht="30" x14ac:dyDescent="0.25">
      <c r="E3" s="48" t="s">
        <v>46</v>
      </c>
      <c r="F3" s="48" t="s">
        <v>45</v>
      </c>
      <c r="G3" s="70" t="s">
        <v>2</v>
      </c>
      <c r="H3" s="48" t="s">
        <v>3</v>
      </c>
      <c r="I3" s="70" t="s">
        <v>55</v>
      </c>
      <c r="J3" s="48" t="s">
        <v>10</v>
      </c>
      <c r="K3" s="48" t="s">
        <v>4</v>
      </c>
    </row>
    <row r="4" spans="1:36" x14ac:dyDescent="0.25">
      <c r="A4" s="20" t="s">
        <v>24</v>
      </c>
      <c r="E4" s="22">
        <f>SUM(C29:M29)</f>
        <v>1662355.22</v>
      </c>
      <c r="F4" s="134">
        <f>SUM(C22:M22)</f>
        <v>1539185400.9835</v>
      </c>
      <c r="G4" s="22">
        <f>SUM(C15:L15)</f>
        <v>3512994.9300000006</v>
      </c>
      <c r="H4" s="22">
        <f>G4-E4</f>
        <v>1850639.7100000007</v>
      </c>
      <c r="I4" s="22">
        <f>+B45</f>
        <v>-1568562.1700000002</v>
      </c>
      <c r="J4" s="22">
        <f>SUM(C53:L53)</f>
        <v>-27056.579999999998</v>
      </c>
      <c r="K4" s="25">
        <f>SUM(H4:J4)</f>
        <v>255020.96000000052</v>
      </c>
      <c r="L4" s="47">
        <f>+K4-M45</f>
        <v>3.2014213502407074E-10</v>
      </c>
    </row>
    <row r="5" spans="1:36" x14ac:dyDescent="0.25">
      <c r="A5" s="20" t="s">
        <v>107</v>
      </c>
      <c r="E5" s="22">
        <f>SUM(C30:M30)</f>
        <v>331756.51</v>
      </c>
      <c r="F5" s="134">
        <f>SUM(C23:M23)</f>
        <v>325705447.62539995</v>
      </c>
      <c r="G5" s="22">
        <f>SUM(C16:L16)</f>
        <v>437708.41</v>
      </c>
      <c r="H5" s="22">
        <f>G5-E5</f>
        <v>105951.89999999997</v>
      </c>
      <c r="I5" s="22">
        <f>+B46</f>
        <v>-21545.670000000035</v>
      </c>
      <c r="J5" s="22">
        <f>SUM(C54:L54)</f>
        <v>-755.07999999999993</v>
      </c>
      <c r="K5" s="25">
        <f>SUM(H5:J5)</f>
        <v>83651.149999999921</v>
      </c>
      <c r="L5" s="47">
        <f t="shared" ref="L5:L7" si="0">+K5-M46</f>
        <v>0</v>
      </c>
    </row>
    <row r="6" spans="1:36" x14ac:dyDescent="0.25">
      <c r="A6" s="20" t="s">
        <v>108</v>
      </c>
      <c r="E6" s="22">
        <f>SUM(C31:M31)</f>
        <v>588673.59</v>
      </c>
      <c r="F6" s="134">
        <f>SUM(C24:M24)</f>
        <v>583125126.07669997</v>
      </c>
      <c r="G6" s="22">
        <f>SUM(C17:L17)</f>
        <v>1386946.19</v>
      </c>
      <c r="H6" s="22">
        <f>G6-E6</f>
        <v>798272.6</v>
      </c>
      <c r="I6" s="22">
        <f>+B47</f>
        <v>-112069.9</v>
      </c>
      <c r="J6" s="22">
        <f>SUM(C55:L55)</f>
        <v>11575.65</v>
      </c>
      <c r="K6" s="25">
        <f>SUM(H6:J6)</f>
        <v>697778.35</v>
      </c>
      <c r="L6" s="47">
        <f t="shared" si="0"/>
        <v>0</v>
      </c>
    </row>
    <row r="7" spans="1:36" x14ac:dyDescent="0.25">
      <c r="A7" s="20" t="s">
        <v>109</v>
      </c>
      <c r="E7" s="22">
        <f>SUM(C32:M32)</f>
        <v>684310.3600000001</v>
      </c>
      <c r="F7" s="134">
        <f>SUM(C25:M25)</f>
        <v>915918498.2471</v>
      </c>
      <c r="G7" s="22">
        <f>SUM(C18:L18)</f>
        <v>1853717.8699999999</v>
      </c>
      <c r="H7" s="22">
        <f>G7-E7</f>
        <v>1169407.5099999998</v>
      </c>
      <c r="I7" s="22">
        <f>+B48</f>
        <v>-620481.53</v>
      </c>
      <c r="J7" s="22">
        <f>SUM(C56:L56)</f>
        <v>-9132.2500000000036</v>
      </c>
      <c r="K7" s="25">
        <f>SUM(H7:J7)</f>
        <v>539793.72999999975</v>
      </c>
      <c r="L7" s="47">
        <f t="shared" si="0"/>
        <v>0</v>
      </c>
    </row>
    <row r="8" spans="1:36" ht="15.75" thickBot="1" x14ac:dyDescent="0.3">
      <c r="A8" s="20" t="s">
        <v>110</v>
      </c>
      <c r="E8" s="22">
        <f>SUM(C33:M33)</f>
        <v>23956.689999999995</v>
      </c>
      <c r="F8" s="134">
        <f>SUM(C26:M26)</f>
        <v>263929778.59249997</v>
      </c>
      <c r="G8" s="22">
        <f>SUM(C19:L19)</f>
        <v>459880.22</v>
      </c>
      <c r="H8" s="22">
        <f>G8-E8</f>
        <v>435923.52999999997</v>
      </c>
      <c r="I8" s="22">
        <f>+B49</f>
        <v>-475913.82999999926</v>
      </c>
      <c r="J8" s="22">
        <f>SUM(C57:L57)</f>
        <v>-7564.64</v>
      </c>
      <c r="K8" s="25">
        <f>SUM(H8:J8)</f>
        <v>-47554.939999999289</v>
      </c>
      <c r="L8" s="47">
        <f>+K8-M49</f>
        <v>0</v>
      </c>
    </row>
    <row r="9" spans="1:36" ht="16.5" thickTop="1" thickBot="1" x14ac:dyDescent="0.3">
      <c r="E9" s="27">
        <f t="shared" ref="E9:I9" si="1">SUM(E4:E8)</f>
        <v>3291052.3699999996</v>
      </c>
      <c r="F9" s="27">
        <f t="shared" si="1"/>
        <v>3627864251.5251999</v>
      </c>
      <c r="G9" s="27">
        <f t="shared" si="1"/>
        <v>7651247.620000001</v>
      </c>
      <c r="H9" s="27">
        <f t="shared" si="1"/>
        <v>4360195.25</v>
      </c>
      <c r="I9" s="27">
        <f t="shared" si="1"/>
        <v>-2798573.0999999992</v>
      </c>
      <c r="J9" s="27">
        <f>SUM(J4:J8)</f>
        <v>-32932.9</v>
      </c>
      <c r="K9" s="27">
        <f>SUM(K4:K8)</f>
        <v>1528689.2500000009</v>
      </c>
    </row>
    <row r="10" spans="1:36" ht="16.5" thickTop="1" thickBot="1" x14ac:dyDescent="0.3"/>
    <row r="11" spans="1:36" ht="96.75" customHeight="1" thickBot="1" x14ac:dyDescent="0.3">
      <c r="B11" s="115" t="str">
        <f>+'PCR Cycle 2'!B14</f>
        <v>Cumulative Over/Under Carryover From 6/01/2023 Filing</v>
      </c>
      <c r="C11" s="267" t="str">
        <f>+'PCR Cycle 2'!C14</f>
        <v>Reverse May 2023 - July 2023 Forecast From 6/01/2023 Filing</v>
      </c>
      <c r="D11" s="267"/>
      <c r="E11" s="332" t="s">
        <v>33</v>
      </c>
      <c r="F11" s="332"/>
      <c r="G11" s="333"/>
      <c r="H11" s="334" t="s">
        <v>33</v>
      </c>
      <c r="I11" s="335"/>
      <c r="J11" s="336"/>
      <c r="K11" s="328" t="s">
        <v>8</v>
      </c>
      <c r="L11" s="329"/>
      <c r="M11" s="330"/>
      <c r="P11" s="292" t="s">
        <v>284</v>
      </c>
    </row>
    <row r="12" spans="1:36" x14ac:dyDescent="0.25">
      <c r="C12" s="14"/>
      <c r="D12" s="19"/>
      <c r="E12" s="19">
        <f>+'PCR Cycle 2'!E15</f>
        <v>45077</v>
      </c>
      <c r="F12" s="19">
        <f>+'PCR Cycle 2'!F15</f>
        <v>45107</v>
      </c>
      <c r="G12" s="19">
        <f>+'PCR Cycle 2'!G15</f>
        <v>45138</v>
      </c>
      <c r="H12" s="14">
        <f>+'PCR Cycle 2'!H15</f>
        <v>45169</v>
      </c>
      <c r="I12" s="19">
        <f>+'PCR Cycle 2'!I15</f>
        <v>45199</v>
      </c>
      <c r="J12" s="15">
        <f>+'PCR Cycle 2'!J15</f>
        <v>45230</v>
      </c>
      <c r="K12" s="19">
        <f>+'PCR Cycle 2'!K15</f>
        <v>45260</v>
      </c>
      <c r="L12" s="19">
        <f>+'PCR Cycle 2'!L15</f>
        <v>45291</v>
      </c>
      <c r="M12" s="95">
        <f>+'PCR Cycle 2'!M15</f>
        <v>45322</v>
      </c>
      <c r="AA12" s="1"/>
      <c r="AB12" s="1"/>
      <c r="AC12" s="1"/>
      <c r="AD12" s="1"/>
      <c r="AE12" s="1"/>
      <c r="AF12" s="1"/>
      <c r="AG12" s="1"/>
      <c r="AH12" s="1"/>
      <c r="AI12" s="1"/>
      <c r="AJ12" s="1"/>
    </row>
    <row r="13" spans="1:36" x14ac:dyDescent="0.25">
      <c r="C13" s="98"/>
      <c r="D13" s="257"/>
      <c r="E13" s="31"/>
      <c r="F13" s="31"/>
      <c r="G13" s="31"/>
      <c r="H13" s="28"/>
      <c r="I13" s="31"/>
      <c r="J13" s="11"/>
      <c r="K13" s="31"/>
      <c r="L13" s="31"/>
      <c r="M13" s="29"/>
      <c r="P13" s="47"/>
    </row>
    <row r="14" spans="1:36" x14ac:dyDescent="0.25">
      <c r="A14" s="46" t="s">
        <v>140</v>
      </c>
      <c r="C14" s="99"/>
      <c r="D14" s="147"/>
      <c r="E14" s="31"/>
      <c r="F14" s="31"/>
      <c r="G14" s="31"/>
      <c r="H14" s="28"/>
      <c r="I14" s="31"/>
      <c r="J14" s="163"/>
      <c r="K14" s="17"/>
      <c r="L14" s="17"/>
      <c r="M14" s="11"/>
      <c r="P14" s="47"/>
    </row>
    <row r="15" spans="1:36" x14ac:dyDescent="0.25">
      <c r="A15" s="46" t="s">
        <v>24</v>
      </c>
      <c r="C15" s="97">
        <v>-1334837.9099999999</v>
      </c>
      <c r="D15" s="256"/>
      <c r="E15" s="109">
        <f>[6]Pivot!$N$30</f>
        <v>561536.59000000008</v>
      </c>
      <c r="F15" s="109">
        <f>[7]Pivot!$N$30</f>
        <v>486576.56000000006</v>
      </c>
      <c r="G15" s="109">
        <f>[8]Pivot!$N$30</f>
        <v>576257.38</v>
      </c>
      <c r="H15" s="300">
        <f>[9]Pivot!$N$30</f>
        <v>554220.35000000009</v>
      </c>
      <c r="I15" s="301">
        <f>[10]Pivot!$N$30</f>
        <v>568452.24</v>
      </c>
      <c r="J15" s="302">
        <f>'[11]Pivot - SI Project'!$N$27</f>
        <v>384920.74</v>
      </c>
      <c r="K15" s="303">
        <f>+'[2]Monthly Program Costs Ext'!$BB290+'[2]Monthly Program Costs'!$BB290</f>
        <v>869110.00000000012</v>
      </c>
      <c r="L15" s="136">
        <f>+'[2]Monthly Program Costs Ext'!$BC290+'[2]Monthly Program Costs'!$BC290</f>
        <v>846758.98</v>
      </c>
      <c r="M15" s="76"/>
      <c r="P15" s="47">
        <f>-SUM(K15:M15)</f>
        <v>-1715868.98</v>
      </c>
      <c r="S15" s="46">
        <v>532208.78</v>
      </c>
      <c r="T15" s="46">
        <v>716027.06</v>
      </c>
    </row>
    <row r="16" spans="1:36" x14ac:dyDescent="0.25">
      <c r="A16" s="46" t="s">
        <v>107</v>
      </c>
      <c r="C16" s="97">
        <v>-164062.29999999999</v>
      </c>
      <c r="D16" s="256"/>
      <c r="E16" s="109">
        <f>[6]Pivot!$O$30</f>
        <v>61907.86</v>
      </c>
      <c r="F16" s="109">
        <f>[7]Pivot!$O$30</f>
        <v>51440.020000000004</v>
      </c>
      <c r="G16" s="109">
        <f>[8]Pivot!$O$30</f>
        <v>57941.479999999996</v>
      </c>
      <c r="H16" s="300">
        <f>[9]Pivot!$O$30</f>
        <v>35994.640000000007</v>
      </c>
      <c r="I16" s="301">
        <f>[10]Pivot!$O$30</f>
        <v>52094.94</v>
      </c>
      <c r="J16" s="302">
        <f>'[11]Pivot - SI Project'!$O$27</f>
        <v>46266.01</v>
      </c>
      <c r="K16" s="303">
        <f>+'[2]Monthly Program Costs Ext'!$BB291+'[2]Monthly Program Costs'!$BB291</f>
        <v>135358.23000000001</v>
      </c>
      <c r="L16" s="136">
        <f>+'[2]Monthly Program Costs Ext'!$BC291+'[2]Monthly Program Costs'!$BC291</f>
        <v>160767.52999999997</v>
      </c>
      <c r="M16" s="76"/>
      <c r="P16" s="47">
        <f t="shared" ref="P16:P18" si="2">-SUM(K16:M16)</f>
        <v>-296125.76</v>
      </c>
      <c r="Q16" s="254">
        <f>SUM(E16:J16)/SUM($E$16:$J$19)</f>
        <v>9.5681325939131076E-2</v>
      </c>
      <c r="S16" s="46">
        <v>52411.14</v>
      </c>
      <c r="T16" s="46">
        <v>66148.66</v>
      </c>
    </row>
    <row r="17" spans="1:20" x14ac:dyDescent="0.25">
      <c r="A17" s="46" t="s">
        <v>108</v>
      </c>
      <c r="C17" s="97">
        <v>-313115.39</v>
      </c>
      <c r="D17" s="256"/>
      <c r="E17" s="109">
        <f>[6]Pivot!$P$30</f>
        <v>136616.35</v>
      </c>
      <c r="F17" s="109">
        <f>[7]Pivot!$P$30</f>
        <v>216950.53</v>
      </c>
      <c r="G17" s="109">
        <f>[8]Pivot!$P$30</f>
        <v>322519.34000000003</v>
      </c>
      <c r="H17" s="300">
        <f>[9]Pivot!$P$30</f>
        <v>76121.31</v>
      </c>
      <c r="I17" s="301">
        <f>[10]Pivot!$P$30</f>
        <v>192910.2</v>
      </c>
      <c r="J17" s="302">
        <f>'[11]Pivot - SI Project'!$P$27</f>
        <v>160834.44</v>
      </c>
      <c r="K17" s="303">
        <f>+'[2]Monthly Program Costs Ext'!$BB292+'[2]Monthly Program Costs'!$BB292</f>
        <v>271565.69</v>
      </c>
      <c r="L17" s="136">
        <f>+'[2]Monthly Program Costs Ext'!$BC292+'[2]Monthly Program Costs'!$BC292</f>
        <v>322543.71999999997</v>
      </c>
      <c r="M17" s="76"/>
      <c r="P17" s="47">
        <f t="shared" si="2"/>
        <v>-594109.40999999992</v>
      </c>
      <c r="Q17" s="254">
        <f t="shared" ref="Q17:Q19" si="3">SUM(E17:J17)/SUM($E$16:$J$19)</f>
        <v>0.34621533923874509</v>
      </c>
      <c r="S17" s="46">
        <v>131571.41</v>
      </c>
      <c r="T17" s="46">
        <v>170309.47</v>
      </c>
    </row>
    <row r="18" spans="1:20" x14ac:dyDescent="0.25">
      <c r="A18" s="46" t="s">
        <v>109</v>
      </c>
      <c r="C18" s="97">
        <v>-523562.74</v>
      </c>
      <c r="D18" s="256"/>
      <c r="E18" s="109">
        <f>[6]Pivot!$Q$30</f>
        <v>105074.6</v>
      </c>
      <c r="F18" s="109">
        <f>[7]Pivot!$Q$30</f>
        <v>215424.19999999998</v>
      </c>
      <c r="G18" s="109">
        <f>[8]Pivot!$Q$30</f>
        <v>225472.34999999998</v>
      </c>
      <c r="H18" s="300">
        <f>[9]Pivot!$Q$30</f>
        <v>103335.87</v>
      </c>
      <c r="I18" s="301">
        <f>[10]Pivot!$Q$30</f>
        <v>343067.16000000003</v>
      </c>
      <c r="J18" s="302">
        <f>'[11]Pivot - SI Project'!$Q$27</f>
        <v>439672.01</v>
      </c>
      <c r="K18" s="303">
        <f>+'[2]Monthly Program Costs Ext'!$BB293+'[2]Monthly Program Costs'!$BB293</f>
        <v>432063.91999999993</v>
      </c>
      <c r="L18" s="136">
        <f>+'[2]Monthly Program Costs Ext'!$BC293+'[2]Monthly Program Costs'!$BC293</f>
        <v>513170.49999999994</v>
      </c>
      <c r="M18" s="76"/>
      <c r="P18" s="47">
        <f t="shared" si="2"/>
        <v>-945234.41999999993</v>
      </c>
      <c r="Q18" s="254">
        <f t="shared" si="3"/>
        <v>0.44829819130098769</v>
      </c>
      <c r="S18" s="46">
        <v>213540.87</v>
      </c>
      <c r="T18" s="46">
        <v>275298.77</v>
      </c>
    </row>
    <row r="19" spans="1:20" x14ac:dyDescent="0.25">
      <c r="A19" s="46" t="s">
        <v>110</v>
      </c>
      <c r="C19" s="97">
        <v>-143494.1</v>
      </c>
      <c r="D19" s="256"/>
      <c r="E19" s="109">
        <f>[6]Pivot!$R$30</f>
        <v>233243.66999999998</v>
      </c>
      <c r="F19" s="109">
        <f>[7]Pivot!$R$30</f>
        <v>31054.389999999996</v>
      </c>
      <c r="G19" s="109">
        <f>[8]Pivot!$R$30</f>
        <v>19073.579999999998</v>
      </c>
      <c r="H19" s="300">
        <f>[9]Pivot!$R$30</f>
        <v>29554.85</v>
      </c>
      <c r="I19" s="301">
        <f>[10]Pivot!$R$30</f>
        <v>18402.200000000004</v>
      </c>
      <c r="J19" s="302">
        <f>'[11]Pivot - SI Project'!$R$27</f>
        <v>19433.460000000003</v>
      </c>
      <c r="K19" s="303">
        <f>+'[2]Monthly Program Costs Ext'!$BB294+'[2]Monthly Program Costs'!$BB294</f>
        <v>115468.29000000001</v>
      </c>
      <c r="L19" s="136">
        <f>+'[2]Monthly Program Costs Ext'!$BC294+'[2]Monthly Program Costs'!$BC294</f>
        <v>137143.88</v>
      </c>
      <c r="M19" s="76"/>
      <c r="Q19" s="254">
        <f t="shared" si="3"/>
        <v>0.10980514352113584</v>
      </c>
      <c r="S19" s="46">
        <v>75725.94</v>
      </c>
      <c r="T19" s="46">
        <v>97678.19</v>
      </c>
    </row>
    <row r="20" spans="1:20" x14ac:dyDescent="0.25">
      <c r="C20" s="99"/>
      <c r="D20" s="147"/>
      <c r="E20" s="31"/>
      <c r="F20" s="31"/>
      <c r="G20" s="31"/>
      <c r="H20" s="28"/>
      <c r="I20" s="31"/>
      <c r="J20" s="31"/>
      <c r="K20" s="28"/>
      <c r="L20" s="17"/>
      <c r="M20" s="11"/>
    </row>
    <row r="21" spans="1:20" x14ac:dyDescent="0.25">
      <c r="A21" s="39" t="s">
        <v>47</v>
      </c>
      <c r="B21" s="39"/>
      <c r="C21" s="101"/>
      <c r="D21" s="258"/>
      <c r="E21" s="31"/>
      <c r="F21" s="31"/>
      <c r="G21" s="31"/>
      <c r="H21" s="28"/>
      <c r="I21" s="31"/>
      <c r="J21" s="11"/>
      <c r="K21" s="17"/>
      <c r="L21" s="17"/>
      <c r="M21" s="11"/>
    </row>
    <row r="22" spans="1:20" x14ac:dyDescent="0.25">
      <c r="A22" s="46" t="s">
        <v>24</v>
      </c>
      <c r="C22" s="102">
        <v>-637744359</v>
      </c>
      <c r="D22" s="259"/>
      <c r="E22" s="111">
        <f>+'PCR Cycle 2'!E27</f>
        <v>153608115.565175</v>
      </c>
      <c r="F22" s="111">
        <f>+'PCR Cycle 2'!F27</f>
        <v>209710948.8513875</v>
      </c>
      <c r="G22" s="111">
        <f>+'PCR Cycle 2'!G27</f>
        <v>278626610.72096258</v>
      </c>
      <c r="H22" s="182">
        <f>+'PCR Cycle 2'!H27</f>
        <v>287664948.77565002</v>
      </c>
      <c r="I22" s="185">
        <f>+'PCR Cycle 2'!I27</f>
        <v>285623460.03516239</v>
      </c>
      <c r="J22" s="177">
        <f>+'PCR Cycle 2'!J27</f>
        <v>285623460.03516239</v>
      </c>
      <c r="K22" s="173">
        <f>+'PCR Cycle 2'!K27</f>
        <v>167362018</v>
      </c>
      <c r="L22" s="137">
        <f>+'PCR Cycle 2'!L27</f>
        <v>238634246</v>
      </c>
      <c r="M22" s="77">
        <f>+'PCR Cycle 2'!M27</f>
        <v>270075952</v>
      </c>
      <c r="P22" s="47">
        <f>-SUM(K22:M22)</f>
        <v>-676072216</v>
      </c>
    </row>
    <row r="23" spans="1:20" x14ac:dyDescent="0.25">
      <c r="A23" s="46" t="s">
        <v>107</v>
      </c>
      <c r="C23" s="102">
        <v>-150507222</v>
      </c>
      <c r="D23" s="259"/>
      <c r="E23" s="111">
        <f>+'PCR Cycle 2'!E28</f>
        <v>41841213.929499991</v>
      </c>
      <c r="F23" s="111">
        <f>+'PCR Cycle 2'!F28</f>
        <v>52906429.388999999</v>
      </c>
      <c r="G23" s="111">
        <f>+'PCR Cycle 2'!G28</f>
        <v>60589357.413699992</v>
      </c>
      <c r="H23" s="182">
        <f>+'PCR Cycle 2'!H28</f>
        <v>53164888.667599984</v>
      </c>
      <c r="I23" s="185">
        <f>+'PCR Cycle 2'!I28</f>
        <v>59754701.112800002</v>
      </c>
      <c r="J23" s="177">
        <f>+'PCR Cycle 2'!J28</f>
        <v>59754701.112800002</v>
      </c>
      <c r="K23" s="173">
        <f>+'PCR Cycle 2'!K28</f>
        <v>45996215</v>
      </c>
      <c r="L23" s="137">
        <f>+'PCR Cycle 2'!L28</f>
        <v>50669099</v>
      </c>
      <c r="M23" s="77">
        <f>+'PCR Cycle 2'!M28</f>
        <v>51536064</v>
      </c>
      <c r="P23" s="47">
        <f t="shared" ref="P23:P25" si="4">-SUM(K23:M23)</f>
        <v>-148201378</v>
      </c>
    </row>
    <row r="24" spans="1:20" x14ac:dyDescent="0.25">
      <c r="A24" s="46" t="s">
        <v>108</v>
      </c>
      <c r="C24" s="102">
        <v>-276751404</v>
      </c>
      <c r="D24" s="259"/>
      <c r="E24" s="111">
        <f>+'PCR Cycle 2'!E29</f>
        <v>78101680.974799991</v>
      </c>
      <c r="F24" s="111">
        <f>+'PCR Cycle 2'!F29</f>
        <v>91037845.061999992</v>
      </c>
      <c r="G24" s="111">
        <f>+'PCR Cycle 2'!G29</f>
        <v>101613823.18710001</v>
      </c>
      <c r="H24" s="182">
        <f>+'PCR Cycle 2'!H29</f>
        <v>104352847.3318</v>
      </c>
      <c r="I24" s="185">
        <f>+'PCR Cycle 2'!I29</f>
        <v>106129448.26049997</v>
      </c>
      <c r="J24" s="177">
        <f>+'PCR Cycle 2'!J29</f>
        <v>106129448.26049997</v>
      </c>
      <c r="K24" s="173">
        <f>+'PCR Cycle 2'!K29</f>
        <v>84577450</v>
      </c>
      <c r="L24" s="137">
        <f>+'PCR Cycle 2'!L29</f>
        <v>93169910</v>
      </c>
      <c r="M24" s="77">
        <f>+'PCR Cycle 2'!M29</f>
        <v>94764077</v>
      </c>
      <c r="P24" s="47">
        <f t="shared" si="4"/>
        <v>-272511437</v>
      </c>
    </row>
    <row r="25" spans="1:20" x14ac:dyDescent="0.25">
      <c r="A25" s="46" t="s">
        <v>109</v>
      </c>
      <c r="C25" s="102">
        <v>-448015067</v>
      </c>
      <c r="D25" s="259"/>
      <c r="E25" s="111">
        <f>+'PCR Cycle 2'!E30</f>
        <v>134005063.37409998</v>
      </c>
      <c r="F25" s="111">
        <f>+'PCR Cycle 2'!F30</f>
        <v>146445173.66980001</v>
      </c>
      <c r="G25" s="111">
        <f>+'PCR Cycle 2'!G30</f>
        <v>154891570.83790001</v>
      </c>
      <c r="H25" s="182">
        <f>+'PCR Cycle 2'!H30</f>
        <v>160050302.79149997</v>
      </c>
      <c r="I25" s="185">
        <f>+'PCR Cycle 2'!I30</f>
        <v>163695099.28690001</v>
      </c>
      <c r="J25" s="177">
        <f>+'PCR Cycle 2'!J30</f>
        <v>163695099.28690001</v>
      </c>
      <c r="K25" s="173">
        <f>+'PCR Cycle 2'!K30</f>
        <v>136916999</v>
      </c>
      <c r="L25" s="137">
        <f>+'PCR Cycle 2'!L30</f>
        <v>150826781</v>
      </c>
      <c r="M25" s="77">
        <f>+'PCR Cycle 2'!M30</f>
        <v>153407476</v>
      </c>
      <c r="P25" s="47">
        <f t="shared" si="4"/>
        <v>-441151256</v>
      </c>
    </row>
    <row r="26" spans="1:20" x14ac:dyDescent="0.25">
      <c r="A26" s="46" t="s">
        <v>110</v>
      </c>
      <c r="C26" s="102">
        <v>-116525334</v>
      </c>
      <c r="D26" s="259"/>
      <c r="E26" s="111">
        <f>+'PCR Cycle 2'!E31</f>
        <v>40299318.380000003</v>
      </c>
      <c r="F26" s="111">
        <f>+'PCR Cycle 2'!F31</f>
        <v>35352927.079299994</v>
      </c>
      <c r="G26" s="111">
        <f>+'PCR Cycle 2'!G31</f>
        <v>47089556.10549999</v>
      </c>
      <c r="H26" s="182">
        <f>+'PCR Cycle 2'!H31</f>
        <v>59924735.7267</v>
      </c>
      <c r="I26" s="185">
        <f>+'PCR Cycle 2'!I31</f>
        <v>41524233.650499992</v>
      </c>
      <c r="J26" s="177">
        <f>+'PCR Cycle 2'!J31</f>
        <v>41524233.650499992</v>
      </c>
      <c r="K26" s="173">
        <f>+'PCR Cycle 2'!K31</f>
        <v>35611077</v>
      </c>
      <c r="L26" s="137">
        <f>+'PCR Cycle 2'!L31</f>
        <v>39228906</v>
      </c>
      <c r="M26" s="77">
        <f>+'PCR Cycle 2'!M31</f>
        <v>39900125</v>
      </c>
    </row>
    <row r="27" spans="1:20" x14ac:dyDescent="0.25">
      <c r="C27" s="99"/>
      <c r="D27" s="147"/>
      <c r="E27" s="31"/>
      <c r="F27" s="31"/>
      <c r="G27" s="31"/>
      <c r="H27" s="28"/>
      <c r="I27" s="31"/>
      <c r="J27" s="11"/>
      <c r="K27" s="17"/>
      <c r="L27" s="17"/>
      <c r="M27" s="11"/>
    </row>
    <row r="28" spans="1:20" x14ac:dyDescent="0.25">
      <c r="A28" s="46" t="s">
        <v>34</v>
      </c>
      <c r="C28" s="99"/>
      <c r="D28" s="147"/>
      <c r="E28" s="18"/>
      <c r="F28" s="18"/>
      <c r="G28" s="18"/>
      <c r="H28" s="91"/>
      <c r="I28" s="18"/>
      <c r="J28" s="11"/>
      <c r="K28" s="57"/>
      <c r="L28" s="57"/>
      <c r="M28" s="58"/>
      <c r="N28" s="63" t="s">
        <v>50</v>
      </c>
      <c r="O28" s="39"/>
      <c r="P28" s="39"/>
    </row>
    <row r="29" spans="1:20" x14ac:dyDescent="0.25">
      <c r="A29" s="46" t="s">
        <v>24</v>
      </c>
      <c r="C29" s="97">
        <v>-1517831.57</v>
      </c>
      <c r="D29" s="256"/>
      <c r="E29" s="109">
        <f>+'[4]May 2023'!$G88+'[4]May 2023'!$G96</f>
        <v>365601.45</v>
      </c>
      <c r="F29" s="109">
        <f>+'[4]June 2023'!$G88+'[4]June 2023'!$G96</f>
        <v>499119.74</v>
      </c>
      <c r="G29" s="109">
        <f>+'[4]July 2023'!$G88+'[4]July 2023'!$G96</f>
        <v>663220.67000000004</v>
      </c>
      <c r="H29" s="183">
        <f>+'[4]August 2023'!$G88+'[4]August 2023'!$G96</f>
        <v>542940.80000000005</v>
      </c>
      <c r="I29" s="55">
        <f>+'[4]September 2023'!$G88+'[4]September 2023'!$G96</f>
        <v>275700.26</v>
      </c>
      <c r="J29" s="175">
        <f>+'[4]October 2023'!$G88+'[4]October 2023'!$G96</f>
        <v>184574.53999999998</v>
      </c>
      <c r="K29" s="120">
        <f>ROUND(K22*$N29,2)</f>
        <v>160667.54</v>
      </c>
      <c r="L29" s="41">
        <f t="shared" ref="L29:M29" si="5">ROUND(L22*$N29,2)</f>
        <v>229088.88</v>
      </c>
      <c r="M29" s="61">
        <f t="shared" si="5"/>
        <v>259272.91</v>
      </c>
      <c r="N29" s="72">
        <v>9.5999999999999992E-4</v>
      </c>
      <c r="P29" s="47">
        <f>-SUM(K29:M29)</f>
        <v>-649029.33000000007</v>
      </c>
    </row>
    <row r="30" spans="1:20" x14ac:dyDescent="0.25">
      <c r="A30" s="46" t="s">
        <v>107</v>
      </c>
      <c r="C30" s="97">
        <v>-245326.78</v>
      </c>
      <c r="D30" s="256"/>
      <c r="E30" s="109">
        <f>+'[4]May 2023'!$G89+'[4]May 2023'!$G97</f>
        <v>68215.429999999993</v>
      </c>
      <c r="F30" s="109">
        <f>+'[4]June 2023'!$G89+'[4]June 2023'!$G97</f>
        <v>86237.22</v>
      </c>
      <c r="G30" s="109">
        <f>+'[4]July 2023'!$G89+'[4]July 2023'!$G97</f>
        <v>98762.31</v>
      </c>
      <c r="H30" s="183">
        <f>+'[4]August 2023'!$G89+'[4]August 2023'!$G97</f>
        <v>72606.429999999993</v>
      </c>
      <c r="I30" s="55">
        <f>+'[4]September 2023'!$G89+'[4]September 2023'!$G97</f>
        <v>58044.18</v>
      </c>
      <c r="J30" s="175">
        <f>+'[4]October 2023'!$G89+'[4]October 2023'!$G97</f>
        <v>49462.380000000005</v>
      </c>
      <c r="K30" s="120">
        <f t="shared" ref="K30:M30" si="6">ROUND(K23*$N30,2)</f>
        <v>44616.33</v>
      </c>
      <c r="L30" s="41">
        <f t="shared" si="6"/>
        <v>49149.03</v>
      </c>
      <c r="M30" s="61">
        <f t="shared" si="6"/>
        <v>49989.98</v>
      </c>
      <c r="N30" s="72">
        <v>9.7000000000000005E-4</v>
      </c>
      <c r="P30" s="47">
        <f t="shared" ref="P30:P32" si="7">-SUM(K30:M30)</f>
        <v>-143755.34</v>
      </c>
    </row>
    <row r="31" spans="1:20" x14ac:dyDescent="0.25">
      <c r="A31" s="46" t="s">
        <v>108</v>
      </c>
      <c r="C31" s="97">
        <v>-343171.74</v>
      </c>
      <c r="D31" s="256"/>
      <c r="E31" s="109">
        <f>+'[4]May 2023'!$G90+'[4]May 2023'!$G98</f>
        <v>96882.07</v>
      </c>
      <c r="F31" s="109">
        <f>+'[4]June 2023'!$G90+'[4]June 2023'!$G98</f>
        <v>112893.33000000002</v>
      </c>
      <c r="G31" s="109">
        <f>+'[4]July 2023'!$G90+'[4]July 2023'!$G98</f>
        <v>126001.12999999999</v>
      </c>
      <c r="H31" s="183">
        <f>+'[4]August 2023'!$G90+'[4]August 2023'!$G98</f>
        <v>121711.56000000001</v>
      </c>
      <c r="I31" s="55">
        <f>+'[4]September 2023'!$G90+'[4]September 2023'!$G98</f>
        <v>107311.39</v>
      </c>
      <c r="J31" s="175">
        <f>+'[4]October 2023'!$G90+'[4]October 2023'!$G98</f>
        <v>91809.3</v>
      </c>
      <c r="K31" s="120">
        <f t="shared" ref="K31:M31" si="8">ROUND(K24*$N31,2)</f>
        <v>85423.22</v>
      </c>
      <c r="L31" s="41">
        <f t="shared" si="8"/>
        <v>94101.61</v>
      </c>
      <c r="M31" s="61">
        <f t="shared" si="8"/>
        <v>95711.72</v>
      </c>
      <c r="N31" s="72">
        <v>1.01E-3</v>
      </c>
      <c r="P31" s="47">
        <f t="shared" si="7"/>
        <v>-275236.55000000005</v>
      </c>
    </row>
    <row r="32" spans="1:20" x14ac:dyDescent="0.25">
      <c r="A32" s="46" t="s">
        <v>109</v>
      </c>
      <c r="C32" s="97">
        <v>-430094.46</v>
      </c>
      <c r="D32" s="256"/>
      <c r="E32" s="109">
        <f>+'[4]May 2023'!$G91+'[4]May 2023'!$G99</f>
        <v>128644.70999999999</v>
      </c>
      <c r="F32" s="109">
        <f>+'[4]June 2023'!$G91+'[4]June 2023'!$G99</f>
        <v>140587.34</v>
      </c>
      <c r="G32" s="109">
        <f>+'[4]July 2023'!$G91+'[4]July 2023'!$G99</f>
        <v>148695.90000000002</v>
      </c>
      <c r="H32" s="183">
        <f>+'[4]August 2023'!$G91+'[4]August 2023'!$G99</f>
        <v>141831.24</v>
      </c>
      <c r="I32" s="55">
        <f>+'[4]September 2023'!$G91+'[4]September 2023'!$G99</f>
        <v>121161.57</v>
      </c>
      <c r="J32" s="175">
        <f>+'[4]October 2023'!$G91+'[4]October 2023'!$G99</f>
        <v>107032.12999999999</v>
      </c>
      <c r="K32" s="120">
        <f t="shared" ref="K32:M32" si="9">ROUND(K25*$N32,2)</f>
        <v>101318.58</v>
      </c>
      <c r="L32" s="41">
        <f t="shared" si="9"/>
        <v>111611.82</v>
      </c>
      <c r="M32" s="61">
        <f t="shared" si="9"/>
        <v>113521.53</v>
      </c>
      <c r="N32" s="72">
        <v>7.3999999999999999E-4</v>
      </c>
      <c r="P32" s="47">
        <f t="shared" si="7"/>
        <v>-326451.93000000005</v>
      </c>
    </row>
    <row r="33" spans="1:16" x14ac:dyDescent="0.25">
      <c r="A33" s="46" t="s">
        <v>110</v>
      </c>
      <c r="C33" s="97">
        <v>-4661.01</v>
      </c>
      <c r="D33" s="256"/>
      <c r="E33" s="109">
        <f>+'[4]May 2023'!$G92+'[4]May 2023'!$G100</f>
        <v>1611.9799999999996</v>
      </c>
      <c r="F33" s="109">
        <f>+'[4]June 2023'!$G92+'[4]June 2023'!$G100</f>
        <v>1414.119999999999</v>
      </c>
      <c r="G33" s="109">
        <f>+'[4]July 2023'!$G92+'[4]July 2023'!$G100</f>
        <v>1883.5900000000038</v>
      </c>
      <c r="H33" s="183">
        <f>+'[4]August 2023'!$G92+'[4]August 2023'!$G100</f>
        <v>3846.0199999999968</v>
      </c>
      <c r="I33" s="55">
        <f>+'[4]September 2023'!$G92+'[4]September 2023'!$G100</f>
        <v>4103.0899999999965</v>
      </c>
      <c r="J33" s="175">
        <f>+'[4]October 2023'!$G92+'[4]October 2023'!$G100</f>
        <v>4284.8899999999994</v>
      </c>
      <c r="K33" s="120">
        <f>ROUND(K26*$N33,2)</f>
        <v>3561.11</v>
      </c>
      <c r="L33" s="41">
        <f>ROUND(L26*$N33,2)</f>
        <v>3922.89</v>
      </c>
      <c r="M33" s="61">
        <f>ROUND(M26*$N33,2)</f>
        <v>3990.01</v>
      </c>
      <c r="N33" s="72">
        <v>9.9999999999999829E-5</v>
      </c>
    </row>
    <row r="34" spans="1:16" x14ac:dyDescent="0.25">
      <c r="C34" s="67"/>
      <c r="D34" s="68"/>
      <c r="E34" s="18"/>
      <c r="F34" s="18"/>
      <c r="G34" s="18"/>
      <c r="H34" s="91"/>
      <c r="I34" s="18"/>
      <c r="J34" s="11"/>
      <c r="K34" s="56"/>
      <c r="L34" s="56"/>
      <c r="M34" s="13"/>
      <c r="N34" s="4"/>
    </row>
    <row r="35" spans="1:16" ht="15.75" thickBot="1" x14ac:dyDescent="0.3">
      <c r="A35" s="46" t="s">
        <v>14</v>
      </c>
      <c r="C35" s="103">
        <v>22634.720000000001</v>
      </c>
      <c r="D35" s="260"/>
      <c r="E35" s="112">
        <v>-12736.740000000002</v>
      </c>
      <c r="F35" s="112">
        <v>-11375.33</v>
      </c>
      <c r="G35" s="113">
        <v>-10870.88</v>
      </c>
      <c r="H35" s="26">
        <v>-10854.23</v>
      </c>
      <c r="I35" s="119">
        <v>-9518.5400000000009</v>
      </c>
      <c r="J35" s="176">
        <v>-6303.5300000000007</v>
      </c>
      <c r="K35" s="174">
        <v>-865.16000000000031</v>
      </c>
      <c r="L35" s="138">
        <v>6956.77</v>
      </c>
      <c r="M35" s="81"/>
      <c r="P35" s="47">
        <f t="shared" ref="P35" si="10">-SUM(K35:M35)</f>
        <v>-6091.6100000000006</v>
      </c>
    </row>
    <row r="36" spans="1:16" x14ac:dyDescent="0.25">
      <c r="C36" s="99"/>
      <c r="D36" s="147"/>
      <c r="E36" s="31"/>
      <c r="F36" s="31"/>
      <c r="G36" s="31"/>
      <c r="H36" s="28"/>
      <c r="I36" s="31"/>
      <c r="J36" s="11"/>
      <c r="K36" s="17"/>
      <c r="L36" s="17"/>
      <c r="M36" s="11"/>
    </row>
    <row r="37" spans="1:16" x14ac:dyDescent="0.25">
      <c r="A37" s="46" t="s">
        <v>52</v>
      </c>
      <c r="C37" s="99"/>
      <c r="D37" s="147"/>
      <c r="E37" s="31"/>
      <c r="F37" s="31"/>
      <c r="G37" s="31"/>
      <c r="H37" s="28"/>
      <c r="I37" s="31"/>
      <c r="J37" s="11"/>
      <c r="K37" s="17"/>
      <c r="L37" s="17"/>
      <c r="M37" s="11"/>
    </row>
    <row r="38" spans="1:16" x14ac:dyDescent="0.25">
      <c r="A38" s="46" t="s">
        <v>24</v>
      </c>
      <c r="C38" s="40">
        <f t="shared" ref="C38:M38" si="11">C15-C29</f>
        <v>182993.66000000015</v>
      </c>
      <c r="D38" s="120">
        <f t="shared" ref="D38" si="12">D15-D29</f>
        <v>0</v>
      </c>
      <c r="E38" s="41">
        <f t="shared" si="11"/>
        <v>195935.14000000007</v>
      </c>
      <c r="F38" s="41">
        <f t="shared" si="11"/>
        <v>-12543.179999999935</v>
      </c>
      <c r="G38" s="108">
        <f t="shared" si="11"/>
        <v>-86963.290000000037</v>
      </c>
      <c r="H38" s="40">
        <f t="shared" si="11"/>
        <v>11279.550000000047</v>
      </c>
      <c r="I38" s="41">
        <f t="shared" si="11"/>
        <v>292751.98</v>
      </c>
      <c r="J38" s="61">
        <f t="shared" si="11"/>
        <v>200346.2</v>
      </c>
      <c r="K38" s="120">
        <f t="shared" si="11"/>
        <v>708442.46000000008</v>
      </c>
      <c r="L38" s="41">
        <f t="shared" si="11"/>
        <v>617670.1</v>
      </c>
      <c r="M38" s="49">
        <f t="shared" si="11"/>
        <v>-259272.91</v>
      </c>
    </row>
    <row r="39" spans="1:16" x14ac:dyDescent="0.25">
      <c r="A39" s="46" t="s">
        <v>107</v>
      </c>
      <c r="C39" s="40">
        <f t="shared" ref="C39:M39" si="13">C16-C30</f>
        <v>81264.48000000001</v>
      </c>
      <c r="D39" s="120">
        <f t="shared" ref="D39" si="14">D16-D30</f>
        <v>0</v>
      </c>
      <c r="E39" s="41">
        <f t="shared" si="13"/>
        <v>-6307.5699999999924</v>
      </c>
      <c r="F39" s="41">
        <f t="shared" si="13"/>
        <v>-34797.199999999997</v>
      </c>
      <c r="G39" s="108">
        <f t="shared" si="13"/>
        <v>-40820.83</v>
      </c>
      <c r="H39" s="40">
        <f t="shared" si="13"/>
        <v>-36611.789999999986</v>
      </c>
      <c r="I39" s="41">
        <f t="shared" si="13"/>
        <v>-5949.239999999998</v>
      </c>
      <c r="J39" s="61">
        <f t="shared" si="13"/>
        <v>-3196.3700000000026</v>
      </c>
      <c r="K39" s="120">
        <f t="shared" si="13"/>
        <v>90741.900000000009</v>
      </c>
      <c r="L39" s="41">
        <f t="shared" si="13"/>
        <v>111618.49999999997</v>
      </c>
      <c r="M39" s="49">
        <f t="shared" si="13"/>
        <v>-49989.98</v>
      </c>
    </row>
    <row r="40" spans="1:16" x14ac:dyDescent="0.25">
      <c r="A40" s="46" t="s">
        <v>108</v>
      </c>
      <c r="C40" s="40">
        <f t="shared" ref="C40:M40" si="15">C17-C31</f>
        <v>30056.349999999977</v>
      </c>
      <c r="D40" s="120">
        <f t="shared" ref="D40" si="16">D17-D31</f>
        <v>0</v>
      </c>
      <c r="E40" s="41">
        <f t="shared" si="15"/>
        <v>39734.28</v>
      </c>
      <c r="F40" s="41">
        <f t="shared" si="15"/>
        <v>104057.19999999998</v>
      </c>
      <c r="G40" s="108">
        <f t="shared" si="15"/>
        <v>196518.21000000002</v>
      </c>
      <c r="H40" s="40">
        <f t="shared" si="15"/>
        <v>-45590.250000000015</v>
      </c>
      <c r="I40" s="41">
        <f t="shared" si="15"/>
        <v>85598.810000000012</v>
      </c>
      <c r="J40" s="61">
        <f t="shared" si="15"/>
        <v>69025.14</v>
      </c>
      <c r="K40" s="120">
        <f t="shared" si="15"/>
        <v>186142.47</v>
      </c>
      <c r="L40" s="41">
        <f t="shared" si="15"/>
        <v>228442.11</v>
      </c>
      <c r="M40" s="49">
        <f t="shared" si="15"/>
        <v>-95711.72</v>
      </c>
    </row>
    <row r="41" spans="1:16" x14ac:dyDescent="0.25">
      <c r="A41" s="46" t="s">
        <v>109</v>
      </c>
      <c r="C41" s="40">
        <f t="shared" ref="C41:M41" si="17">C18-C32</f>
        <v>-93468.27999999997</v>
      </c>
      <c r="D41" s="120">
        <f t="shared" ref="D41" si="18">D18-D32</f>
        <v>0</v>
      </c>
      <c r="E41" s="41">
        <f t="shared" si="17"/>
        <v>-23570.109999999986</v>
      </c>
      <c r="F41" s="41">
        <f t="shared" si="17"/>
        <v>74836.859999999986</v>
      </c>
      <c r="G41" s="108">
        <f t="shared" si="17"/>
        <v>76776.449999999953</v>
      </c>
      <c r="H41" s="40">
        <f t="shared" si="17"/>
        <v>-38495.369999999995</v>
      </c>
      <c r="I41" s="41">
        <f t="shared" si="17"/>
        <v>221905.59000000003</v>
      </c>
      <c r="J41" s="61">
        <f t="shared" si="17"/>
        <v>332639.88</v>
      </c>
      <c r="K41" s="120">
        <f t="shared" si="17"/>
        <v>330745.33999999991</v>
      </c>
      <c r="L41" s="41">
        <f t="shared" si="17"/>
        <v>401558.67999999993</v>
      </c>
      <c r="M41" s="49">
        <f t="shared" si="17"/>
        <v>-113521.53</v>
      </c>
    </row>
    <row r="42" spans="1:16" x14ac:dyDescent="0.25">
      <c r="A42" s="46" t="s">
        <v>110</v>
      </c>
      <c r="C42" s="40">
        <f t="shared" ref="C42:M42" si="19">C19-C33</f>
        <v>-138833.09</v>
      </c>
      <c r="D42" s="120">
        <f t="shared" ref="D42" si="20">D19-D33</f>
        <v>0</v>
      </c>
      <c r="E42" s="41">
        <f t="shared" si="19"/>
        <v>231631.68999999997</v>
      </c>
      <c r="F42" s="41">
        <f t="shared" si="19"/>
        <v>29640.269999999997</v>
      </c>
      <c r="G42" s="108">
        <f t="shared" si="19"/>
        <v>17189.989999999994</v>
      </c>
      <c r="H42" s="40">
        <f t="shared" si="19"/>
        <v>25708.83</v>
      </c>
      <c r="I42" s="41">
        <f t="shared" si="19"/>
        <v>14299.110000000008</v>
      </c>
      <c r="J42" s="61">
        <f t="shared" si="19"/>
        <v>15148.570000000003</v>
      </c>
      <c r="K42" s="120">
        <f t="shared" si="19"/>
        <v>111907.18000000001</v>
      </c>
      <c r="L42" s="41">
        <f t="shared" si="19"/>
        <v>133220.99</v>
      </c>
      <c r="M42" s="49">
        <f t="shared" si="19"/>
        <v>-3990.01</v>
      </c>
    </row>
    <row r="43" spans="1:16" x14ac:dyDescent="0.25">
      <c r="C43" s="99"/>
      <c r="D43" s="147"/>
      <c r="E43" s="31"/>
      <c r="F43" s="31"/>
      <c r="G43" s="31"/>
      <c r="H43" s="28"/>
      <c r="I43" s="31"/>
      <c r="J43" s="11"/>
      <c r="K43" s="17"/>
      <c r="L43" s="17"/>
      <c r="M43" s="11"/>
    </row>
    <row r="44" spans="1:16" ht="15.75" thickBot="1" x14ac:dyDescent="0.3">
      <c r="A44" s="46" t="s">
        <v>53</v>
      </c>
      <c r="C44" s="104"/>
      <c r="D44" s="261"/>
      <c r="E44" s="31"/>
      <c r="F44" s="31"/>
      <c r="G44" s="31"/>
      <c r="H44" s="28"/>
      <c r="I44" s="31"/>
      <c r="J44" s="11"/>
      <c r="K44" s="17"/>
      <c r="L44" s="17"/>
      <c r="M44" s="11"/>
    </row>
    <row r="45" spans="1:16" x14ac:dyDescent="0.25">
      <c r="A45" s="46" t="s">
        <v>24</v>
      </c>
      <c r="B45" s="310">
        <v>-1568562.1700000002</v>
      </c>
      <c r="C45" s="41">
        <f t="shared" ref="C45:M45" si="21">B45+C38+B53</f>
        <v>-1385568.51</v>
      </c>
      <c r="D45" s="41">
        <f t="shared" ref="D45:D49" si="22">C45+D38+C53</f>
        <v>-1374142.76</v>
      </c>
      <c r="E45" s="41">
        <f t="shared" ref="E45:E49" si="23">D45+E38+D53</f>
        <v>-1178207.6199999999</v>
      </c>
      <c r="F45" s="41">
        <f t="shared" si="21"/>
        <v>-1197264.9999999998</v>
      </c>
      <c r="G45" s="108">
        <f t="shared" si="21"/>
        <v>-1290362.3499999999</v>
      </c>
      <c r="H45" s="40">
        <f t="shared" si="21"/>
        <v>-1285668.92</v>
      </c>
      <c r="I45" s="41">
        <f t="shared" si="21"/>
        <v>-999823.34</v>
      </c>
      <c r="J45" s="61">
        <f t="shared" si="21"/>
        <v>-805613.84999999986</v>
      </c>
      <c r="K45" s="120">
        <f t="shared" si="21"/>
        <v>-102026.18999999978</v>
      </c>
      <c r="L45" s="41">
        <f t="shared" si="21"/>
        <v>513198.5300000002</v>
      </c>
      <c r="M45" s="49">
        <f t="shared" si="21"/>
        <v>255020.9600000002</v>
      </c>
    </row>
    <row r="46" spans="1:16" x14ac:dyDescent="0.25">
      <c r="A46" s="46" t="s">
        <v>107</v>
      </c>
      <c r="B46" s="312">
        <v>-21545.670000000035</v>
      </c>
      <c r="C46" s="41">
        <f t="shared" ref="C46:M46" si="24">B46+C39+B54</f>
        <v>59718.809999999976</v>
      </c>
      <c r="D46" s="41">
        <f t="shared" si="22"/>
        <v>59125.499999999978</v>
      </c>
      <c r="E46" s="41">
        <f t="shared" si="23"/>
        <v>52817.929999999986</v>
      </c>
      <c r="F46" s="41">
        <f t="shared" si="24"/>
        <v>18306.439999999988</v>
      </c>
      <c r="G46" s="108">
        <f t="shared" si="24"/>
        <v>-22330.500000000015</v>
      </c>
      <c r="H46" s="40">
        <f t="shared" si="24"/>
        <v>-58952.43</v>
      </c>
      <c r="I46" s="41">
        <f t="shared" si="24"/>
        <v>-65119.06</v>
      </c>
      <c r="J46" s="61">
        <f t="shared" si="24"/>
        <v>-68648.149999999994</v>
      </c>
      <c r="K46" s="120">
        <f t="shared" si="24"/>
        <v>21734.380000000016</v>
      </c>
      <c r="L46" s="41">
        <f t="shared" si="24"/>
        <v>133226.18999999997</v>
      </c>
      <c r="M46" s="49">
        <f t="shared" si="24"/>
        <v>83651.149999999965</v>
      </c>
    </row>
    <row r="47" spans="1:16" x14ac:dyDescent="0.25">
      <c r="A47" s="46" t="s">
        <v>108</v>
      </c>
      <c r="B47" s="312">
        <v>-112069.9</v>
      </c>
      <c r="C47" s="41">
        <f t="shared" ref="C47:M47" si="25">B47+C40+B55</f>
        <v>-82013.550000000017</v>
      </c>
      <c r="D47" s="41">
        <f t="shared" si="22"/>
        <v>-81586.530000000013</v>
      </c>
      <c r="E47" s="41">
        <f t="shared" si="23"/>
        <v>-41852.250000000015</v>
      </c>
      <c r="F47" s="41">
        <f t="shared" si="25"/>
        <v>61889.909999999967</v>
      </c>
      <c r="G47" s="108">
        <f t="shared" si="25"/>
        <v>258458.91</v>
      </c>
      <c r="H47" s="40">
        <f t="shared" si="25"/>
        <v>213714.84999999998</v>
      </c>
      <c r="I47" s="41">
        <f t="shared" si="25"/>
        <v>300578.59999999998</v>
      </c>
      <c r="J47" s="61">
        <f t="shared" si="25"/>
        <v>370983.88</v>
      </c>
      <c r="K47" s="120">
        <f t="shared" si="25"/>
        <v>558929.76</v>
      </c>
      <c r="L47" s="41">
        <f t="shared" si="25"/>
        <v>789868.76</v>
      </c>
      <c r="M47" s="49">
        <f t="shared" si="25"/>
        <v>697778.35000000009</v>
      </c>
    </row>
    <row r="48" spans="1:16" x14ac:dyDescent="0.25">
      <c r="A48" s="46" t="s">
        <v>109</v>
      </c>
      <c r="B48" s="312">
        <v>-620481.53</v>
      </c>
      <c r="C48" s="41">
        <f t="shared" ref="C48:M48" si="26">B48+C41+B56</f>
        <v>-713949.81</v>
      </c>
      <c r="D48" s="41">
        <f t="shared" si="22"/>
        <v>-707994.17</v>
      </c>
      <c r="E48" s="41">
        <f t="shared" si="23"/>
        <v>-731564.28</v>
      </c>
      <c r="F48" s="41">
        <f t="shared" si="26"/>
        <v>-660401.51</v>
      </c>
      <c r="G48" s="108">
        <f t="shared" si="26"/>
        <v>-587219.09000000008</v>
      </c>
      <c r="H48" s="40">
        <f t="shared" si="26"/>
        <v>-629018.97000000009</v>
      </c>
      <c r="I48" s="41">
        <f t="shared" si="26"/>
        <v>-410374.66000000009</v>
      </c>
      <c r="J48" s="61">
        <f t="shared" si="26"/>
        <v>-80525.950000000084</v>
      </c>
      <c r="K48" s="120">
        <f t="shared" si="26"/>
        <v>248896.35999999984</v>
      </c>
      <c r="L48" s="41">
        <f t="shared" si="26"/>
        <v>650902.70999999985</v>
      </c>
      <c r="M48" s="49">
        <f t="shared" si="26"/>
        <v>539793.72999999986</v>
      </c>
    </row>
    <row r="49" spans="1:16" ht="15.75" thickBot="1" x14ac:dyDescent="0.3">
      <c r="A49" s="46" t="s">
        <v>110</v>
      </c>
      <c r="B49" s="311">
        <v>-475913.82999999926</v>
      </c>
      <c r="C49" s="41">
        <f>B49+C42+B57</f>
        <v>-614746.91999999923</v>
      </c>
      <c r="D49" s="41">
        <f t="shared" si="22"/>
        <v>-609327.29999999923</v>
      </c>
      <c r="E49" s="41">
        <f t="shared" si="23"/>
        <v>-377695.60999999929</v>
      </c>
      <c r="F49" s="41">
        <f t="shared" ref="F49:M49" si="27">E49+F42+E57</f>
        <v>-350574.44999999925</v>
      </c>
      <c r="G49" s="108">
        <f t="shared" si="27"/>
        <v>-335266.37999999925</v>
      </c>
      <c r="H49" s="40">
        <f t="shared" si="27"/>
        <v>-311373.84999999922</v>
      </c>
      <c r="I49" s="41">
        <f t="shared" si="27"/>
        <v>-298808.82999999926</v>
      </c>
      <c r="J49" s="61">
        <f t="shared" si="27"/>
        <v>-285298.34999999928</v>
      </c>
      <c r="K49" s="120">
        <f t="shared" si="27"/>
        <v>-174960.8999999993</v>
      </c>
      <c r="L49" s="41">
        <f t="shared" si="27"/>
        <v>-42977.559999999306</v>
      </c>
      <c r="M49" s="49">
        <f t="shared" si="27"/>
        <v>-47554.939999999311</v>
      </c>
    </row>
    <row r="50" spans="1:16" x14ac:dyDescent="0.25">
      <c r="C50" s="99"/>
      <c r="D50" s="147"/>
      <c r="E50" s="31"/>
      <c r="F50" s="31"/>
      <c r="G50" s="31"/>
      <c r="H50" s="28"/>
      <c r="I50" s="31"/>
      <c r="J50" s="11"/>
      <c r="K50" s="17"/>
      <c r="L50" s="17"/>
      <c r="M50" s="11"/>
    </row>
    <row r="51" spans="1:16" x14ac:dyDescent="0.25">
      <c r="A51" s="39" t="s">
        <v>49</v>
      </c>
      <c r="B51" s="39"/>
      <c r="C51" s="104"/>
      <c r="D51" s="261"/>
      <c r="E51" s="83">
        <f>+'PCR Cycle 2'!E50</f>
        <v>5.1044699999999998E-3</v>
      </c>
      <c r="F51" s="83">
        <f>+'PCR Cycle 2'!F50</f>
        <v>5.1503699999999996E-3</v>
      </c>
      <c r="G51" s="83">
        <f>+'PCR Cycle 2'!G50</f>
        <v>5.2820799999999998E-3</v>
      </c>
      <c r="H51" s="84">
        <f>+'PCR Cycle 2'!H50</f>
        <v>5.3483699999999999E-3</v>
      </c>
      <c r="I51" s="83">
        <f>+'PCR Cycle 2'!I50</f>
        <v>5.3539599999999996E-3</v>
      </c>
      <c r="J51" s="92">
        <f>+'PCR Cycle 2'!J50</f>
        <v>5.3597599999999999E-3</v>
      </c>
      <c r="K51" s="83">
        <f>+'PCR Cycle 2'!K50</f>
        <v>5.3597599999999999E-3</v>
      </c>
      <c r="L51" s="83">
        <f>+'PCR Cycle 2'!L50</f>
        <v>5.3597599999999999E-3</v>
      </c>
      <c r="M51" s="92"/>
    </row>
    <row r="52" spans="1:16" x14ac:dyDescent="0.25">
      <c r="A52" s="39" t="s">
        <v>37</v>
      </c>
      <c r="B52" s="39"/>
      <c r="C52" s="99"/>
      <c r="D52" s="147"/>
      <c r="E52" s="31"/>
      <c r="F52" s="31"/>
      <c r="G52" s="31"/>
      <c r="H52" s="28"/>
      <c r="I52" s="31"/>
      <c r="J52" s="11"/>
      <c r="K52" s="17"/>
      <c r="L52" s="17"/>
      <c r="M52" s="11"/>
      <c r="N52" s="71"/>
    </row>
    <row r="53" spans="1:16" x14ac:dyDescent="0.25">
      <c r="A53" s="46" t="s">
        <v>24</v>
      </c>
      <c r="C53" s="308">
        <v>11425.75</v>
      </c>
      <c r="D53" s="120"/>
      <c r="E53" s="41">
        <f>ROUND((C45+C53+D53+E38/2)*E$51,2)</f>
        <v>-6514.2</v>
      </c>
      <c r="F53" s="41">
        <f t="shared" ref="F53:L57" si="28">ROUND((E45+E53+F38/2)*F$51,2)</f>
        <v>-6134.06</v>
      </c>
      <c r="G53" s="108">
        <f t="shared" si="28"/>
        <v>-6586.12</v>
      </c>
      <c r="H53" s="40">
        <f t="shared" si="28"/>
        <v>-6906.4</v>
      </c>
      <c r="I53" s="120">
        <f t="shared" si="28"/>
        <v>-6136.71</v>
      </c>
      <c r="J53" s="61">
        <f t="shared" si="28"/>
        <v>-4854.8</v>
      </c>
      <c r="K53" s="120">
        <f t="shared" si="28"/>
        <v>-2445.38</v>
      </c>
      <c r="L53" s="120">
        <f t="shared" si="28"/>
        <v>1095.3399999999999</v>
      </c>
      <c r="M53" s="49"/>
      <c r="P53" s="47">
        <f t="shared" ref="P53:P57" si="29">-SUM(K53:M53)</f>
        <v>1350.0400000000002</v>
      </c>
    </row>
    <row r="54" spans="1:16" x14ac:dyDescent="0.25">
      <c r="A54" s="46" t="s">
        <v>107</v>
      </c>
      <c r="C54" s="313">
        <v>-593.30999999999995</v>
      </c>
      <c r="D54" s="262"/>
      <c r="E54" s="41">
        <f t="shared" ref="E54:E57" si="30">ROUND((C46+C54+D54+E39/2)*E$51,2)</f>
        <v>285.70999999999998</v>
      </c>
      <c r="F54" s="41">
        <f t="shared" si="28"/>
        <v>183.89</v>
      </c>
      <c r="G54" s="108">
        <f t="shared" si="28"/>
        <v>-10.14</v>
      </c>
      <c r="H54" s="40">
        <f t="shared" si="28"/>
        <v>-217.39</v>
      </c>
      <c r="I54" s="120">
        <f t="shared" si="28"/>
        <v>-332.72</v>
      </c>
      <c r="J54" s="61">
        <f t="shared" si="28"/>
        <v>-359.37</v>
      </c>
      <c r="K54" s="120">
        <f t="shared" si="28"/>
        <v>-126.69</v>
      </c>
      <c r="L54" s="120">
        <f t="shared" si="28"/>
        <v>414.94</v>
      </c>
      <c r="M54" s="49"/>
      <c r="P54" s="47">
        <f t="shared" si="29"/>
        <v>-288.25</v>
      </c>
    </row>
    <row r="55" spans="1:16" x14ac:dyDescent="0.25">
      <c r="A55" s="46" t="s">
        <v>108</v>
      </c>
      <c r="C55" s="313">
        <v>427.02</v>
      </c>
      <c r="D55" s="262"/>
      <c r="E55" s="41">
        <f t="shared" si="30"/>
        <v>-315.04000000000002</v>
      </c>
      <c r="F55" s="41">
        <f t="shared" si="28"/>
        <v>50.79</v>
      </c>
      <c r="G55" s="108">
        <f t="shared" si="28"/>
        <v>846.19</v>
      </c>
      <c r="H55" s="40">
        <f t="shared" si="28"/>
        <v>1264.94</v>
      </c>
      <c r="I55" s="120">
        <f t="shared" si="28"/>
        <v>1380.14</v>
      </c>
      <c r="J55" s="61">
        <f t="shared" si="28"/>
        <v>1803.41</v>
      </c>
      <c r="K55" s="120">
        <f t="shared" si="28"/>
        <v>2496.89</v>
      </c>
      <c r="L55" s="120">
        <f t="shared" si="28"/>
        <v>3621.31</v>
      </c>
      <c r="M55" s="49"/>
      <c r="P55" s="47">
        <f t="shared" si="29"/>
        <v>-6118.2</v>
      </c>
    </row>
    <row r="56" spans="1:16" x14ac:dyDescent="0.25">
      <c r="A56" s="46" t="s">
        <v>109</v>
      </c>
      <c r="C56" s="313">
        <v>5955.6399999999994</v>
      </c>
      <c r="D56" s="262"/>
      <c r="E56" s="41">
        <f t="shared" si="30"/>
        <v>-3674.09</v>
      </c>
      <c r="F56" s="41">
        <f t="shared" si="28"/>
        <v>-3594.03</v>
      </c>
      <c r="G56" s="108">
        <f t="shared" si="28"/>
        <v>-3304.51</v>
      </c>
      <c r="H56" s="40">
        <f t="shared" si="28"/>
        <v>-3261.28</v>
      </c>
      <c r="I56" s="120">
        <f t="shared" si="28"/>
        <v>-2791.17</v>
      </c>
      <c r="J56" s="61">
        <f t="shared" si="28"/>
        <v>-1323.03</v>
      </c>
      <c r="K56" s="120">
        <f t="shared" si="28"/>
        <v>447.67</v>
      </c>
      <c r="L56" s="120">
        <f t="shared" si="28"/>
        <v>2412.5500000000002</v>
      </c>
      <c r="M56" s="49"/>
      <c r="P56" s="47">
        <f t="shared" si="29"/>
        <v>-2860.2200000000003</v>
      </c>
    </row>
    <row r="57" spans="1:16" ht="15.75" thickBot="1" x14ac:dyDescent="0.3">
      <c r="A57" s="46" t="s">
        <v>110</v>
      </c>
      <c r="C57" s="309">
        <v>5419.62</v>
      </c>
      <c r="D57" s="262"/>
      <c r="E57" s="41">
        <f t="shared" si="30"/>
        <v>-2519.11</v>
      </c>
      <c r="F57" s="41">
        <f t="shared" si="28"/>
        <v>-1881.92</v>
      </c>
      <c r="G57" s="108">
        <f t="shared" si="28"/>
        <v>-1816.3</v>
      </c>
      <c r="H57" s="40">
        <f t="shared" si="28"/>
        <v>-1734.09</v>
      </c>
      <c r="I57" s="120">
        <f t="shared" si="28"/>
        <v>-1638.09</v>
      </c>
      <c r="J57" s="61">
        <f t="shared" si="28"/>
        <v>-1569.73</v>
      </c>
      <c r="K57" s="120">
        <f t="shared" si="28"/>
        <v>-1237.6500000000001</v>
      </c>
      <c r="L57" s="120">
        <f t="shared" si="28"/>
        <v>-587.37</v>
      </c>
      <c r="M57" s="49"/>
      <c r="N57" s="304"/>
      <c r="O57" s="304"/>
      <c r="P57" s="47">
        <f t="shared" si="29"/>
        <v>1825.02</v>
      </c>
    </row>
    <row r="58" spans="1:16" ht="16.5" thickTop="1" thickBot="1" x14ac:dyDescent="0.3">
      <c r="A58" s="54" t="s">
        <v>22</v>
      </c>
      <c r="B58" s="54"/>
      <c r="C58" s="114">
        <v>0</v>
      </c>
      <c r="D58" s="263"/>
      <c r="E58" s="32">
        <f t="shared" ref="E58:M58" si="31">SUM(E53:E57)+SUM(E45:E49)-E61</f>
        <v>0</v>
      </c>
      <c r="F58" s="32">
        <f t="shared" si="31"/>
        <v>0</v>
      </c>
      <c r="G58" s="50">
        <f t="shared" si="31"/>
        <v>0</v>
      </c>
      <c r="H58" s="121">
        <f t="shared" si="31"/>
        <v>0</v>
      </c>
      <c r="I58" s="32">
        <f t="shared" si="31"/>
        <v>0</v>
      </c>
      <c r="J58" s="62">
        <f t="shared" si="31"/>
        <v>0</v>
      </c>
      <c r="K58" s="161">
        <f t="shared" si="31"/>
        <v>0</v>
      </c>
      <c r="L58" s="32">
        <f t="shared" si="31"/>
        <v>0</v>
      </c>
      <c r="M58" s="96">
        <f t="shared" si="31"/>
        <v>0</v>
      </c>
    </row>
    <row r="59" spans="1:16" ht="16.5" thickTop="1" thickBot="1" x14ac:dyDescent="0.3">
      <c r="A59" s="54" t="s">
        <v>23</v>
      </c>
      <c r="B59" s="54"/>
      <c r="C59" s="107">
        <v>0</v>
      </c>
      <c r="D59" s="264"/>
      <c r="E59" s="32">
        <f t="shared" ref="E59:J59" si="32">SUM(E53:E57)-E35</f>
        <v>1.0000000002037268E-2</v>
      </c>
      <c r="F59" s="32">
        <f t="shared" si="32"/>
        <v>0</v>
      </c>
      <c r="G59" s="50">
        <f t="shared" ref="G59:I59" si="33">SUM(G53:G57)-G35</f>
        <v>0</v>
      </c>
      <c r="H59" s="51">
        <f t="shared" si="33"/>
        <v>9.9999999983992893E-3</v>
      </c>
      <c r="I59" s="32">
        <f t="shared" si="33"/>
        <v>-9.9999999983992893E-3</v>
      </c>
      <c r="J59" s="62">
        <f t="shared" si="32"/>
        <v>1.0000000000218279E-2</v>
      </c>
      <c r="K59" s="161">
        <f t="shared" ref="K59:M59" si="34">SUM(K53:K57)-K35</f>
        <v>0</v>
      </c>
      <c r="L59" s="32">
        <f t="shared" si="34"/>
        <v>0</v>
      </c>
      <c r="M59" s="96">
        <f t="shared" si="34"/>
        <v>0</v>
      </c>
    </row>
    <row r="60" spans="1:16" ht="16.5" thickTop="1" thickBot="1" x14ac:dyDescent="0.3">
      <c r="C60" s="99"/>
      <c r="D60" s="147"/>
      <c r="E60" s="17"/>
      <c r="F60" s="17"/>
      <c r="G60" s="17"/>
      <c r="H60" s="10"/>
      <c r="I60" s="17"/>
      <c r="J60" s="11"/>
      <c r="K60" s="17"/>
      <c r="L60" s="17"/>
      <c r="M60" s="11"/>
    </row>
    <row r="61" spans="1:16" ht="15.75" thickBot="1" x14ac:dyDescent="0.3">
      <c r="A61" s="46" t="s">
        <v>36</v>
      </c>
      <c r="B61" s="116">
        <f>SUM(B45:B49)</f>
        <v>-2798573.0999999992</v>
      </c>
      <c r="C61" s="40">
        <f>(SUM(C15:C19)-SUM(C29:C33))+SUM(C53:C57)+B61</f>
        <v>-2713925.2599999993</v>
      </c>
      <c r="D61" s="41">
        <f>(SUM(D15:D19)-SUM(D29:D33))+SUM(D53:D57)+C61</f>
        <v>-2713925.2599999993</v>
      </c>
      <c r="E61" s="41">
        <f>(SUM(E15:E19)-SUM(E29:E33))+SUM(D53:E57)+C61</f>
        <v>-2289238.5599999991</v>
      </c>
      <c r="F61" s="41">
        <f t="shared" ref="F61:M61" si="35">(SUM(F15:F19)-SUM(F29:F33))+SUM(F53:F57)+E61</f>
        <v>-2139419.939999999</v>
      </c>
      <c r="G61" s="108">
        <f t="shared" si="35"/>
        <v>-1987590.2899999991</v>
      </c>
      <c r="H61" s="40">
        <f t="shared" si="35"/>
        <v>-2082153.5399999991</v>
      </c>
      <c r="I61" s="41">
        <f t="shared" si="35"/>
        <v>-1483065.8399999992</v>
      </c>
      <c r="J61" s="61">
        <f t="shared" si="35"/>
        <v>-875405.93999999925</v>
      </c>
      <c r="K61" s="120">
        <f t="shared" si="35"/>
        <v>551708.25000000093</v>
      </c>
      <c r="L61" s="41">
        <f t="shared" si="35"/>
        <v>2051175.4000000008</v>
      </c>
      <c r="M61" s="61">
        <f t="shared" si="35"/>
        <v>1528689.2500000009</v>
      </c>
    </row>
    <row r="62" spans="1:16" x14ac:dyDescent="0.25">
      <c r="A62" s="46" t="s">
        <v>12</v>
      </c>
      <c r="C62" s="117"/>
      <c r="D62" s="17"/>
      <c r="E62" s="56"/>
      <c r="F62" s="56"/>
      <c r="G62" s="56"/>
      <c r="H62" s="12"/>
      <c r="I62" s="56"/>
      <c r="J62" s="11"/>
      <c r="K62" s="17"/>
      <c r="L62" s="17"/>
      <c r="M62" s="11"/>
    </row>
    <row r="63" spans="1:16" ht="15.75" thickBot="1" x14ac:dyDescent="0.3">
      <c r="B63" s="17"/>
      <c r="C63" s="43"/>
      <c r="D63" s="44"/>
      <c r="E63" s="44"/>
      <c r="F63" s="44"/>
      <c r="G63" s="44"/>
      <c r="H63" s="43"/>
      <c r="I63" s="44"/>
      <c r="J63" s="45"/>
      <c r="K63" s="44"/>
      <c r="L63" s="44"/>
      <c r="M63" s="45"/>
    </row>
    <row r="64" spans="1:16" x14ac:dyDescent="0.25">
      <c r="D64" s="47"/>
    </row>
    <row r="65" spans="1:13" x14ac:dyDescent="0.25">
      <c r="A65" s="69" t="s">
        <v>11</v>
      </c>
      <c r="B65" s="69"/>
      <c r="C65" s="69"/>
      <c r="D65" s="69"/>
    </row>
    <row r="66" spans="1:13" ht="81" customHeight="1" x14ac:dyDescent="0.25">
      <c r="A66" s="331" t="s">
        <v>241</v>
      </c>
      <c r="B66" s="331"/>
      <c r="C66" s="331"/>
      <c r="D66" s="331"/>
      <c r="E66" s="331"/>
      <c r="F66" s="331"/>
      <c r="G66" s="331"/>
      <c r="H66" s="331"/>
      <c r="I66" s="331"/>
      <c r="J66" s="331"/>
      <c r="K66" s="232"/>
      <c r="L66" s="232"/>
      <c r="M66" s="232"/>
    </row>
    <row r="67" spans="1:13" ht="42.75" customHeight="1" x14ac:dyDescent="0.25">
      <c r="A67" s="331" t="s">
        <v>238</v>
      </c>
      <c r="B67" s="331"/>
      <c r="C67" s="331"/>
      <c r="D67" s="331"/>
      <c r="E67" s="331"/>
      <c r="F67" s="331"/>
      <c r="G67" s="331"/>
      <c r="H67" s="331"/>
      <c r="I67" s="331"/>
      <c r="J67" s="331"/>
      <c r="K67" s="232"/>
      <c r="L67" s="232"/>
      <c r="M67" s="232"/>
    </row>
    <row r="68" spans="1:13" ht="63.75" customHeight="1" x14ac:dyDescent="0.25">
      <c r="A68" s="331" t="s">
        <v>239</v>
      </c>
      <c r="B68" s="331"/>
      <c r="C68" s="331"/>
      <c r="D68" s="331"/>
      <c r="E68" s="331"/>
      <c r="F68" s="331"/>
      <c r="G68" s="331"/>
      <c r="H68" s="331"/>
      <c r="I68" s="331"/>
      <c r="J68" s="331"/>
      <c r="K68" s="232"/>
      <c r="L68" s="232"/>
      <c r="M68" s="232"/>
    </row>
    <row r="69" spans="1:13" x14ac:dyDescent="0.25">
      <c r="A69" s="3" t="s">
        <v>31</v>
      </c>
      <c r="B69" s="3"/>
      <c r="C69" s="3"/>
      <c r="D69" s="3"/>
      <c r="J69" s="4"/>
    </row>
    <row r="70" spans="1:13" x14ac:dyDescent="0.25">
      <c r="A70" s="63" t="s">
        <v>240</v>
      </c>
      <c r="B70" s="3"/>
      <c r="C70" s="3"/>
      <c r="D70" s="3"/>
      <c r="J70" s="4"/>
    </row>
    <row r="71" spans="1:13" x14ac:dyDescent="0.25">
      <c r="A71" s="3" t="s">
        <v>51</v>
      </c>
      <c r="B71" s="3"/>
      <c r="C71" s="3"/>
      <c r="D71" s="3"/>
      <c r="J71" s="4"/>
    </row>
    <row r="72" spans="1:13" x14ac:dyDescent="0.25">
      <c r="A72" s="3"/>
    </row>
    <row r="73" spans="1:13" ht="33.75" customHeight="1" x14ac:dyDescent="0.25">
      <c r="A73" s="327"/>
      <c r="B73" s="327"/>
      <c r="C73" s="327"/>
      <c r="D73" s="327"/>
      <c r="E73" s="327"/>
      <c r="F73" s="327"/>
      <c r="G73" s="327"/>
    </row>
    <row r="75" spans="1:13" ht="31.5" customHeight="1" x14ac:dyDescent="0.25">
      <c r="A75" s="327"/>
      <c r="B75" s="327"/>
      <c r="C75" s="327"/>
      <c r="D75" s="327"/>
      <c r="E75" s="327"/>
      <c r="F75" s="327"/>
      <c r="G75" s="327"/>
    </row>
    <row r="81" spans="14:14" x14ac:dyDescent="0.2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A21" sqref="A21"/>
    </sheetView>
  </sheetViews>
  <sheetFormatPr defaultRowHeight="15" x14ac:dyDescent="0.25"/>
  <cols>
    <col min="1" max="1" width="24.7109375" customWidth="1"/>
    <col min="2" max="2" width="16.140625" customWidth="1"/>
    <col min="3" max="3" width="15.140625" customWidth="1"/>
  </cols>
  <sheetData>
    <row r="1" spans="1:23" s="46" customFormat="1" x14ac:dyDescent="0.25">
      <c r="A1" s="3" t="str">
        <f>+'PPC Cycle 3'!A1</f>
        <v>Evergy Metro, Inc. - DSIM Rider Update Filed 12/01/2023</v>
      </c>
    </row>
    <row r="2" spans="1:23" x14ac:dyDescent="0.25">
      <c r="A2" s="9" t="str">
        <f>+'PPC Cycle 3'!A2</f>
        <v>Projections for Cycle 3 January 2024 - December 2024 DSIM</v>
      </c>
    </row>
    <row r="3" spans="1:23" s="46" customFormat="1" x14ac:dyDescent="0.25">
      <c r="A3" s="9"/>
    </row>
    <row r="4" spans="1:23" ht="40.5" customHeight="1" x14ac:dyDescent="0.25">
      <c r="B4" s="325" t="s">
        <v>64</v>
      </c>
      <c r="C4" s="325"/>
    </row>
    <row r="5" spans="1:23" ht="45" x14ac:dyDescent="0.25">
      <c r="B5" s="148" t="s">
        <v>65</v>
      </c>
      <c r="C5" s="6" t="s">
        <v>29</v>
      </c>
    </row>
    <row r="6" spans="1:23" x14ac:dyDescent="0.25">
      <c r="A6" s="20" t="s">
        <v>24</v>
      </c>
      <c r="B6" s="23">
        <f>SUM(0)</f>
        <v>0</v>
      </c>
      <c r="C6" s="86">
        <f>ROUND(SUM(0),2)</f>
        <v>0</v>
      </c>
    </row>
    <row r="7" spans="1:23" x14ac:dyDescent="0.25">
      <c r="A7" s="30" t="s">
        <v>25</v>
      </c>
      <c r="B7" s="23">
        <f>+B14</f>
        <v>0</v>
      </c>
      <c r="C7" s="86">
        <f>+C14</f>
        <v>0</v>
      </c>
    </row>
    <row r="8" spans="1:23" x14ac:dyDescent="0.25">
      <c r="A8" s="20" t="s">
        <v>5</v>
      </c>
      <c r="B8" s="24">
        <f>SUM(B6:B7)</f>
        <v>0</v>
      </c>
      <c r="C8" s="22">
        <f>SUM(C6:C7)</f>
        <v>0</v>
      </c>
    </row>
    <row r="9" spans="1:23" s="46" customFormat="1" x14ac:dyDescent="0.25">
      <c r="A9" s="20"/>
    </row>
    <row r="10" spans="1:23" s="46" customFormat="1" x14ac:dyDescent="0.25">
      <c r="A10" s="20" t="s">
        <v>107</v>
      </c>
      <c r="B10" s="23">
        <f>SUM(0)</f>
        <v>0</v>
      </c>
      <c r="C10" s="86">
        <f>ROUND(SUM(0),2)</f>
        <v>0</v>
      </c>
    </row>
    <row r="11" spans="1:23" s="46" customFormat="1" x14ac:dyDescent="0.25">
      <c r="A11" s="20" t="s">
        <v>108</v>
      </c>
      <c r="B11" s="23">
        <f t="shared" ref="B11:B13" si="0">SUM(0)</f>
        <v>0</v>
      </c>
      <c r="C11" s="86">
        <f t="shared" ref="C11:C13" si="1">ROUND(SUM(0),2)</f>
        <v>0</v>
      </c>
    </row>
    <row r="12" spans="1:23" s="46" customFormat="1" x14ac:dyDescent="0.25">
      <c r="A12" s="20" t="s">
        <v>109</v>
      </c>
      <c r="B12" s="23">
        <f t="shared" si="0"/>
        <v>0</v>
      </c>
      <c r="C12" s="86">
        <f t="shared" si="1"/>
        <v>0</v>
      </c>
    </row>
    <row r="13" spans="1:23" s="46" customFormat="1" x14ac:dyDescent="0.25">
      <c r="A13" s="20" t="s">
        <v>110</v>
      </c>
      <c r="B13" s="23">
        <f t="shared" si="0"/>
        <v>0</v>
      </c>
      <c r="C13" s="86">
        <f t="shared" si="1"/>
        <v>0</v>
      </c>
    </row>
    <row r="14" spans="1:23" x14ac:dyDescent="0.25">
      <c r="A14" s="30" t="s">
        <v>112</v>
      </c>
      <c r="B14" s="24">
        <f>SUM(B10:B13)</f>
        <v>0</v>
      </c>
      <c r="C14" s="22">
        <f>SUM(C10:C13)</f>
        <v>0</v>
      </c>
    </row>
    <row r="15" spans="1:23" x14ac:dyDescent="0.25">
      <c r="A15" s="46"/>
      <c r="B15" s="46"/>
      <c r="C15" s="46"/>
    </row>
    <row r="16" spans="1:23" x14ac:dyDescent="0.25">
      <c r="A16" s="69" t="s">
        <v>30</v>
      </c>
      <c r="B16" s="20"/>
      <c r="C16" s="21"/>
      <c r="N16" s="1"/>
      <c r="O16" s="1"/>
      <c r="P16" s="1"/>
      <c r="Q16" s="1"/>
      <c r="R16" s="1"/>
      <c r="S16" s="1"/>
      <c r="T16" s="1"/>
      <c r="U16" s="1"/>
      <c r="V16" s="1"/>
      <c r="W16" s="1"/>
    </row>
    <row r="17" spans="1:13" s="39" customFormat="1" ht="27" customHeight="1" x14ac:dyDescent="0.25">
      <c r="A17" s="324" t="s">
        <v>231</v>
      </c>
      <c r="B17" s="324"/>
      <c r="C17" s="324"/>
      <c r="D17" s="324"/>
      <c r="E17" s="324"/>
      <c r="F17" s="324"/>
      <c r="G17" s="324"/>
      <c r="H17" s="324"/>
      <c r="I17" s="324"/>
      <c r="J17" s="324"/>
      <c r="K17" s="324"/>
      <c r="L17" s="324"/>
      <c r="M17" s="324"/>
    </row>
    <row r="18" spans="1:13" s="39" customFormat="1" x14ac:dyDescent="0.25">
      <c r="A18" s="326" t="s">
        <v>176</v>
      </c>
      <c r="B18" s="326"/>
      <c r="C18" s="326"/>
      <c r="D18" s="326"/>
      <c r="E18" s="326"/>
      <c r="F18" s="326"/>
      <c r="G18" s="326"/>
      <c r="H18" s="326"/>
      <c r="I18" s="326"/>
      <c r="J18" s="326"/>
      <c r="K18" s="326"/>
      <c r="L18" s="326"/>
      <c r="M18" s="326"/>
    </row>
    <row r="38" spans="2:3" x14ac:dyDescent="0.25">
      <c r="B38" s="8"/>
      <c r="C38" s="8"/>
    </row>
    <row r="42" spans="2:3" x14ac:dyDescent="0.25">
      <c r="B42" s="8"/>
      <c r="C42" s="8"/>
    </row>
  </sheetData>
  <mergeCells count="3">
    <mergeCell ref="B4:C4"/>
    <mergeCell ref="A17:M17"/>
    <mergeCell ref="A18:M18"/>
  </mergeCells>
  <pageMargins left="0.2" right="0.2" top="0.75" bottom="0.25" header="0.3" footer="0.3"/>
  <pageSetup scale="92"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H11" sqref="H11"/>
    </sheetView>
  </sheetViews>
  <sheetFormatPr defaultColWidth="9.140625" defaultRowHeight="15" x14ac:dyDescent="0.25"/>
  <cols>
    <col min="1" max="1" width="24.7109375" style="46" customWidth="1"/>
    <col min="2" max="2" width="16.140625" style="46" customWidth="1"/>
    <col min="3" max="3" width="15.140625" style="46" customWidth="1"/>
    <col min="4" max="4" width="12.5703125" style="46" bestFit="1" customWidth="1"/>
    <col min="5" max="5" width="11.5703125" style="46" bestFit="1" customWidth="1"/>
    <col min="6" max="16384" width="9.140625" style="46"/>
  </cols>
  <sheetData>
    <row r="1" spans="1:23" x14ac:dyDescent="0.25">
      <c r="A1" s="3" t="str">
        <f>+'PPC Cycle 3'!A1</f>
        <v>Evergy Metro, Inc. - DSIM Rider Update Filed 12/01/2023</v>
      </c>
    </row>
    <row r="2" spans="1:23" x14ac:dyDescent="0.25">
      <c r="A2" s="9" t="str">
        <f>+'PPC Cycle 3'!A2</f>
        <v>Projections for Cycle 3 January 2024 - December 2024 DSIM</v>
      </c>
    </row>
    <row r="3" spans="1:23" x14ac:dyDescent="0.25">
      <c r="A3" s="9"/>
    </row>
    <row r="4" spans="1:23" ht="40.5" customHeight="1" x14ac:dyDescent="0.25">
      <c r="B4" s="325" t="s">
        <v>114</v>
      </c>
      <c r="C4" s="325"/>
    </row>
    <row r="5" spans="1:23" ht="90" x14ac:dyDescent="0.25">
      <c r="B5" s="148" t="s">
        <v>65</v>
      </c>
      <c r="C5" s="48" t="s">
        <v>29</v>
      </c>
      <c r="D5" s="279" t="str">
        <f>+'PPC Cycle 3'!D4</f>
        <v>3. Cycle 3 2023 Extension Forecast - January 2024 - December 2024</v>
      </c>
      <c r="E5" s="279" t="str">
        <f>+'PPC Cycle 3'!E4</f>
        <v>4. Cycle 3 2024 Extension Forecast - January 2024 - December 2024</v>
      </c>
    </row>
    <row r="6" spans="1:23" x14ac:dyDescent="0.25">
      <c r="A6" s="20" t="s">
        <v>24</v>
      </c>
      <c r="B6" s="23">
        <f>SUM('[2]Monthly TD Calc'!$BA462:$BL462)+SUM('[2]Monthly TD Calc Ext'!$BA462:$BL462)</f>
        <v>29612911.241587631</v>
      </c>
      <c r="C6" s="86">
        <f>SUM(D6:E6)</f>
        <v>2031638.55</v>
      </c>
      <c r="D6" s="228">
        <f>ROUND(SUM('[2]Monthly TD Calc'!$BA564:$BL564),2)</f>
        <v>1317173.1100000001</v>
      </c>
      <c r="E6" s="228">
        <f>ROUND(SUM('[2]Monthly TD Calc Ext'!$BA564:$BL564),2)</f>
        <v>714465.44</v>
      </c>
    </row>
    <row r="7" spans="1:23" x14ac:dyDescent="0.25">
      <c r="A7" s="20" t="s">
        <v>107</v>
      </c>
      <c r="B7" s="23">
        <f>SUM('[2]Monthly TD Calc'!$BA463:$BL463)+SUM('[2]Monthly TD Calc Ext'!$BA463:$BL463)</f>
        <v>5180688.413110083</v>
      </c>
      <c r="C7" s="86">
        <f t="shared" ref="C7:C10" si="0">SUM(D7:E7)</f>
        <v>339226</v>
      </c>
      <c r="D7" s="228">
        <f>ROUND(SUM('[2]Monthly TD Calc'!$BA565:$BL565),2)</f>
        <v>213122.81</v>
      </c>
      <c r="E7" s="228">
        <f>ROUND(SUM('[2]Monthly TD Calc Ext'!$BA565:$BL565),2)</f>
        <v>126103.19</v>
      </c>
    </row>
    <row r="8" spans="1:23" x14ac:dyDescent="0.25">
      <c r="A8" s="20" t="s">
        <v>108</v>
      </c>
      <c r="B8" s="23">
        <f>SUM('[2]Monthly TD Calc'!$BA464:$BL464)+SUM('[2]Monthly TD Calc Ext'!$BA464:$BL464)</f>
        <v>12500122.950794838</v>
      </c>
      <c r="C8" s="86">
        <f t="shared" si="0"/>
        <v>565546.46</v>
      </c>
      <c r="D8" s="228">
        <f>ROUND(SUM('[2]Monthly TD Calc'!$BA566:$BL566),2)</f>
        <v>334574.40999999997</v>
      </c>
      <c r="E8" s="228">
        <f>ROUND(SUM('[2]Monthly TD Calc Ext'!$BA566:$BL566),2)</f>
        <v>230972.05</v>
      </c>
    </row>
    <row r="9" spans="1:23" x14ac:dyDescent="0.25">
      <c r="A9" s="20" t="s">
        <v>109</v>
      </c>
      <c r="B9" s="23">
        <f>SUM('[2]Monthly TD Calc'!$BA465:$BL465)+SUM('[2]Monthly TD Calc Ext'!$BA465:$BL465)</f>
        <v>20342271.239834979</v>
      </c>
      <c r="C9" s="86">
        <f t="shared" si="0"/>
        <v>584432.77</v>
      </c>
      <c r="D9" s="228">
        <f>ROUND(SUM('[2]Monthly TD Calc'!$BA567:$BL567),2)</f>
        <v>337618.38</v>
      </c>
      <c r="E9" s="228">
        <f>ROUND(SUM('[2]Monthly TD Calc Ext'!$BA567:$BL567),2)</f>
        <v>246814.39</v>
      </c>
    </row>
    <row r="10" spans="1:23" x14ac:dyDescent="0.25">
      <c r="A10" s="20" t="s">
        <v>110</v>
      </c>
      <c r="B10" s="23">
        <f>SUM('[2]Monthly TD Calc'!$BA466:$BL466)+SUM('[2]Monthly TD Calc Ext'!$BA466:$BL466)</f>
        <v>4022225.7709911643</v>
      </c>
      <c r="C10" s="86">
        <f t="shared" si="0"/>
        <v>47707.63</v>
      </c>
      <c r="D10" s="228">
        <f>ROUND(SUM('[2]Monthly TD Calc'!$BA568:$BL568),2)</f>
        <v>21754.26</v>
      </c>
      <c r="E10" s="228">
        <f>ROUND(SUM('[2]Monthly TD Calc Ext'!$BA568:$BL568),2)</f>
        <v>25953.37</v>
      </c>
    </row>
    <row r="11" spans="1:23" x14ac:dyDescent="0.25">
      <c r="A11" s="30" t="s">
        <v>5</v>
      </c>
      <c r="B11" s="24">
        <f>SUM(B6:B10)</f>
        <v>71658219.616318688</v>
      </c>
      <c r="C11" s="283">
        <f>SUM(C6:C10)</f>
        <v>3568551.4099999997</v>
      </c>
      <c r="D11" s="283">
        <f t="shared" ref="D11:E11" si="1">SUM(D6:D10)</f>
        <v>2224242.9699999997</v>
      </c>
      <c r="E11" s="283">
        <f t="shared" si="1"/>
        <v>1344308.44</v>
      </c>
    </row>
    <row r="13" spans="1:23" x14ac:dyDescent="0.25">
      <c r="A13" s="69" t="s">
        <v>30</v>
      </c>
      <c r="B13" s="20"/>
      <c r="C13" s="21"/>
      <c r="N13" s="1"/>
      <c r="O13" s="1"/>
      <c r="P13" s="1"/>
      <c r="Q13" s="1"/>
      <c r="R13" s="1"/>
      <c r="S13" s="1"/>
      <c r="T13" s="1"/>
      <c r="U13" s="1"/>
      <c r="V13" s="1"/>
      <c r="W13" s="1"/>
    </row>
    <row r="14" spans="1:23" s="39" customFormat="1" ht="48" customHeight="1" x14ac:dyDescent="0.25">
      <c r="A14" s="324" t="s">
        <v>242</v>
      </c>
      <c r="B14" s="324"/>
      <c r="C14" s="324"/>
      <c r="D14" s="324"/>
      <c r="E14" s="324"/>
      <c r="F14" s="282"/>
      <c r="G14" s="282"/>
      <c r="H14" s="282"/>
      <c r="I14" s="282"/>
      <c r="J14" s="282"/>
      <c r="K14" s="282"/>
      <c r="L14" s="282"/>
      <c r="M14" s="282"/>
    </row>
    <row r="15" spans="1:23" s="39" customFormat="1" ht="21.95" customHeight="1" x14ac:dyDescent="0.25">
      <c r="A15" s="326" t="s">
        <v>172</v>
      </c>
      <c r="B15" s="326"/>
      <c r="C15" s="326"/>
      <c r="D15" s="326"/>
      <c r="E15" s="326"/>
      <c r="F15" s="326"/>
      <c r="G15" s="326"/>
      <c r="H15" s="326"/>
      <c r="I15" s="326"/>
      <c r="J15" s="326"/>
      <c r="K15" s="326"/>
      <c r="L15" s="326"/>
      <c r="M15" s="326"/>
    </row>
    <row r="16" spans="1:23" ht="21.95" customHeight="1" x14ac:dyDescent="0.25">
      <c r="A16" s="337" t="s">
        <v>243</v>
      </c>
      <c r="B16" s="337"/>
      <c r="C16" s="337"/>
      <c r="D16" s="337"/>
      <c r="E16" s="337"/>
      <c r="F16" s="282"/>
      <c r="G16" s="282"/>
      <c r="H16" s="282"/>
      <c r="I16" s="282"/>
      <c r="J16" s="282"/>
      <c r="K16" s="282"/>
      <c r="L16" s="282"/>
      <c r="M16" s="282"/>
    </row>
    <row r="17" spans="1:13" ht="21.95" customHeight="1" x14ac:dyDescent="0.25">
      <c r="A17" s="324" t="s">
        <v>244</v>
      </c>
      <c r="B17" s="324"/>
      <c r="C17" s="324"/>
      <c r="D17" s="324"/>
      <c r="E17" s="324"/>
      <c r="F17" s="282"/>
      <c r="G17" s="282"/>
      <c r="H17" s="282"/>
      <c r="I17" s="282"/>
      <c r="J17" s="282"/>
      <c r="K17" s="282"/>
      <c r="L17" s="282"/>
      <c r="M17" s="282"/>
    </row>
    <row r="35" spans="2:3" x14ac:dyDescent="0.25">
      <c r="B35" s="8"/>
      <c r="C35" s="8"/>
    </row>
    <row r="39" spans="2:3" x14ac:dyDescent="0.25">
      <c r="B39" s="8"/>
      <c r="C39" s="8"/>
    </row>
  </sheetData>
  <mergeCells count="5">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selection activeCell="O7" sqref="O7"/>
    </sheetView>
  </sheetViews>
  <sheetFormatPr defaultColWidth="9.140625" defaultRowHeight="15" outlineLevelCol="1" x14ac:dyDescent="0.25"/>
  <cols>
    <col min="1" max="1" width="61.7109375" style="46" customWidth="1"/>
    <col min="2" max="2" width="12.140625" style="46" customWidth="1"/>
    <col min="3" max="3" width="12.42578125" style="46" customWidth="1"/>
    <col min="4" max="4" width="12.42578125" style="46" hidden="1" customWidth="1" outlineLevel="1"/>
    <col min="5" max="5" width="15.42578125" style="46" customWidth="1" collapsed="1"/>
    <col min="6" max="6" width="15.85546875" style="46" customWidth="1"/>
    <col min="7" max="7" width="12.28515625" style="46" customWidth="1"/>
    <col min="8" max="9" width="13.28515625" style="46" customWidth="1"/>
    <col min="10" max="10" width="12.28515625" style="46" bestFit="1" customWidth="1"/>
    <col min="11" max="11" width="11.5703125" style="46" bestFit="1" customWidth="1"/>
    <col min="12" max="12" width="12.85546875" style="46" customWidth="1"/>
    <col min="13" max="13" width="11.5703125" style="46" bestFit="1" customWidth="1"/>
    <col min="14" max="14" width="15" style="46" bestFit="1" customWidth="1"/>
    <col min="15" max="15" width="16" style="46" bestFit="1" customWidth="1"/>
    <col min="16" max="16" width="15" style="46" bestFit="1" customWidth="1" outlineLevel="1"/>
    <col min="17" max="17" width="17.42578125" style="46" bestFit="1" customWidth="1"/>
    <col min="18" max="18" width="16.28515625" style="46" bestFit="1" customWidth="1"/>
    <col min="19" max="19" width="15.28515625" style="46" bestFit="1" customWidth="1"/>
    <col min="20" max="20" width="12.42578125" style="46" customWidth="1"/>
    <col min="21" max="22" width="14.28515625" style="46" bestFit="1" customWidth="1"/>
    <col min="23" max="16384" width="9.140625" style="46"/>
  </cols>
  <sheetData>
    <row r="1" spans="1:35" x14ac:dyDescent="0.25">
      <c r="A1" s="3" t="str">
        <f>+'PPC Cycle 3'!A1</f>
        <v>Evergy Metro, Inc. - DSIM Rider Update Filed 12/01/2023</v>
      </c>
      <c r="B1" s="3"/>
      <c r="C1" s="3"/>
      <c r="D1" s="3"/>
    </row>
    <row r="2" spans="1:35" x14ac:dyDescent="0.25">
      <c r="E2" s="3" t="s">
        <v>61</v>
      </c>
    </row>
    <row r="3" spans="1:35" ht="30" x14ac:dyDescent="0.25">
      <c r="E3" s="48" t="s">
        <v>46</v>
      </c>
      <c r="F3" s="70" t="s">
        <v>71</v>
      </c>
      <c r="G3" s="70" t="s">
        <v>54</v>
      </c>
      <c r="H3" s="48" t="s">
        <v>3</v>
      </c>
      <c r="I3" s="70" t="s">
        <v>55</v>
      </c>
      <c r="J3" s="48" t="s">
        <v>10</v>
      </c>
      <c r="K3" s="48" t="s">
        <v>9</v>
      </c>
      <c r="S3" s="48"/>
    </row>
    <row r="4" spans="1:35" x14ac:dyDescent="0.25">
      <c r="A4" s="20" t="s">
        <v>24</v>
      </c>
      <c r="B4" s="20"/>
      <c r="C4" s="20"/>
      <c r="D4" s="20"/>
      <c r="E4" s="22">
        <f>SUM(C19:M19)</f>
        <v>313445.49202000001</v>
      </c>
      <c r="F4" s="134">
        <f>N26</f>
        <v>0</v>
      </c>
      <c r="G4" s="22">
        <f>SUM(C33:L33)</f>
        <v>0</v>
      </c>
      <c r="H4" s="22">
        <f>G4-E4</f>
        <v>-313445.49202000001</v>
      </c>
      <c r="I4" s="22">
        <f>+B46</f>
        <v>565836.91665999987</v>
      </c>
      <c r="J4" s="22">
        <f>SUM(C51:L51)</f>
        <v>14974.699999999999</v>
      </c>
      <c r="K4" s="25">
        <f>SUM(H4:J4)</f>
        <v>267366.12463999988</v>
      </c>
      <c r="L4" s="47">
        <f>+K4-M46</f>
        <v>0</v>
      </c>
    </row>
    <row r="5" spans="1:35" ht="15.75" thickBot="1" x14ac:dyDescent="0.3">
      <c r="A5" s="20" t="s">
        <v>25</v>
      </c>
      <c r="B5" s="20"/>
      <c r="C5" s="20"/>
      <c r="D5" s="20"/>
      <c r="E5" s="22">
        <f>SUM(C20:M23)</f>
        <v>310387.99216999998</v>
      </c>
      <c r="F5" s="134">
        <f>SUM(N27:N30)</f>
        <v>0</v>
      </c>
      <c r="G5" s="22">
        <f>SUM(C34:L37)</f>
        <v>0</v>
      </c>
      <c r="H5" s="22">
        <f>G5-E5</f>
        <v>-310387.99216999998</v>
      </c>
      <c r="I5" s="22">
        <f>+B47</f>
        <v>578139.70772999921</v>
      </c>
      <c r="J5" s="22">
        <f>SUM(C52:L52)</f>
        <v>15471.88</v>
      </c>
      <c r="K5" s="25">
        <f>SUM(H5:J5)</f>
        <v>283223.59555999923</v>
      </c>
      <c r="L5" s="47">
        <f>+K5-M47</f>
        <v>0</v>
      </c>
    </row>
    <row r="6" spans="1:35" ht="16.5" thickTop="1" thickBot="1" x14ac:dyDescent="0.3">
      <c r="E6" s="27">
        <f t="shared" ref="E6" si="0">SUM(E4:E5)</f>
        <v>623833.48418999999</v>
      </c>
      <c r="F6" s="135">
        <f t="shared" ref="F6:I6" si="1">SUM(F4:F5)</f>
        <v>0</v>
      </c>
      <c r="G6" s="27">
        <f t="shared" si="1"/>
        <v>0</v>
      </c>
      <c r="H6" s="27">
        <f t="shared" si="1"/>
        <v>-623833.48418999999</v>
      </c>
      <c r="I6" s="27">
        <f t="shared" si="1"/>
        <v>1143976.6243899991</v>
      </c>
      <c r="J6" s="27">
        <f>SUM(J4:J5)</f>
        <v>30446.579999999998</v>
      </c>
      <c r="K6" s="27">
        <f>SUM(K4:K5)</f>
        <v>550589.72019999917</v>
      </c>
      <c r="T6" s="5"/>
    </row>
    <row r="7" spans="1:35" ht="45.75" thickTop="1" x14ac:dyDescent="0.25">
      <c r="K7" s="225"/>
      <c r="L7" s="224" t="s">
        <v>125</v>
      </c>
    </row>
    <row r="8" spans="1:35" x14ac:dyDescent="0.25">
      <c r="A8" s="20" t="s">
        <v>107</v>
      </c>
      <c r="K8" s="25">
        <f>ROUND($K$5*L8,2)</f>
        <v>38451.69</v>
      </c>
      <c r="L8" s="222">
        <f>+'PCR Cycle 2'!L8</f>
        <v>0.13576441564001979</v>
      </c>
    </row>
    <row r="9" spans="1:35" x14ac:dyDescent="0.25">
      <c r="A9" s="20" t="s">
        <v>108</v>
      </c>
      <c r="K9" s="25">
        <f t="shared" ref="K9:K11" si="2">ROUND($K$5*L9,2)</f>
        <v>100860.38</v>
      </c>
      <c r="L9" s="222">
        <f>+'PCR Cycle 2'!L9</f>
        <v>0.35611574316442379</v>
      </c>
    </row>
    <row r="10" spans="1:35" x14ac:dyDescent="0.25">
      <c r="A10" s="20" t="s">
        <v>109</v>
      </c>
      <c r="K10" s="25">
        <f t="shared" si="2"/>
        <v>118477.69</v>
      </c>
      <c r="L10" s="222">
        <f>+'PCR Cycle 2'!L10</f>
        <v>0.4183185730547726</v>
      </c>
    </row>
    <row r="11" spans="1:35" ht="15.75" thickBot="1" x14ac:dyDescent="0.3">
      <c r="A11" s="20" t="s">
        <v>110</v>
      </c>
      <c r="J11" s="4"/>
      <c r="K11" s="25">
        <f t="shared" si="2"/>
        <v>25433.84</v>
      </c>
      <c r="L11" s="222">
        <f>+'PCR Cycle 2'!L11</f>
        <v>8.9801268140783777E-2</v>
      </c>
      <c r="V11" s="4"/>
    </row>
    <row r="12" spans="1:35" ht="16.5" thickTop="1" thickBot="1" x14ac:dyDescent="0.3">
      <c r="A12" s="20" t="s">
        <v>112</v>
      </c>
      <c r="K12" s="27">
        <f>SUM(K8:K11)</f>
        <v>283223.60000000003</v>
      </c>
      <c r="L12" s="223">
        <f>SUM(L8:L11)</f>
        <v>1</v>
      </c>
      <c r="V12" s="4"/>
      <c r="W12" s="5"/>
    </row>
    <row r="13" spans="1:35" ht="16.5" thickTop="1" thickBot="1" x14ac:dyDescent="0.3">
      <c r="V13" s="4"/>
      <c r="W13" s="5"/>
    </row>
    <row r="14" spans="1:35" ht="105.75" thickBot="1" x14ac:dyDescent="0.3">
      <c r="B14" s="115" t="str">
        <f>+'PCR Cycle 2'!B14</f>
        <v>Cumulative Over/Under Carryover From 6/01/2023 Filing</v>
      </c>
      <c r="C14" s="149" t="str">
        <f>+'PCR Cycle 2'!C14</f>
        <v>Reverse May 2023 - July 2023 Forecast From 6/01/2023 Filing</v>
      </c>
      <c r="D14" s="149">
        <f>+'PCR Cycle 2'!D14</f>
        <v>0</v>
      </c>
      <c r="E14" s="332" t="s">
        <v>33</v>
      </c>
      <c r="F14" s="332"/>
      <c r="G14" s="333"/>
      <c r="H14" s="338" t="s">
        <v>33</v>
      </c>
      <c r="I14" s="339"/>
      <c r="J14" s="340"/>
      <c r="K14" s="328" t="s">
        <v>8</v>
      </c>
      <c r="L14" s="329"/>
      <c r="M14" s="330"/>
      <c r="P14" s="292" t="s">
        <v>284</v>
      </c>
    </row>
    <row r="15" spans="1:35" x14ac:dyDescent="0.25">
      <c r="A15" s="46" t="s">
        <v>63</v>
      </c>
      <c r="C15" s="105"/>
      <c r="D15" s="209"/>
      <c r="E15" s="19">
        <f>+'PCR Cycle 2'!E15</f>
        <v>45077</v>
      </c>
      <c r="F15" s="19">
        <f t="shared" ref="F15:M15" si="3">EOMONTH(E15,1)</f>
        <v>45107</v>
      </c>
      <c r="G15" s="19">
        <f t="shared" si="3"/>
        <v>45138</v>
      </c>
      <c r="H15" s="14">
        <f t="shared" si="3"/>
        <v>45169</v>
      </c>
      <c r="I15" s="19">
        <f t="shared" si="3"/>
        <v>45199</v>
      </c>
      <c r="J15" s="15">
        <f t="shared" si="3"/>
        <v>45230</v>
      </c>
      <c r="K15" s="19">
        <f t="shared" si="3"/>
        <v>45260</v>
      </c>
      <c r="L15" s="19">
        <f t="shared" si="3"/>
        <v>45291</v>
      </c>
      <c r="M15" s="15">
        <f t="shared" si="3"/>
        <v>45322</v>
      </c>
      <c r="P15" s="186"/>
      <c r="Z15" s="1"/>
      <c r="AA15" s="1"/>
      <c r="AB15" s="1"/>
      <c r="AC15" s="1"/>
      <c r="AD15" s="1"/>
      <c r="AE15" s="1"/>
      <c r="AF15" s="1"/>
      <c r="AG15" s="1"/>
      <c r="AH15" s="1"/>
      <c r="AI15" s="1"/>
    </row>
    <row r="16" spans="1:35" x14ac:dyDescent="0.25">
      <c r="A16" s="46" t="s">
        <v>5</v>
      </c>
      <c r="C16" s="189"/>
      <c r="D16" s="192">
        <f t="shared" ref="D16" si="4">+D33+D37</f>
        <v>0</v>
      </c>
      <c r="E16" s="109">
        <f>SUM(E33:E37)</f>
        <v>0</v>
      </c>
      <c r="F16" s="109">
        <f t="shared" ref="F16:L16" si="5">SUM(F33:F37)</f>
        <v>0</v>
      </c>
      <c r="G16" s="110">
        <f t="shared" si="5"/>
        <v>0</v>
      </c>
      <c r="H16" s="16">
        <f t="shared" si="5"/>
        <v>0</v>
      </c>
      <c r="I16" s="55">
        <f t="shared" si="5"/>
        <v>0</v>
      </c>
      <c r="J16" s="162">
        <f t="shared" si="5"/>
        <v>0</v>
      </c>
      <c r="K16" s="155">
        <f t="shared" si="5"/>
        <v>0</v>
      </c>
      <c r="L16" s="78">
        <f t="shared" si="5"/>
        <v>0</v>
      </c>
      <c r="M16" s="79"/>
      <c r="P16" s="186">
        <f>-SUM(K16:M16)</f>
        <v>0</v>
      </c>
    </row>
    <row r="17" spans="1:16" x14ac:dyDescent="0.25">
      <c r="C17" s="99"/>
      <c r="D17" s="193"/>
      <c r="E17" s="17"/>
      <c r="F17" s="17"/>
      <c r="G17" s="17"/>
      <c r="H17" s="10"/>
      <c r="I17" s="17"/>
      <c r="J17" s="11"/>
      <c r="K17" s="31"/>
      <c r="L17" s="31"/>
      <c r="M17" s="29"/>
      <c r="P17" s="186"/>
    </row>
    <row r="18" spans="1:16" x14ac:dyDescent="0.25">
      <c r="A18" s="46" t="s">
        <v>62</v>
      </c>
      <c r="C18" s="99"/>
      <c r="D18" s="193"/>
      <c r="E18" s="18"/>
      <c r="F18" s="18"/>
      <c r="G18" s="18"/>
      <c r="H18" s="91"/>
      <c r="I18" s="18"/>
      <c r="J18" s="163"/>
      <c r="K18" s="31"/>
      <c r="L18" s="31"/>
      <c r="M18" s="29"/>
      <c r="N18" s="3" t="s">
        <v>68</v>
      </c>
      <c r="O18" s="39"/>
      <c r="P18" s="186"/>
    </row>
    <row r="19" spans="1:16" x14ac:dyDescent="0.25">
      <c r="A19" s="46" t="s">
        <v>24</v>
      </c>
      <c r="C19" s="189">
        <v>-165813.53333999997</v>
      </c>
      <c r="D19" s="192">
        <v>0</v>
      </c>
      <c r="E19" s="132">
        <f>'[4]May 2023'!$G61</f>
        <v>39946.67</v>
      </c>
      <c r="F19" s="132">
        <f>'[4]June 2023'!$G61</f>
        <v>54529.31</v>
      </c>
      <c r="G19" s="132">
        <f>'[4]July 2023'!$G61</f>
        <v>72497.81</v>
      </c>
      <c r="H19" s="16">
        <f>'[4]August 2023'!$G61</f>
        <v>69829.88</v>
      </c>
      <c r="I19" s="118">
        <f>'[4]September 2023'!$G61</f>
        <v>60108</v>
      </c>
      <c r="J19" s="167">
        <f>'[4]October 2023'!$G61</f>
        <v>40372.189999999995</v>
      </c>
      <c r="K19" s="120">
        <f>'PCR Cycle 2'!K27*'TDR Cycle 2'!$N19</f>
        <v>35146.023780000003</v>
      </c>
      <c r="L19" s="41">
        <f>'PCR Cycle 2'!L27*'TDR Cycle 2'!$N19</f>
        <v>50113.191660000004</v>
      </c>
      <c r="M19" s="61">
        <f>'PCR Cycle 2'!M27*'TDR Cycle 2'!$N19</f>
        <v>56715.949919999999</v>
      </c>
      <c r="N19" s="72">
        <v>2.1000000000000001E-4</v>
      </c>
      <c r="O19" s="4"/>
      <c r="P19" s="186">
        <f t="shared" ref="P19:P23" si="6">-SUM(K19:M19)</f>
        <v>-141975.16535999998</v>
      </c>
    </row>
    <row r="20" spans="1:16" x14ac:dyDescent="0.25">
      <c r="A20" s="46" t="s">
        <v>107</v>
      </c>
      <c r="C20" s="189">
        <v>-30101.4444</v>
      </c>
      <c r="D20" s="192"/>
      <c r="E20" s="132">
        <f>'[4]May 2023'!$G62</f>
        <v>8385.69</v>
      </c>
      <c r="F20" s="132">
        <f>'[4]June 2023'!$G62</f>
        <v>10624.07</v>
      </c>
      <c r="G20" s="132">
        <f>'[4]July 2023'!$G62</f>
        <v>12111.49</v>
      </c>
      <c r="H20" s="16">
        <f>'[4]August 2023'!$G62</f>
        <v>9129.4599999999991</v>
      </c>
      <c r="I20" s="118">
        <f>'[4]September 2023'!$G62</f>
        <v>7771.03</v>
      </c>
      <c r="J20" s="167">
        <f>'[4]October 2023'!$G62</f>
        <v>6621.59</v>
      </c>
      <c r="K20" s="120">
        <f>'PCR Cycle 2'!K28*'TDR Cycle 2'!$N20</f>
        <v>5979.5079499999993</v>
      </c>
      <c r="L20" s="41">
        <f>'PCR Cycle 2'!L28*'TDR Cycle 2'!$N20</f>
        <v>6586.9828699999998</v>
      </c>
      <c r="M20" s="61">
        <f>'PCR Cycle 2'!M28*'TDR Cycle 2'!$N20</f>
        <v>6699.6883199999993</v>
      </c>
      <c r="N20" s="72">
        <v>1.2999999999999999E-4</v>
      </c>
      <c r="O20" s="4"/>
      <c r="P20" s="186">
        <f t="shared" si="6"/>
        <v>-19266.17914</v>
      </c>
    </row>
    <row r="21" spans="1:16" x14ac:dyDescent="0.25">
      <c r="A21" s="46" t="s">
        <v>108</v>
      </c>
      <c r="C21" s="189">
        <v>-71955.36503999999</v>
      </c>
      <c r="D21" s="192"/>
      <c r="E21" s="132">
        <f>'[4]May 2023'!$G63</f>
        <v>20318.21</v>
      </c>
      <c r="F21" s="132">
        <f>'[4]June 2023'!$G63</f>
        <v>23660.02</v>
      </c>
      <c r="G21" s="132">
        <f>'[4]July 2023'!$G63</f>
        <v>26401.11</v>
      </c>
      <c r="H21" s="16">
        <f>'[4]August 2023'!$G63</f>
        <v>24443.07</v>
      </c>
      <c r="I21" s="118">
        <f>'[4]September 2023'!$G63</f>
        <v>19142.23</v>
      </c>
      <c r="J21" s="167">
        <f>'[4]October 2023'!$G63</f>
        <v>16353.289999999999</v>
      </c>
      <c r="K21" s="120">
        <f>'PCR Cycle 2'!K29*'TDR Cycle 2'!$N21</f>
        <v>15223.941000000001</v>
      </c>
      <c r="L21" s="41">
        <f>'PCR Cycle 2'!L29*'TDR Cycle 2'!$N21</f>
        <v>16770.5838</v>
      </c>
      <c r="M21" s="61">
        <f>'PCR Cycle 2'!M29*'TDR Cycle 2'!$N21</f>
        <v>17057.53386</v>
      </c>
      <c r="N21" s="72">
        <v>1.8000000000000001E-4</v>
      </c>
      <c r="O21" s="4"/>
      <c r="P21" s="186">
        <f t="shared" si="6"/>
        <v>-49052.058659999995</v>
      </c>
    </row>
    <row r="22" spans="1:16" x14ac:dyDescent="0.25">
      <c r="A22" s="46" t="s">
        <v>109</v>
      </c>
      <c r="C22" s="189">
        <v>-85122.862729999993</v>
      </c>
      <c r="D22" s="192"/>
      <c r="E22" s="132">
        <f>'[4]May 2023'!$G64</f>
        <v>25450.559999999998</v>
      </c>
      <c r="F22" s="132">
        <f>'[4]June 2023'!$G64</f>
        <v>27809.15</v>
      </c>
      <c r="G22" s="132">
        <f>'[4]July 2023'!$G64</f>
        <v>29408.800000000003</v>
      </c>
      <c r="H22" s="16">
        <f>'[4]August 2023'!$G64</f>
        <v>27706.559999999998</v>
      </c>
      <c r="I22" s="118">
        <f>'[4]September 2023'!$G64</f>
        <v>22906.32</v>
      </c>
      <c r="J22" s="167">
        <f>'[4]October 2023'!$G64</f>
        <v>20238.47</v>
      </c>
      <c r="K22" s="120">
        <f>'PCR Cycle 2'!K30*'TDR Cycle 2'!$N22</f>
        <v>19168.379859999997</v>
      </c>
      <c r="L22" s="41">
        <f>'PCR Cycle 2'!L30*'TDR Cycle 2'!$N22</f>
        <v>21115.749339999998</v>
      </c>
      <c r="M22" s="61">
        <f>'PCR Cycle 2'!M30*'TDR Cycle 2'!$N22</f>
        <v>21477.046639999997</v>
      </c>
      <c r="N22" s="72">
        <v>1.3999999999999999E-4</v>
      </c>
      <c r="O22" s="4"/>
      <c r="P22" s="186">
        <f t="shared" si="6"/>
        <v>-61761.175839999996</v>
      </c>
    </row>
    <row r="23" spans="1:16" x14ac:dyDescent="0.25">
      <c r="A23" s="46" t="s">
        <v>110</v>
      </c>
      <c r="C23" s="189">
        <v>-17478.8001</v>
      </c>
      <c r="D23" s="192">
        <v>0</v>
      </c>
      <c r="E23" s="132">
        <f>'[4]May 2023'!$G65</f>
        <v>6078.11</v>
      </c>
      <c r="F23" s="132">
        <f>'[4]June 2023'!$G65</f>
        <v>5360.57</v>
      </c>
      <c r="G23" s="132">
        <f>'[4]July 2023'!$G65</f>
        <v>7173.62</v>
      </c>
      <c r="H23" s="16">
        <f>'[4]August 2023'!$G65</f>
        <v>7833.16</v>
      </c>
      <c r="I23" s="118">
        <f>'[4]September 2023'!$G65</f>
        <v>4251.6400000000003</v>
      </c>
      <c r="J23" s="167">
        <f>'[4]October 2023'!$G65</f>
        <v>4314.82</v>
      </c>
      <c r="K23" s="120">
        <f>'PCR Cycle 2'!K31*'TDR Cycle 2'!$N23</f>
        <v>3561.1077</v>
      </c>
      <c r="L23" s="41">
        <f>'PCR Cycle 2'!L31*'TDR Cycle 2'!$N23</f>
        <v>3922.8906000000002</v>
      </c>
      <c r="M23" s="61">
        <f>'PCR Cycle 2'!M31*'TDR Cycle 2'!$N23</f>
        <v>3990.0125000000003</v>
      </c>
      <c r="N23" s="72">
        <v>1E-4</v>
      </c>
      <c r="O23" s="4"/>
      <c r="P23" s="186">
        <f t="shared" si="6"/>
        <v>-11474.0108</v>
      </c>
    </row>
    <row r="24" spans="1:16" x14ac:dyDescent="0.25">
      <c r="C24" s="67"/>
      <c r="D24" s="194"/>
      <c r="E24" s="68"/>
      <c r="F24" s="68"/>
      <c r="G24" s="68"/>
      <c r="H24" s="67"/>
      <c r="I24" s="68"/>
      <c r="J24" s="165"/>
      <c r="K24" s="56"/>
      <c r="L24" s="56"/>
      <c r="M24" s="13"/>
      <c r="O24" s="4"/>
    </row>
    <row r="25" spans="1:16" x14ac:dyDescent="0.25">
      <c r="A25" s="39" t="s">
        <v>66</v>
      </c>
      <c r="B25" s="39"/>
      <c r="C25" s="67"/>
      <c r="D25" s="194"/>
      <c r="E25" s="56"/>
      <c r="F25" s="56"/>
      <c r="G25" s="56"/>
      <c r="H25" s="12"/>
      <c r="I25" s="56"/>
      <c r="J25" s="166"/>
      <c r="K25" s="56"/>
      <c r="L25" s="56"/>
      <c r="M25" s="13"/>
      <c r="N25" s="7"/>
    </row>
    <row r="26" spans="1:16" x14ac:dyDescent="0.25">
      <c r="A26" s="46" t="s">
        <v>24</v>
      </c>
      <c r="C26" s="190"/>
      <c r="D26" s="195"/>
      <c r="E26" s="111">
        <v>0</v>
      </c>
      <c r="F26" s="111">
        <v>0</v>
      </c>
      <c r="G26" s="111">
        <v>0</v>
      </c>
      <c r="H26" s="74">
        <v>0</v>
      </c>
      <c r="I26" s="74">
        <v>0</v>
      </c>
      <c r="J26" s="74">
        <v>0</v>
      </c>
      <c r="K26" s="156">
        <v>0</v>
      </c>
      <c r="L26" s="156">
        <v>0</v>
      </c>
      <c r="M26" s="80"/>
      <c r="N26" s="59">
        <f>SUM(C26:L26)</f>
        <v>0</v>
      </c>
    </row>
    <row r="27" spans="1:16" x14ac:dyDescent="0.25">
      <c r="A27" s="46" t="s">
        <v>107</v>
      </c>
      <c r="C27" s="190"/>
      <c r="D27" s="195"/>
      <c r="E27" s="111">
        <v>0</v>
      </c>
      <c r="F27" s="111">
        <v>0</v>
      </c>
      <c r="G27" s="111">
        <v>0</v>
      </c>
      <c r="H27" s="74">
        <v>0</v>
      </c>
      <c r="I27" s="74">
        <v>0</v>
      </c>
      <c r="J27" s="74">
        <v>0</v>
      </c>
      <c r="K27" s="156">
        <v>0</v>
      </c>
      <c r="L27" s="156">
        <v>0</v>
      </c>
      <c r="M27" s="80"/>
      <c r="N27" s="59">
        <f t="shared" ref="N27:N30" si="7">SUM(C27:L27)</f>
        <v>0</v>
      </c>
    </row>
    <row r="28" spans="1:16" x14ac:dyDescent="0.25">
      <c r="A28" s="46" t="s">
        <v>108</v>
      </c>
      <c r="C28" s="190"/>
      <c r="D28" s="195"/>
      <c r="E28" s="111">
        <v>0</v>
      </c>
      <c r="F28" s="111">
        <v>0</v>
      </c>
      <c r="G28" s="111">
        <v>0</v>
      </c>
      <c r="H28" s="74">
        <v>0</v>
      </c>
      <c r="I28" s="74">
        <v>0</v>
      </c>
      <c r="J28" s="74">
        <v>0</v>
      </c>
      <c r="K28" s="156">
        <v>0</v>
      </c>
      <c r="L28" s="156">
        <v>0</v>
      </c>
      <c r="M28" s="80"/>
      <c r="N28" s="59">
        <f t="shared" si="7"/>
        <v>0</v>
      </c>
    </row>
    <row r="29" spans="1:16" x14ac:dyDescent="0.25">
      <c r="A29" s="46" t="s">
        <v>109</v>
      </c>
      <c r="C29" s="190"/>
      <c r="D29" s="195"/>
      <c r="E29" s="111">
        <v>0</v>
      </c>
      <c r="F29" s="111">
        <v>0</v>
      </c>
      <c r="G29" s="111">
        <v>0</v>
      </c>
      <c r="H29" s="74">
        <v>0</v>
      </c>
      <c r="I29" s="74">
        <v>0</v>
      </c>
      <c r="J29" s="74">
        <v>0</v>
      </c>
      <c r="K29" s="156">
        <v>0</v>
      </c>
      <c r="L29" s="156">
        <v>0</v>
      </c>
      <c r="M29" s="80"/>
      <c r="N29" s="59">
        <f t="shared" si="7"/>
        <v>0</v>
      </c>
    </row>
    <row r="30" spans="1:16" x14ac:dyDescent="0.25">
      <c r="A30" s="46" t="s">
        <v>110</v>
      </c>
      <c r="C30" s="190"/>
      <c r="D30" s="195"/>
      <c r="E30" s="111">
        <v>0</v>
      </c>
      <c r="F30" s="111">
        <v>0</v>
      </c>
      <c r="G30" s="111">
        <v>0</v>
      </c>
      <c r="H30" s="74">
        <v>0</v>
      </c>
      <c r="I30" s="74">
        <v>0</v>
      </c>
      <c r="J30" s="74">
        <v>0</v>
      </c>
      <c r="K30" s="156">
        <v>0</v>
      </c>
      <c r="L30" s="156">
        <v>0</v>
      </c>
      <c r="M30" s="80"/>
      <c r="N30" s="59">
        <f t="shared" si="7"/>
        <v>0</v>
      </c>
    </row>
    <row r="31" spans="1:16" x14ac:dyDescent="0.25">
      <c r="C31" s="67"/>
      <c r="D31" s="194"/>
      <c r="E31" s="68"/>
      <c r="F31" s="68"/>
      <c r="G31" s="68"/>
      <c r="H31" s="67"/>
      <c r="I31" s="68"/>
      <c r="J31" s="165"/>
      <c r="K31" s="56"/>
      <c r="L31" s="56"/>
      <c r="M31" s="13"/>
    </row>
    <row r="32" spans="1:16" x14ac:dyDescent="0.25">
      <c r="A32" s="46" t="s">
        <v>69</v>
      </c>
      <c r="C32" s="36"/>
      <c r="D32" s="196"/>
      <c r="E32" s="37"/>
      <c r="F32" s="37"/>
      <c r="G32" s="37"/>
      <c r="H32" s="36"/>
      <c r="I32" s="37"/>
      <c r="J32" s="168"/>
      <c r="K32" s="52"/>
      <c r="L32" s="52"/>
      <c r="M32" s="38"/>
    </row>
    <row r="33" spans="1:16" x14ac:dyDescent="0.25">
      <c r="A33" s="46" t="s">
        <v>24</v>
      </c>
      <c r="C33" s="189"/>
      <c r="D33" s="192"/>
      <c r="E33" s="111">
        <v>0</v>
      </c>
      <c r="F33" s="111">
        <v>0</v>
      </c>
      <c r="G33" s="111">
        <v>0</v>
      </c>
      <c r="H33" s="74">
        <v>0</v>
      </c>
      <c r="I33" s="74">
        <v>0</v>
      </c>
      <c r="J33" s="74">
        <v>0</v>
      </c>
      <c r="K33" s="156">
        <v>0</v>
      </c>
      <c r="L33" s="156">
        <v>0</v>
      </c>
      <c r="M33" s="79"/>
    </row>
    <row r="34" spans="1:16" x14ac:dyDescent="0.25">
      <c r="A34" s="46" t="s">
        <v>107</v>
      </c>
      <c r="C34" s="189"/>
      <c r="D34" s="192"/>
      <c r="E34" s="111">
        <v>0</v>
      </c>
      <c r="F34" s="111">
        <v>0</v>
      </c>
      <c r="G34" s="111">
        <v>0</v>
      </c>
      <c r="H34" s="74">
        <v>0</v>
      </c>
      <c r="I34" s="74">
        <v>0</v>
      </c>
      <c r="J34" s="74">
        <v>0</v>
      </c>
      <c r="K34" s="156">
        <v>0</v>
      </c>
      <c r="L34" s="156">
        <v>0</v>
      </c>
      <c r="M34" s="79"/>
    </row>
    <row r="35" spans="1:16" x14ac:dyDescent="0.25">
      <c r="A35" s="46" t="s">
        <v>108</v>
      </c>
      <c r="C35" s="189"/>
      <c r="D35" s="192"/>
      <c r="E35" s="111">
        <v>0</v>
      </c>
      <c r="F35" s="111">
        <v>0</v>
      </c>
      <c r="G35" s="111">
        <v>0</v>
      </c>
      <c r="H35" s="74">
        <v>0</v>
      </c>
      <c r="I35" s="74">
        <v>0</v>
      </c>
      <c r="J35" s="74">
        <v>0</v>
      </c>
      <c r="K35" s="156">
        <v>0</v>
      </c>
      <c r="L35" s="156">
        <v>0</v>
      </c>
      <c r="M35" s="79"/>
    </row>
    <row r="36" spans="1:16" x14ac:dyDescent="0.25">
      <c r="A36" s="46" t="s">
        <v>109</v>
      </c>
      <c r="C36" s="189"/>
      <c r="D36" s="192"/>
      <c r="E36" s="111">
        <v>0</v>
      </c>
      <c r="F36" s="111">
        <v>0</v>
      </c>
      <c r="G36" s="111">
        <v>0</v>
      </c>
      <c r="H36" s="74">
        <v>0</v>
      </c>
      <c r="I36" s="74">
        <v>0</v>
      </c>
      <c r="J36" s="74">
        <v>0</v>
      </c>
      <c r="K36" s="156">
        <v>0</v>
      </c>
      <c r="L36" s="156">
        <v>0</v>
      </c>
      <c r="M36" s="79"/>
    </row>
    <row r="37" spans="1:16" x14ac:dyDescent="0.25">
      <c r="A37" s="46" t="s">
        <v>110</v>
      </c>
      <c r="C37" s="189"/>
      <c r="D37" s="192"/>
      <c r="E37" s="111">
        <v>0</v>
      </c>
      <c r="F37" s="111">
        <v>0</v>
      </c>
      <c r="G37" s="111">
        <v>0</v>
      </c>
      <c r="H37" s="74">
        <v>0</v>
      </c>
      <c r="I37" s="74">
        <v>0</v>
      </c>
      <c r="J37" s="74">
        <v>0</v>
      </c>
      <c r="K37" s="156">
        <v>0</v>
      </c>
      <c r="L37" s="156">
        <v>0</v>
      </c>
      <c r="M37" s="79"/>
      <c r="O37" s="47"/>
    </row>
    <row r="38" spans="1:16" x14ac:dyDescent="0.25">
      <c r="C38" s="99"/>
      <c r="D38" s="193"/>
      <c r="E38" s="18"/>
      <c r="F38" s="18"/>
      <c r="G38" s="18"/>
      <c r="H38" s="91"/>
      <c r="I38" s="18"/>
      <c r="J38" s="163"/>
      <c r="K38" s="56"/>
      <c r="L38" s="56"/>
      <c r="M38" s="13"/>
    </row>
    <row r="39" spans="1:16" ht="15.75" thickBot="1" x14ac:dyDescent="0.3">
      <c r="A39" s="3" t="s">
        <v>15</v>
      </c>
      <c r="B39" s="3"/>
      <c r="C39" s="191">
        <v>-13884.25</v>
      </c>
      <c r="D39" s="197"/>
      <c r="E39" s="132">
        <v>7403.9</v>
      </c>
      <c r="F39" s="132">
        <v>6936.49</v>
      </c>
      <c r="G39" s="133">
        <v>6438.56</v>
      </c>
      <c r="H39" s="26">
        <v>5787.55</v>
      </c>
      <c r="I39" s="119">
        <v>5146.99</v>
      </c>
      <c r="J39" s="169">
        <v>4638.6000000000004</v>
      </c>
      <c r="K39" s="158">
        <v>4215.99</v>
      </c>
      <c r="L39" s="141">
        <v>3762.67</v>
      </c>
      <c r="M39" s="82"/>
      <c r="P39" s="186">
        <f t="shared" ref="P39" si="8">-SUM(K39:M39)</f>
        <v>-7978.66</v>
      </c>
    </row>
    <row r="40" spans="1:16" x14ac:dyDescent="0.25">
      <c r="C40" s="64"/>
      <c r="D40" s="200"/>
      <c r="E40" s="66"/>
      <c r="F40" s="66"/>
      <c r="G40" s="33"/>
      <c r="H40" s="64"/>
      <c r="I40" s="33"/>
      <c r="J40" s="170"/>
      <c r="K40" s="34"/>
      <c r="L40" s="34"/>
      <c r="M40" s="60"/>
    </row>
    <row r="41" spans="1:16" x14ac:dyDescent="0.25">
      <c r="A41" s="46" t="s">
        <v>52</v>
      </c>
      <c r="C41" s="65"/>
      <c r="D41" s="201"/>
      <c r="E41" s="35"/>
      <c r="F41" s="35"/>
      <c r="G41" s="35"/>
      <c r="H41" s="65"/>
      <c r="I41" s="35"/>
      <c r="J41" s="171"/>
      <c r="K41" s="34"/>
      <c r="L41" s="34"/>
      <c r="M41" s="60"/>
    </row>
    <row r="42" spans="1:16" x14ac:dyDescent="0.25">
      <c r="A42" s="46" t="s">
        <v>24</v>
      </c>
      <c r="C42" s="198">
        <f>C33-C19</f>
        <v>165813.53333999997</v>
      </c>
      <c r="D42" s="202">
        <f t="shared" ref="D42" si="9">D33-D19</f>
        <v>0</v>
      </c>
      <c r="E42" s="41">
        <f t="shared" ref="E42:M42" si="10">E33-E19</f>
        <v>-39946.67</v>
      </c>
      <c r="F42" s="41">
        <f t="shared" si="10"/>
        <v>-54529.31</v>
      </c>
      <c r="G42" s="108">
        <f t="shared" si="10"/>
        <v>-72497.81</v>
      </c>
      <c r="H42" s="40">
        <f t="shared" si="10"/>
        <v>-69829.88</v>
      </c>
      <c r="I42" s="41">
        <f t="shared" si="10"/>
        <v>-60108</v>
      </c>
      <c r="J42" s="61">
        <f t="shared" si="10"/>
        <v>-40372.189999999995</v>
      </c>
      <c r="K42" s="120">
        <f t="shared" si="10"/>
        <v>-35146.023780000003</v>
      </c>
      <c r="L42" s="41">
        <f t="shared" si="10"/>
        <v>-50113.191660000004</v>
      </c>
      <c r="M42" s="61">
        <f t="shared" si="10"/>
        <v>-56715.949919999999</v>
      </c>
    </row>
    <row r="43" spans="1:16" x14ac:dyDescent="0.25">
      <c r="A43" s="46" t="s">
        <v>25</v>
      </c>
      <c r="C43" s="198">
        <f t="shared" ref="C43:D43" si="11">SUM(C34:C37)-SUM(C20:C23)</f>
        <v>204658.47226999997</v>
      </c>
      <c r="D43" s="202">
        <f t="shared" si="11"/>
        <v>0</v>
      </c>
      <c r="E43" s="41">
        <f>SUM(E34:E37)-SUM(E20:E23)</f>
        <v>-60232.57</v>
      </c>
      <c r="F43" s="41">
        <f t="shared" ref="F43:M43" si="12">SUM(F34:F37)-SUM(F20:F23)</f>
        <v>-67453.81</v>
      </c>
      <c r="G43" s="108">
        <f t="shared" si="12"/>
        <v>-75095.01999999999</v>
      </c>
      <c r="H43" s="40">
        <f t="shared" si="12"/>
        <v>-69112.25</v>
      </c>
      <c r="I43" s="41">
        <f t="shared" si="12"/>
        <v>-54071.22</v>
      </c>
      <c r="J43" s="61">
        <f t="shared" si="12"/>
        <v>-47528.17</v>
      </c>
      <c r="K43" s="120">
        <f t="shared" si="12"/>
        <v>-43932.936509999992</v>
      </c>
      <c r="L43" s="41">
        <f t="shared" si="12"/>
        <v>-48396.206609999994</v>
      </c>
      <c r="M43" s="61">
        <f t="shared" si="12"/>
        <v>-49224.281319999995</v>
      </c>
    </row>
    <row r="44" spans="1:16" x14ac:dyDescent="0.25">
      <c r="C44" s="99"/>
      <c r="D44" s="193"/>
      <c r="E44" s="17"/>
      <c r="F44" s="17"/>
      <c r="G44" s="17"/>
      <c r="H44" s="10"/>
      <c r="I44" s="17"/>
      <c r="J44" s="11"/>
      <c r="K44" s="17"/>
      <c r="L44" s="17"/>
      <c r="M44" s="11"/>
    </row>
    <row r="45" spans="1:16" ht="15.75" thickBot="1" x14ac:dyDescent="0.3">
      <c r="A45" s="46" t="s">
        <v>53</v>
      </c>
      <c r="C45" s="99"/>
      <c r="D45" s="193"/>
      <c r="E45" s="17"/>
      <c r="F45" s="17"/>
      <c r="G45" s="17"/>
      <c r="H45" s="10"/>
      <c r="I45" s="17"/>
      <c r="J45" s="11"/>
      <c r="K45" s="17"/>
      <c r="L45" s="17"/>
      <c r="M45" s="11"/>
    </row>
    <row r="46" spans="1:16" x14ac:dyDescent="0.25">
      <c r="A46" s="46" t="s">
        <v>24</v>
      </c>
      <c r="B46" s="310">
        <v>565836.91665999987</v>
      </c>
      <c r="C46" s="198">
        <f t="shared" ref="C46:E47" si="13">+B46+C42+B51</f>
        <v>731650.44999999984</v>
      </c>
      <c r="D46" s="202">
        <f t="shared" si="13"/>
        <v>724863.7899999998</v>
      </c>
      <c r="E46" s="41">
        <f t="shared" si="13"/>
        <v>684917.11999999976</v>
      </c>
      <c r="F46" s="41">
        <f t="shared" ref="F46:M46" si="14">+E46+F42+E51</f>
        <v>633985.89999999979</v>
      </c>
      <c r="G46" s="108">
        <f t="shared" si="14"/>
        <v>564893.7799999998</v>
      </c>
      <c r="H46" s="40">
        <f t="shared" si="14"/>
        <v>498239.17999999982</v>
      </c>
      <c r="I46" s="41">
        <f t="shared" si="14"/>
        <v>440982.68999999983</v>
      </c>
      <c r="J46" s="61">
        <f t="shared" si="14"/>
        <v>403132.4099999998</v>
      </c>
      <c r="K46" s="120">
        <f t="shared" si="14"/>
        <v>370255.27621999983</v>
      </c>
      <c r="L46" s="41">
        <f t="shared" si="14"/>
        <v>322220.7545599998</v>
      </c>
      <c r="M46" s="61">
        <f t="shared" si="14"/>
        <v>267366.12463999982</v>
      </c>
    </row>
    <row r="47" spans="1:16" ht="15.75" thickBot="1" x14ac:dyDescent="0.3">
      <c r="A47" s="46" t="s">
        <v>25</v>
      </c>
      <c r="B47" s="311">
        <v>578139.70772999921</v>
      </c>
      <c r="C47" s="198">
        <f t="shared" si="13"/>
        <v>782798.17999999924</v>
      </c>
      <c r="D47" s="202">
        <f t="shared" si="13"/>
        <v>775700.58999999927</v>
      </c>
      <c r="E47" s="41">
        <f t="shared" si="13"/>
        <v>715468.01999999932</v>
      </c>
      <c r="F47" s="41">
        <f t="shared" ref="F47:M47" si="15">+E47+F43+E52</f>
        <v>651820.01999999932</v>
      </c>
      <c r="G47" s="108">
        <f t="shared" si="15"/>
        <v>580255.81999999925</v>
      </c>
      <c r="H47" s="40">
        <f t="shared" si="15"/>
        <v>514406.85999999923</v>
      </c>
      <c r="I47" s="41">
        <f t="shared" si="15"/>
        <v>463271.6999999992</v>
      </c>
      <c r="J47" s="61">
        <f t="shared" si="15"/>
        <v>418368.61999999924</v>
      </c>
      <c r="K47" s="120">
        <f t="shared" si="15"/>
        <v>376805.41348999925</v>
      </c>
      <c r="L47" s="41">
        <f t="shared" si="15"/>
        <v>330546.52687999926</v>
      </c>
      <c r="M47" s="61">
        <f t="shared" si="15"/>
        <v>283223.59555999923</v>
      </c>
    </row>
    <row r="48" spans="1:16" x14ac:dyDescent="0.25">
      <c r="C48" s="99"/>
      <c r="D48" s="193"/>
      <c r="E48" s="17"/>
      <c r="F48" s="17"/>
      <c r="G48" s="17"/>
      <c r="H48" s="10"/>
      <c r="I48" s="17"/>
      <c r="J48" s="11"/>
      <c r="K48" s="17"/>
      <c r="L48" s="17"/>
      <c r="M48" s="11"/>
    </row>
    <row r="49" spans="1:16" x14ac:dyDescent="0.25">
      <c r="A49" s="39" t="s">
        <v>124</v>
      </c>
      <c r="B49" s="39"/>
      <c r="C49" s="104"/>
      <c r="D49" s="203"/>
      <c r="E49" s="83">
        <f>+'PCR Cycle 2'!E50</f>
        <v>5.1044699999999998E-3</v>
      </c>
      <c r="F49" s="83">
        <f>+'PCR Cycle 2'!F50</f>
        <v>5.1503699999999996E-3</v>
      </c>
      <c r="G49" s="83">
        <f>+'PCR Cycle 2'!G50</f>
        <v>5.2820799999999998E-3</v>
      </c>
      <c r="H49" s="84">
        <f>+'PCR Cycle 2'!H50</f>
        <v>5.3483699999999999E-3</v>
      </c>
      <c r="I49" s="83">
        <f>+'PCR Cycle 2'!I50</f>
        <v>5.3539599999999996E-3</v>
      </c>
      <c r="J49" s="92">
        <f>+'PCR Cycle 2'!J50</f>
        <v>5.3597599999999999E-3</v>
      </c>
      <c r="K49" s="83">
        <f>+'PCR Cycle 2'!K50</f>
        <v>5.3597599999999999E-3</v>
      </c>
      <c r="L49" s="83">
        <f>+'PCR Cycle 2'!L50</f>
        <v>5.3597599999999999E-3</v>
      </c>
      <c r="M49" s="85"/>
    </row>
    <row r="50" spans="1:16" x14ac:dyDescent="0.25">
      <c r="A50" s="39" t="s">
        <v>37</v>
      </c>
      <c r="B50" s="39"/>
      <c r="C50" s="106"/>
      <c r="D50" s="204"/>
      <c r="E50" s="83"/>
      <c r="F50" s="83"/>
      <c r="G50" s="83"/>
      <c r="H50" s="84"/>
      <c r="I50" s="83"/>
      <c r="J50" s="85"/>
      <c r="K50" s="83"/>
      <c r="L50" s="83"/>
      <c r="M50" s="85"/>
    </row>
    <row r="51" spans="1:16" x14ac:dyDescent="0.25">
      <c r="A51" s="46" t="s">
        <v>24</v>
      </c>
      <c r="C51" s="314">
        <v>-6786.66</v>
      </c>
      <c r="D51" s="202"/>
      <c r="E51" s="244">
        <f>ROUND((D46+D51+E42/2)*E$49,2)</f>
        <v>3598.09</v>
      </c>
      <c r="F51" s="244">
        <f t="shared" ref="F51:F52" si="16">ROUND((E46+E51+F42/2)*F$49,2)</f>
        <v>3405.69</v>
      </c>
      <c r="G51" s="243">
        <f t="shared" ref="G51:G52" si="17">ROUND((F46+F51+G42/2)*G$49,2)</f>
        <v>3175.28</v>
      </c>
      <c r="H51" s="40">
        <f t="shared" ref="H51:H52" si="18">ROUND((G46+G51+H42/2)*H$49,2)</f>
        <v>2851.51</v>
      </c>
      <c r="I51" s="120">
        <f t="shared" ref="I51:J52" si="19">ROUND((H46+H51+I42/2)*I$49,2)</f>
        <v>2521.91</v>
      </c>
      <c r="J51" s="61">
        <f t="shared" si="19"/>
        <v>2268.89</v>
      </c>
      <c r="K51" s="159">
        <f t="shared" ref="K51:K52" si="20">ROUND((J46+J51+K42/2)*K$49,2)</f>
        <v>2078.67</v>
      </c>
      <c r="L51" s="108">
        <f t="shared" ref="L51:L52" si="21">ROUND((K46+K51+L42/2)*L$49,2)</f>
        <v>1861.32</v>
      </c>
      <c r="M51" s="61">
        <f t="shared" ref="M51:M52" si="22">ROUND((L46+L51+M42/2)*M$49,2)</f>
        <v>0</v>
      </c>
      <c r="P51" s="186">
        <f t="shared" ref="P51:P52" si="23">-SUM(K51:M51)</f>
        <v>-3939.99</v>
      </c>
    </row>
    <row r="52" spans="1:16" ht="15.75" thickBot="1" x14ac:dyDescent="0.3">
      <c r="A52" s="46" t="s">
        <v>25</v>
      </c>
      <c r="C52" s="314">
        <v>-7097.59</v>
      </c>
      <c r="D52" s="202"/>
      <c r="E52" s="244">
        <f>ROUND((D47+D52+E43/2)*E$49,2)</f>
        <v>3805.81</v>
      </c>
      <c r="F52" s="244">
        <f t="shared" si="16"/>
        <v>3530.82</v>
      </c>
      <c r="G52" s="243">
        <f t="shared" si="17"/>
        <v>3263.29</v>
      </c>
      <c r="H52" s="40">
        <f t="shared" si="18"/>
        <v>2936.06</v>
      </c>
      <c r="I52" s="120">
        <f t="shared" si="19"/>
        <v>2625.09</v>
      </c>
      <c r="J52" s="61">
        <f t="shared" si="19"/>
        <v>2369.73</v>
      </c>
      <c r="K52" s="159">
        <f t="shared" si="20"/>
        <v>2137.3200000000002</v>
      </c>
      <c r="L52" s="108">
        <f t="shared" si="21"/>
        <v>1901.35</v>
      </c>
      <c r="M52" s="61">
        <f t="shared" si="22"/>
        <v>0</v>
      </c>
      <c r="N52" s="4"/>
      <c r="O52" s="4"/>
      <c r="P52" s="186">
        <f t="shared" si="23"/>
        <v>-4038.67</v>
      </c>
    </row>
    <row r="53" spans="1:16" ht="16.5" thickTop="1" thickBot="1" x14ac:dyDescent="0.3">
      <c r="A53" s="54" t="s">
        <v>22</v>
      </c>
      <c r="B53" s="54"/>
      <c r="C53" s="199">
        <v>0</v>
      </c>
      <c r="D53" s="205"/>
      <c r="E53" s="42">
        <f>SUM(E51:E52)+SUM(E46:E47)-E56</f>
        <v>0</v>
      </c>
      <c r="F53" s="42">
        <f t="shared" ref="F53:M53" si="24">SUM(F51:F52)+SUM(F46:F47)-F56</f>
        <v>0</v>
      </c>
      <c r="G53" s="50">
        <f t="shared" si="24"/>
        <v>0</v>
      </c>
      <c r="H53" s="51">
        <f t="shared" si="24"/>
        <v>0</v>
      </c>
      <c r="I53" s="42">
        <f t="shared" si="24"/>
        <v>0</v>
      </c>
      <c r="J53" s="62">
        <f t="shared" si="24"/>
        <v>0</v>
      </c>
      <c r="K53" s="160">
        <f t="shared" si="24"/>
        <v>0</v>
      </c>
      <c r="L53" s="50">
        <f t="shared" si="24"/>
        <v>0</v>
      </c>
      <c r="M53" s="62">
        <f t="shared" si="24"/>
        <v>0</v>
      </c>
    </row>
    <row r="54" spans="1:16" ht="16.5" thickTop="1" thickBot="1" x14ac:dyDescent="0.3">
      <c r="A54" s="54" t="s">
        <v>23</v>
      </c>
      <c r="B54" s="54"/>
      <c r="C54" s="199">
        <v>0</v>
      </c>
      <c r="D54" s="205"/>
      <c r="E54" s="42">
        <f>SUM(E51:E52)-E39</f>
        <v>0</v>
      </c>
      <c r="F54" s="42">
        <f t="shared" ref="F54:J54" si="25">SUM(F51:F52)-F39</f>
        <v>2.0000000000436557E-2</v>
      </c>
      <c r="G54" s="50">
        <f t="shared" ref="G54:I54" si="26">SUM(G51:G52)-G39</f>
        <v>9.999999999308784E-3</v>
      </c>
      <c r="H54" s="51">
        <f t="shared" si="26"/>
        <v>1.9999999999527063E-2</v>
      </c>
      <c r="I54" s="42">
        <f t="shared" si="26"/>
        <v>1.0000000000218279E-2</v>
      </c>
      <c r="J54" s="62">
        <f t="shared" si="25"/>
        <v>1.9999999999527063E-2</v>
      </c>
      <c r="K54" s="161">
        <f t="shared" ref="K54:M54" si="27">SUM(K51:K52)-K39</f>
        <v>0</v>
      </c>
      <c r="L54" s="42">
        <f t="shared" si="27"/>
        <v>0</v>
      </c>
      <c r="M54" s="42">
        <f t="shared" si="27"/>
        <v>0</v>
      </c>
    </row>
    <row r="55" spans="1:16" ht="16.5" thickTop="1" thickBot="1" x14ac:dyDescent="0.3">
      <c r="C55" s="99"/>
      <c r="D55" s="193"/>
      <c r="E55" s="17"/>
      <c r="F55" s="17"/>
      <c r="G55" s="17"/>
      <c r="H55" s="10"/>
      <c r="I55" s="17"/>
      <c r="J55" s="11"/>
      <c r="K55" s="17"/>
      <c r="L55" s="17"/>
      <c r="M55" s="11"/>
    </row>
    <row r="56" spans="1:16" ht="15.75" thickBot="1" x14ac:dyDescent="0.3">
      <c r="A56" s="46" t="s">
        <v>36</v>
      </c>
      <c r="B56" s="116">
        <f>+B46+B47</f>
        <v>1143976.6243899991</v>
      </c>
      <c r="C56" s="198">
        <f>(C16-SUM(C19:C23))+SUM(C51:C52)+B56</f>
        <v>1500564.379999999</v>
      </c>
      <c r="D56" s="202">
        <f>(D16-SUM(D19:D23))+SUM(D51:D52)+C56</f>
        <v>1500564.379999999</v>
      </c>
      <c r="E56" s="41">
        <f>(E16-SUM(E19:E23))+SUM(E51:E52)+D56</f>
        <v>1407789.0399999989</v>
      </c>
      <c r="F56" s="244">
        <f t="shared" ref="F56:M56" si="28">(F16-SUM(F19:F23))+SUM(F51:F52)+E56</f>
        <v>1292742.4299999988</v>
      </c>
      <c r="G56" s="108">
        <f t="shared" si="28"/>
        <v>1151588.1699999988</v>
      </c>
      <c r="H56" s="40">
        <f t="shared" si="28"/>
        <v>1018433.6099999987</v>
      </c>
      <c r="I56" s="41">
        <f t="shared" si="28"/>
        <v>909401.38999999873</v>
      </c>
      <c r="J56" s="61">
        <f t="shared" si="28"/>
        <v>826139.64999999874</v>
      </c>
      <c r="K56" s="159">
        <f t="shared" si="28"/>
        <v>751276.67970999877</v>
      </c>
      <c r="L56" s="108">
        <f t="shared" si="28"/>
        <v>656529.95143999881</v>
      </c>
      <c r="M56" s="61">
        <f t="shared" si="28"/>
        <v>550589.72019999882</v>
      </c>
    </row>
    <row r="57" spans="1:16" x14ac:dyDescent="0.25">
      <c r="A57" s="46" t="s">
        <v>12</v>
      </c>
      <c r="C57" s="117"/>
      <c r="D57" s="206"/>
      <c r="E57" s="17"/>
      <c r="F57" s="17"/>
      <c r="G57" s="17"/>
      <c r="H57" s="10"/>
      <c r="I57" s="17"/>
      <c r="J57" s="11"/>
      <c r="K57" s="17"/>
      <c r="L57" s="17"/>
      <c r="M57" s="11"/>
    </row>
    <row r="58" spans="1:16" ht="15.75" thickBot="1" x14ac:dyDescent="0.3">
      <c r="A58" s="37"/>
      <c r="B58" s="37"/>
      <c r="C58" s="144"/>
      <c r="D58" s="207"/>
      <c r="E58" s="44"/>
      <c r="F58" s="44"/>
      <c r="G58" s="44"/>
      <c r="H58" s="43"/>
      <c r="I58" s="44"/>
      <c r="J58" s="45"/>
      <c r="K58" s="44"/>
      <c r="L58" s="44"/>
      <c r="M58" s="45"/>
    </row>
    <row r="60" spans="1:16" x14ac:dyDescent="0.25">
      <c r="A60" s="69" t="s">
        <v>11</v>
      </c>
      <c r="B60" s="69"/>
      <c r="C60" s="69"/>
      <c r="D60" s="69"/>
    </row>
    <row r="61" spans="1:16" ht="34.5" customHeight="1" x14ac:dyDescent="0.25">
      <c r="A61" s="331" t="s">
        <v>246</v>
      </c>
      <c r="B61" s="331"/>
      <c r="C61" s="331"/>
      <c r="D61" s="331"/>
      <c r="E61" s="331"/>
      <c r="F61" s="331"/>
      <c r="G61" s="331"/>
      <c r="H61" s="331"/>
      <c r="I61" s="331"/>
      <c r="J61" s="331"/>
      <c r="K61" s="188"/>
      <c r="L61" s="142"/>
      <c r="M61" s="142"/>
    </row>
    <row r="62" spans="1:16" ht="42.75" customHeight="1" x14ac:dyDescent="0.25">
      <c r="A62" s="331" t="s">
        <v>247</v>
      </c>
      <c r="B62" s="331"/>
      <c r="C62" s="331"/>
      <c r="D62" s="331"/>
      <c r="E62" s="331"/>
      <c r="F62" s="331"/>
      <c r="G62" s="331"/>
      <c r="H62" s="331"/>
      <c r="I62" s="331"/>
      <c r="J62" s="331"/>
      <c r="K62" s="331"/>
      <c r="L62" s="142"/>
      <c r="M62" s="142"/>
    </row>
    <row r="63" spans="1:16" ht="33.75" customHeight="1" x14ac:dyDescent="0.25">
      <c r="A63" s="331" t="s">
        <v>245</v>
      </c>
      <c r="B63" s="331"/>
      <c r="C63" s="331"/>
      <c r="D63" s="331"/>
      <c r="E63" s="331"/>
      <c r="F63" s="331"/>
      <c r="G63" s="331"/>
      <c r="H63" s="331"/>
      <c r="I63" s="331"/>
      <c r="J63" s="331"/>
      <c r="K63" s="188"/>
      <c r="L63" s="142"/>
      <c r="M63" s="142"/>
    </row>
    <row r="64" spans="1:16" x14ac:dyDescent="0.25">
      <c r="A64" s="3" t="s">
        <v>67</v>
      </c>
      <c r="B64" s="3"/>
      <c r="C64" s="3"/>
      <c r="D64" s="3"/>
    </row>
    <row r="65" spans="1:7" x14ac:dyDescent="0.25">
      <c r="A65" s="63" t="s">
        <v>240</v>
      </c>
      <c r="B65" s="3"/>
      <c r="C65" s="3"/>
      <c r="D65" s="3"/>
    </row>
    <row r="66" spans="1:7" x14ac:dyDescent="0.25">
      <c r="A66" s="3" t="s">
        <v>70</v>
      </c>
      <c r="B66" s="3"/>
      <c r="C66" s="3"/>
      <c r="D66" s="3"/>
    </row>
    <row r="67" spans="1:7" x14ac:dyDescent="0.25">
      <c r="A67" s="3" t="s">
        <v>186</v>
      </c>
      <c r="B67" s="3"/>
      <c r="C67" s="3"/>
      <c r="D67" s="3"/>
    </row>
    <row r="69" spans="1:7" ht="31.5" customHeight="1" x14ac:dyDescent="0.25">
      <c r="A69" s="327"/>
      <c r="B69" s="327"/>
      <c r="C69" s="327"/>
      <c r="D69" s="327"/>
      <c r="E69" s="327"/>
      <c r="F69" s="327"/>
      <c r="G69" s="327"/>
    </row>
  </sheetData>
  <mergeCells count="7">
    <mergeCell ref="A69:G69"/>
    <mergeCell ref="A63:J63"/>
    <mergeCell ref="E14:G14"/>
    <mergeCell ref="A61:J61"/>
    <mergeCell ref="A62:K62"/>
    <mergeCell ref="H14:J14"/>
    <mergeCell ref="K14:M14"/>
  </mergeCells>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B3B3C2A568948A3B61DE5471DEA1E" ma:contentTypeVersion="0" ma:contentTypeDescription="Create a new document." ma:contentTypeScope="" ma:versionID="e21325dc62556425e3e549579d3cac03">
  <xsd:schema xmlns:xsd="http://www.w3.org/2001/XMLSchema" xmlns:p="http://schemas.microsoft.com/office/2006/metadata/properties" xmlns:ns2="37C40F9E-044B-4F26-A90E-5C1316E52537" targetNamespace="http://schemas.microsoft.com/office/2006/metadata/properties" ma:root="true" ma:fieldsID="4b5ea1123175a8313d90db415902c5cf" ns2:_="">
    <xsd:import namespace="37C40F9E-044B-4F26-A90E-5C1316E52537"/>
    <xsd:element name="properties">
      <xsd:complexType>
        <xsd:sequence>
          <xsd:element name="documentManagement">
            <xsd:complexType>
              <xsd:all>
                <xsd:element ref="ns2:Comments0" minOccurs="0"/>
              </xsd:all>
            </xsd:complexType>
          </xsd:element>
        </xsd:sequence>
      </xsd:complexType>
    </xsd:element>
  </xsd:schema>
  <xsd:schema xmlns:xsd="http://www.w3.org/2001/XMLSchema" xmlns:dms="http://schemas.microsoft.com/office/2006/documentManagement/types" targetNamespace="37C40F9E-044B-4F26-A90E-5C1316E52537" elementFormDefault="qualified">
    <xsd:import namespace="http://schemas.microsoft.com/office/2006/documentManagement/types"/>
    <xsd:element name="Comments0" ma:index="8" nillable="true" ma:displayName="Comments" ma:description="Comments" ma:internalName="Comments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omments0 xmlns="37C40F9E-044B-4F26-A90E-5C1316E525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C2647-B5FC-4364-86FA-9C4ECAED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40F9E-044B-4F26-A90E-5C1316E5253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 Cycle 3</vt:lpstr>
      <vt:lpstr>OAR Cycle 2</vt:lpstr>
      <vt:lpstr>OAR Cycle 3</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Leighanne Jones</cp:lastModifiedBy>
  <cp:lastPrinted>2019-05-23T21:26:27Z</cp:lastPrinted>
  <dcterms:created xsi:type="dcterms:W3CDTF">2013-08-12T19:20:10Z</dcterms:created>
  <dcterms:modified xsi:type="dcterms:W3CDTF">2023-11-29T23:49:04Z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0x0101009C8B3B3C2A568948A3B61DE5471DEA1E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ies>
</file>